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ialogsheets/sheet1.xml" ContentType="application/vnd.openxmlformats-officedocument.spreadsheetml.dialogsheet+xml"/>
  <Override PartName="/xl/dialogsheets/sheet2.xml" ContentType="application/vnd.openxmlformats-officedocument.spreadsheetml.dialogsheet+xml"/>
  <Override PartName="/xl/dialogsheets/sheet3.xml" ContentType="application/vnd.openxmlformats-officedocument.spreadsheetml.dialogsheet+xml"/>
  <Override PartName="/xl/dialogsheets/sheet4.xml" ContentType="application/vnd.openxmlformats-officedocument.spreadsheetml.dialogsheet+xml"/>
  <Override PartName="/xl/dialogsheets/sheet5.xml" ContentType="application/vnd.openxmlformats-officedocument.spreadsheetml.dialogsheet+xml"/>
  <Override PartName="/xl/dialogsheets/sheet6.xml" ContentType="application/vnd.openxmlformats-officedocument.spreadsheetml.dialog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50" windowHeight="8595" tabRatio="384" activeTab="4"/>
  </bookViews>
  <sheets>
    <sheet name="PRICCURV" sheetId="1" r:id="rId1"/>
    <sheet name="PROFILE" sheetId="3" r:id="rId2"/>
    <sheet name="GC" sheetId="4" r:id="rId3"/>
    <sheet name="EP" sheetId="5" r:id="rId4"/>
    <sheet name="CFMODEL" sheetId="6" r:id="rId5"/>
    <sheet name="CFMACROS" sheetId="7" state="hidden" r:id="rId6"/>
    <sheet name="Module1" sheetId="8" state="veryHidden" r:id=""/>
    <sheet name="Iterbox" sheetId="9" state="hidden" r:id="rId7"/>
    <sheet name="InpBox" sheetId="10" state="hidden" r:id="rId8"/>
    <sheet name="GoToBox" sheetId="11" state="hidden" r:id="rId9"/>
    <sheet name="PrintBox" sheetId="12" state="hidden" r:id="rId10"/>
    <sheet name="EPrint" sheetId="14" state="hidden" r:id="rId11"/>
    <sheet name="EGo" sheetId="15" state="hidden" r:id="rId12"/>
    <sheet name="Emacros" sheetId="16" state="veryHidden" r:id=""/>
  </sheets>
  <definedNames>
    <definedName name="_Table1_In1" localSheetId="4" hidden="1">CFMODEL!$C$789</definedName>
    <definedName name="_Table1_Out" localSheetId="4" hidden="1">CFMODEL!$E$878:$J$883</definedName>
    <definedName name="_Table2_In1" localSheetId="4" hidden="1">CFMODEL!$C$789</definedName>
    <definedName name="_Table2_In2" localSheetId="4" hidden="1">CFMODEL!$M$788</definedName>
    <definedName name="_Table2_Out" localSheetId="4" hidden="1">CFMODEL!$E$878:$J$883</definedName>
    <definedName name="AS">CFMODEL!$A$600:$S$617</definedName>
    <definedName name="ASSET_SALES">CFMODEL!$A$600:$S$617</definedName>
    <definedName name="BB">CFMODEL!$A$468:$S$474</definedName>
    <definedName name="Bbase">CFMODEL!$A$468:$S$475</definedName>
    <definedName name="BS">CFMODEL!$A$170:$S$219</definedName>
    <definedName name="_CAP1">CFMODEL!$A$222:$S$272</definedName>
    <definedName name="_CAP2">CFMODEL!$A$274:$S$318</definedName>
    <definedName name="CASH">CFMODEL!$I$163:$AC$166</definedName>
    <definedName name="CASH1">CFMODEL!$I$163:$I$166</definedName>
    <definedName name="CASH2">CFMODEL!$G$163:$G$166</definedName>
    <definedName name="CASHA">CFMODEL!$I$163</definedName>
    <definedName name="CASHB">CFMODEL!$I$164</definedName>
    <definedName name="CASHC">CFMODEL!$I$165</definedName>
    <definedName name="CASHD">CFMODEL!$I$166</definedName>
    <definedName name="_COM3">CFMODEL!$E$792</definedName>
    <definedName name="_COM5">CFMODEL!$G$792</definedName>
    <definedName name="COMMON">CFMODEL!$C$792</definedName>
    <definedName name="Common3">CFMACROS!$G$332</definedName>
    <definedName name="COMNAME">CFMODEL!$A$792</definedName>
    <definedName name="CS">CFMODEL!$A$975:$S$1021</definedName>
    <definedName name="Debt">CFMACROS!$A$165</definedName>
    <definedName name="Debt_Sched">CFMODEL!$A$478:$S$547</definedName>
    <definedName name="DEFREV">CFMODEL!$I$225:$AC$226</definedName>
    <definedName name="DEFREV1">CFMODEL!$I$225:$I$226</definedName>
    <definedName name="DEFREV2">CFMODEL!$G$225:$G$226</definedName>
    <definedName name="DEFREVA">CFMODEL!$I$225</definedName>
    <definedName name="DEFREVB">CFMODEL!$I$226</definedName>
    <definedName name="delarea">CFMODEL!$A$975:$AC$1059</definedName>
    <definedName name="DILUTION">CFMODEL!$A$933:$S$961</definedName>
    <definedName name="EOP">CFMODEL!$E$170:$AC$170</definedName>
    <definedName name="EPCAP">EP!$A$8:$AC$37</definedName>
    <definedName name="EPCAPSIM">EP!$A$40:$AC$71</definedName>
    <definedName name="epcos">EP!$A$725:$AC$768</definedName>
    <definedName name="epcount">EP!$G$826</definedName>
    <definedName name="epdep">EP!$A$96:$AC$128</definedName>
    <definedName name="epdepl">EP!$A$131:$AC$141</definedName>
    <definedName name="epesc">EP!$A$178:$AC$192</definedName>
    <definedName name="epfa">EP!$A$74:$AC$92</definedName>
    <definedName name="epfasum">EP!$A$144:$AC$175</definedName>
    <definedName name="epfuel">EP!$A$195:$AC$237</definedName>
    <definedName name="EPHED">EP!$A$660</definedName>
    <definedName name="EPNAV">EP!$A$778:$AC$820</definedName>
    <definedName name="epog1">EP!$A$240:$AC$307</definedName>
    <definedName name="epog2">EP!$A$309:$AC$380</definedName>
    <definedName name="epog3">EP!$A$382:$AC$450</definedName>
    <definedName name="epog4">EP!$A$452:$AC$520</definedName>
    <definedName name="epog5">EP!$A$522:$AC$590</definedName>
    <definedName name="epog6">EP!$A$592:$AC$656</definedName>
    <definedName name="epogsum">EP!$A$659:$AC$722</definedName>
    <definedName name="epp">EP!$A$195:$AC$237</definedName>
    <definedName name="epteras">EP!$A$824:$AC$829</definedName>
    <definedName name="eptrials">EP!$G$824</definedName>
    <definedName name="ESOP">CFMODEL!$A$621:$S$632</definedName>
    <definedName name="Everything">CFMACROS!$I$187</definedName>
    <definedName name="FASB">CFMODEL!$A$1023:$S$1059</definedName>
    <definedName name="FEES">CFMODEL!$A$368:$S$649</definedName>
    <definedName name="FEES1">CFMODEL!$E$370</definedName>
    <definedName name="FINANCIALS">CFMODEL!$A$67:$S$435</definedName>
    <definedName name="FINFEE">CFMODEL!$J$88:$AC$88</definedName>
    <definedName name="FINFEE1">CFMODEL!$I$88</definedName>
    <definedName name="FINFEE1A">CFMODEL!$I$90</definedName>
    <definedName name="FINFEE2">CFMODEL!$J$88</definedName>
    <definedName name="FINFEE2A">CFMODEL!$J$90</definedName>
    <definedName name="FS">CFMODEL!$A$67:$S$435</definedName>
    <definedName name="FundsFlow">CFMODEL!$A$334:$T$365</definedName>
    <definedName name="FYE">CFMODEL!$E$331</definedName>
    <definedName name="_FYE1">CFMODEL!$E$331</definedName>
    <definedName name="General">CFMACROS!$A$68</definedName>
    <definedName name="HIST.PROJ">CFMODEL!$I$24:$I$61</definedName>
    <definedName name="INCTAX">CFMODEL!$A$652:$S$760</definedName>
    <definedName name="INPUT">CFMODEL!$A$320:$S$651</definedName>
    <definedName name="Input.Menu">CFMACROS!$A$52:$E$59</definedName>
    <definedName name="Input.Statements.Box" localSheetId="5">CFMACROS!$A$239:$G$249</definedName>
    <definedName name="Input.Statements.Box">CFMACROS!$A$239:$G$249</definedName>
    <definedName name="INT">CFMODEL!$A$550:$S$576</definedName>
    <definedName name="INTEXP">CFMODEL!$J$93:$AC$93</definedName>
    <definedName name="INTEXP1">CFMODEL!$I$93</definedName>
    <definedName name="INTEXP1A">CFMODEL!$I$91</definedName>
    <definedName name="INTEXP2">CFMODEL!$J$93</definedName>
    <definedName name="INTEXP2A">CFMODEL!$J$91</definedName>
    <definedName name="INTINC">CFMODEL!$J$86:$AC$86</definedName>
    <definedName name="INTINC1">CFMODEL!$I$86</definedName>
    <definedName name="INTINC1A">CFMODEL!$I$85</definedName>
    <definedName name="INTINC2">CFMODEL!$J$86</definedName>
    <definedName name="INTINC2A">CFMODEL!$J$85</definedName>
    <definedName name="IS">CFMODEL!$A$67:$S$112</definedName>
    <definedName name="iterprec">CFMODEL!$B$2</definedName>
    <definedName name="iterx">CFMODEL!$A$2</definedName>
    <definedName name="Jr.Sub3">CFMACROS!$E$332</definedName>
    <definedName name="JRSUB">CFMODEL!$C$790</definedName>
    <definedName name="JRSUB3">CFMODEL!$E$790</definedName>
    <definedName name="JRSUB5">CFMODEL!$G$790</definedName>
    <definedName name="JRSUBNAME">CFMODEL!$A$790</definedName>
    <definedName name="K">CFMODEL!$I$224:$AC$270</definedName>
    <definedName name="KA">CFMODEL!$I$224:$I$270</definedName>
    <definedName name="KB">CFMODEL!$F$224:$F$270</definedName>
    <definedName name="MULTIPLE3">CFMODEL!$K$788</definedName>
    <definedName name="MULTIPLE5">CFMODEL!$N$788</definedName>
    <definedName name="OPENBS">CFMODEL!$A$387:$S$435</definedName>
    <definedName name="Optimize">CFMACROS!$B$1</definedName>
    <definedName name="Other_Inc">CFMODEL!$A$579:$S$596</definedName>
    <definedName name="output">EP!$E$832:$Y$850</definedName>
    <definedName name="OVERVIEW">CFMODEL!$A$6:$S$66</definedName>
    <definedName name="PP">CFMODEL!$A$493:$X$499</definedName>
    <definedName name="PP_Yield">CFMACROS!$C$1</definedName>
    <definedName name="PPIRR">CFMODEL!$G$689</definedName>
    <definedName name="PPTEST">CFMODEL!$X$694</definedName>
    <definedName name="PREF3">CFMODEL!$E$791</definedName>
    <definedName name="PREF5">CFMODEL!$G$791</definedName>
    <definedName name="PREFERRED">CFMODEL!$C$791</definedName>
    <definedName name="Preferred3">CFMACROS!$F$332</definedName>
    <definedName name="PREFNAME">CFMODEL!$A$791</definedName>
    <definedName name="price">PRICCURV!$A$1:$F$5</definedName>
    <definedName name="Print.Box">CFMACROS!$A$205:$G$213</definedName>
    <definedName name="_xlnm.Print_Area" localSheetId="4">CFMODEL!$A$888:$S$932</definedName>
    <definedName name="_xlnm.Print_Area" localSheetId="3">EP!#REF!</definedName>
    <definedName name="_xlnm.Print_Area" localSheetId="1">PROFILE!$A$10:$G$28</definedName>
    <definedName name="_xlnm.Print_Titles" localSheetId="4">CFMODEL!$4:$5</definedName>
    <definedName name="_xlnm.Print_Titles" localSheetId="3">EP!$4:$5</definedName>
    <definedName name="_xlnm.Print_Titles" localSheetId="2">GC!$1:$6</definedName>
    <definedName name="REPAY">CFMODEL!$A$478:$S$547</definedName>
    <definedName name="RETURNS">CFMODEL!$A$783:$S$884</definedName>
    <definedName name="REV">CFMODEL!$I$231:$AC$235</definedName>
    <definedName name="_REV1">CFMODEL!$I$231:$I$235</definedName>
    <definedName name="_REV2">CFMODEL!$G$231:$G$235</definedName>
    <definedName name="REVA">CFMODEL!$I$231</definedName>
    <definedName name="REVB">CFMODEL!$I$232</definedName>
    <definedName name="REVC">CFMODEL!$I$233</definedName>
    <definedName name="REVD">CFMODEL!$I$234</definedName>
    <definedName name="REVE">CFMODEL!$I$235</definedName>
    <definedName name="S_U">CFMODEL!$A$115:$S$168</definedName>
    <definedName name="scen_result" localSheetId="4" hidden="1">#VALUE!</definedName>
    <definedName name="Sensitivity3.Select.Box">CFMACROS!$A$356:$G$363</definedName>
    <definedName name="Sensitivity5.Select.Box">CFMACROS!$A$392:$G$399</definedName>
    <definedName name="Set_Calc__s">CFMACROS!$A$1</definedName>
    <definedName name="solver_lin" localSheetId="4" hidden="1">0</definedName>
    <definedName name="solver_num" localSheetId="4" hidden="1">0</definedName>
    <definedName name="solver_opt" localSheetId="4" hidden="1">CFMODEL!$B$3</definedName>
    <definedName name="solver_typ" localSheetId="4" hidden="1">3</definedName>
    <definedName name="solver_val" localSheetId="4" hidden="1">0</definedName>
    <definedName name="Sr.Sub3">CFMACROS!$D$332</definedName>
    <definedName name="SRSUB">CFMODEL!$C$789</definedName>
    <definedName name="SRSUB3">CFMODEL!$E$789</definedName>
    <definedName name="SRSUB5">CFMODEL!$G$789</definedName>
    <definedName name="SRSUBNAME">CFMODEL!$A$789</definedName>
    <definedName name="stub">EP!$H$860</definedName>
    <definedName name="TABLE1">CFMODEL!$E$878:$J$883</definedName>
    <definedName name="TABLE1A">CFMODEL!$F$879:$J$883</definedName>
    <definedName name="TABLE5">CFMODEL!$M$878:$R$883</definedName>
    <definedName name="TABLE5A">CFMODEL!$N$879:$R$883</definedName>
    <definedName name="TAX">CFMODEL!$A$636:$S$649</definedName>
    <definedName name="TDATE">CFMODEL!$C$323</definedName>
    <definedName name="TL">CFMODEL!$C$788</definedName>
    <definedName name="_TL3">CFMODEL!$E$788</definedName>
    <definedName name="_TL5">CFMODEL!$G$788</definedName>
    <definedName name="TLNAME">CFMODEL!$A$788</definedName>
    <definedName name="TRANSACTION_FEES">CFMODEL!$A$368:$T$384</definedName>
    <definedName name="TRANSFF">CFMODEL!$A$321:$S$349</definedName>
    <definedName name="unit">EP!$H$861</definedName>
    <definedName name="units">CFMACROS!$G$92</definedName>
    <definedName name="VAL">CFMODEL!$A$888:$S$932</definedName>
    <definedName name="waitime">CFMODEL!$A$3</definedName>
    <definedName name="WC">CFMODEL!$A$439:$S$475</definedName>
    <definedName name="WCA">CFMODEL!$A$449:$S$932</definedName>
    <definedName name="YearHeadings">CFMODEL!$E$2:$AC$3</definedName>
    <definedName name="ZA0" localSheetId="4">"Crystal Ball Data : Ver. 4.0.3"</definedName>
    <definedName name="ZA0" localSheetId="3">"Crystal Ball Data : Ver. 4.0.3"</definedName>
    <definedName name="ZA0" localSheetId="1">"Crystal Ball Data : Ver. 4.0"</definedName>
    <definedName name="ZA0A" localSheetId="4">0+100</definedName>
    <definedName name="ZA0A" localSheetId="3">22+142</definedName>
    <definedName name="ZA0A" localSheetId="1">2+101</definedName>
    <definedName name="ZA0C" localSheetId="4">0+0</definedName>
    <definedName name="ZA0C" localSheetId="3">6+146</definedName>
    <definedName name="ZA0D" localSheetId="4">0+0</definedName>
    <definedName name="ZA0D" localSheetId="3">0+0</definedName>
    <definedName name="ZA0F" localSheetId="4">57+180</definedName>
    <definedName name="ZA0F" localSheetId="3">0+160</definedName>
    <definedName name="ZA0T" localSheetId="4">340571005+0</definedName>
    <definedName name="ZA0T" localSheetId="3">340507253+0</definedName>
    <definedName name="ZA0T" localSheetId="1">12865569+0</definedName>
    <definedName name="_ZA100" localSheetId="1">PROFILE!$E$18+"adecline"+5+0.349999999999999+0.035</definedName>
    <definedName name="_ZA101" localSheetId="1">PROFILE!$E$10+"eAML"+289+7.7+0.77</definedName>
    <definedName name="_ZA108" localSheetId="3">EP!$F$311+"bPDNP Oil"+513+EP!$E$311+0+0.8+EP!$F$311+0+1+EP!$G$311+0+1.1</definedName>
    <definedName name="_ZA109" localSheetId="3">EP!$F$324+"bPDNP Gas"+513+EP!$E$324+0+0.8+EP!$F$324+0+1+EP!$G$324+0+1.1</definedName>
    <definedName name="_ZA110" localSheetId="3">EP!$F$384+"bPUD Oil"+513+EP!$E$384+0+0.7+EP!$F$384+0+1+EP!$G$384+0+1.15</definedName>
    <definedName name="_ZA111" localSheetId="3">EP!$F$397+"bPUD Gas"+513+EP!$E$397+0+0.7+EP!$F$397+0+1+EP!$G$397+0+1.15</definedName>
    <definedName name="_ZA112" localSheetId="3">EP!$F$454+"bProbs Oil"+513+EP!$E$454+0+0.6+EP!$F$454+0+1+EP!$G$454+0+1.4</definedName>
    <definedName name="_ZA113" localSheetId="3">EP!$F$467+"bProbs Gas"+513+EP!$E$467+0+0.6+EP!$F$467+0+1+EP!$G$467+0+1.4</definedName>
    <definedName name="_ZA114" localSheetId="3">EP!$F$524+"bAcerage Oil"+513+EP!$E$524+0+0.7+EP!$F$524+0+1+EP!$G$524+0+1.15</definedName>
    <definedName name="_ZA115" localSheetId="3">EP!$F$537+"bAcerage Gas"+513+EP!$E$537+0+0.7+EP!$F$537+0+1+EP!$G$537+0+1.15</definedName>
    <definedName name="_ZA116" localSheetId="3">EP!$J$288+"bML"+545+EP!$I$288+0+0.9+EP!$J$288+0+1+EP!$K$288+0+1.05</definedName>
    <definedName name="_ZA117" localSheetId="3">EP!$J$358+"bMl"+545+EP!$I$358+0+0.8+EP!$J$358+0+1+EP!$K$358+0+1.1</definedName>
    <definedName name="_ZA118" localSheetId="3">EP!$J$431+"bMl"+545+EP!$I$431+0+0.7+EP!$J$431+0+1+EP!$K$431+0+1.15</definedName>
    <definedName name="_ZA121" localSheetId="3">EP!$F$243+"aQi"+33+400+40</definedName>
    <definedName name="_ZA122" localSheetId="3">EP!$F$242+"aDecline"+513+0.239999999999999+0.0239999999999999</definedName>
    <definedName name="_ZA125" localSheetId="3">EP!$F$256+"aQi"+33+5500+550</definedName>
    <definedName name="_ZA126" localSheetId="3">EP!$F$255+"aDecline"+513+0.149999999999999+0.015</definedName>
    <definedName name="_ZA128" localSheetId="3">EP!$D$44+"bLikeliest"+5+0.9+1+1.1</definedName>
    <definedName name="_ZA129" localSheetId="3">EP!$D$44+"bD44"+16389+0.9+1+1.1</definedName>
    <definedName name="_ZA130" localSheetId="3">EP!$D$44+"bLikeliest"+5+0.9+1+1.1</definedName>
    <definedName name="_ZA132" localSheetId="3">EP!$K$571+"BBOE:  "+513+EP!$J$571+0+0.7+EP!$K$571+0+1+EP!$L$571+0+1.15+0.700000000000001+1.15000000000001</definedName>
    <definedName name="_ZA137" localSheetId="3">EP!$K$571+"bML"+545+EP!$J$571+0+0.699999999999999+EP!$K$571+0+1+EP!$L$571+0+1.14999999999999</definedName>
    <definedName name="_ZA138" localSheetId="3">EP!$K$571+"bML"+545+EP!$J$571+0+0.699999999999999+EP!$K$571+0+1+EP!$L$571+0+1.14999999999999</definedName>
    <definedName name="_ZA139" localSheetId="3">EP!$K$571+"bML"+545+EP!$J$571+0+0.699999999999999+EP!$K$571+0+1+EP!$L$571+0+1.14999999999999</definedName>
    <definedName name="_ZA140" localSheetId="3">EP!$G$18+"BG18"+16897+EP!$F$18+0+0.699999999999999+EP!$G$18+0+1+EP!$H$18+0+1.14999999999999+0.9+1.1</definedName>
    <definedName name="_ZA141" localSheetId="3">EP!$G$18+"bG18"+16897+EP!$F$18+0+0.699999999999999+EP!$G$18+0+1+EP!$H$18+0+1.14999999999999</definedName>
    <definedName name="_ZA142" localSheetId="3">EP!$G$18+"BG18"+16897+EP!$F$18+0+0.699999999999999+EP!$G$18+0+1+EP!$H$18+0+1.14999999999999+0.7+1.15</definedName>
    <definedName name="_ZC138" localSheetId="3">EP!$J$358+EP!$F$324+0+0.7</definedName>
    <definedName name="_ZC139" localSheetId="3">EP!$J$358+EP!$F$311+0+0.7</definedName>
    <definedName name="_ZC140" localSheetId="3">EP!$J$431+EP!$F$397+0+0.7</definedName>
    <definedName name="_ZC141" localSheetId="3">EP!$J$431+EP!$F$384+0+0.7</definedName>
    <definedName name="_ZC145" localSheetId="3">EP!$K$571+EP!$F$524+0+0.7</definedName>
    <definedName name="_ZC146" localSheetId="3">EP!$G$18+EP!$F$524+0+1</definedName>
    <definedName name="_ZF100" localSheetId="4">CFMODEL!$I$227+"Def Rev '96"+""+33+33+504+0+0+0+0+4+3+"-"+"+"+2.6+50+2</definedName>
    <definedName name="_ZF101" localSheetId="4">CFMODEL!$J$227+"Def Rev '97"+""+33+33+440+0+0+0+0+4+3+"-"+"+"+2.6+50+2</definedName>
    <definedName name="_ZF102" localSheetId="4">CFMODEL!$K$227+"Def Rev '98"+""+33+33+440+0+0+0+0+4+3+"-"+"+"+2.6+50+2</definedName>
    <definedName name="_ZF103" localSheetId="4">CFMODEL!$L$227+"Def Rev '99"+""+33+33+440+0+0+0+0+4+3+"-"+"+"+2.6+50+2</definedName>
    <definedName name="_ZF104" localSheetId="4">CFMODEL!$M$227+"Def Rev '00"+""+33+33+440+0+0+0+0+4+3+"-"+"+"+2.6+50+2</definedName>
    <definedName name="_ZF105" localSheetId="4">CFMODEL!$N$227+"Def Rev '01"+""+33+33+440+0+0+0+0+4+3+"-"+"+"+2.6+50+2</definedName>
    <definedName name="_ZF106" localSheetId="4">CFMODEL!$H$851+"Common Stock 3-0"+""+33+33+504+0+0+0+0+4+3+"-"+"+"+2.6+50+2</definedName>
    <definedName name="_ZF110" localSheetId="4">CFMODEL!$L$851+"common stock 3-3"+""+33+33+504+0+0+0+0+4+3+"-"+"+"+2.6+50+2</definedName>
    <definedName name="_ZF111" localSheetId="4">CFMODEL!$H$859+"Common Stock 4-0"+""+33+33+504+0+0+0+0+4+3+"-"+"+"+2.6+50+2</definedName>
    <definedName name="_ZF116" localSheetId="4">CFMODEL!$M$859+"common stock 4-4"+""+33+33+504+0+0+0+0+4+3+"-"+"+"+2.6+50+2</definedName>
    <definedName name="_ZF117" localSheetId="4">CFMODEL!$H$867+"Common Stock 5-0"+""+33+33+504+0+0+0+0+4+3+"-"+"+"+2.6+50+2</definedName>
    <definedName name="_ZF123" localSheetId="4">CFMODEL!$N$867+"common stock 5-5"+""+33+33+504+0+0+0+0+4+3+"-"+"+"+2.6+50+2</definedName>
    <definedName name="_ZF124" localSheetId="4">CFMODEL!$I$851+"Common stock 3-.5"+""+33+33+440+0+0+0+0+4+3+"-"+"+"+2.6+50+2</definedName>
    <definedName name="_ZF125" localSheetId="4">CFMODEL!$J$851+"Common stock 3-1"+""+33+33+440+0+0+0+0+4+3+"-"+"+"+2.6+50+2</definedName>
    <definedName name="_ZF126" localSheetId="4">CFMODEL!$K$851+"Common stock 3-2"+""+33+33+440+0+0+0+0+4+3+"-"+"+"+2.6+50+2</definedName>
    <definedName name="_ZF127" localSheetId="4">CFMODEL!$I$859+"Common 4"+""+33+33+440+0+0+0+0+4+3+"-"+"+"+2.6+50+2</definedName>
    <definedName name="_ZF128" localSheetId="4">CFMODEL!$J$859+"Common 4-2"+""+33+33+440+0+0+0+0+4+3+"-"+"+"+2.6+50+2</definedName>
    <definedName name="_ZF129" localSheetId="4">CFMODEL!$K$859+"Common 4-3"+""+33+33+440+0+0+0+0+4+3+"-"+"+"+2.6+50+2</definedName>
    <definedName name="_ZF130" localSheetId="4">CFMODEL!$L$859+"Common 4-4"+""+33+33+440+0+0+0+0+4+3+"-"+"+"+2.6+50+2</definedName>
    <definedName name="_ZF131" localSheetId="4">CFMODEL!$I$867+"Common 5"+""+33+33+440+0+0+0+0+4+3+"-"+"+"+2.6+50+2</definedName>
    <definedName name="_ZF132" localSheetId="4">CFMODEL!$J$867+"Common 5-1"+""+33+33+440+0+0+0+0+4+3+"-"+"+"+2.6+50+2</definedName>
    <definedName name="_ZF133" localSheetId="4">CFMODEL!$K$867+"Common 5-2"+""+33+33+440+0+0+0+0+4+3+"-"+"+"+2.6+50+2</definedName>
    <definedName name="_ZF134" localSheetId="4">CFMODEL!$L$867+"Common 5-3"+""+33+33+440+0+0+0+0+4+3+"-"+"+"+2.6+50+2</definedName>
    <definedName name="_ZF135" localSheetId="4">CFMODEL!$M$867+"Common 5-4"+""+33+33+440+0+0+0+0+4+3+"-"+"+"+2.6+50+2</definedName>
    <definedName name="_ZF136" localSheetId="4">CFMODEL!$O$227+"DEF REV 02"+""+33+33+440+57+18+336+472+4+3+"-"+"+"+2.6+50+2</definedName>
    <definedName name="_ZF137" localSheetId="4">CFMODEL!$P$227+"DEF REV03"+""+33+33+440+72+40+351+494+4+3+"-"+"+"+2.6+50+2</definedName>
    <definedName name="_ZF138" localSheetId="4">CFMODEL!$Q$227+"DEF REV 04"+""+33+33+440+87+62+366+516+4+3+"-"+"+"+2.6+50+2</definedName>
    <definedName name="_ZF139" localSheetId="4">CFMODEL!$R$227+"DEF REV 05 "+""+33+33+440+102+84+381+538+4+3+"-"+"+"+2.6+50+2</definedName>
    <definedName name="_ZF140" localSheetId="4">CFMODEL!$S$227+"DEF REV 06"+""+33+33+440+117+106+396+560+4+3+"-"+"+"+2.6+50+2</definedName>
    <definedName name="_ZF141" localSheetId="4">CFMODEL!$T$227+"DEF REV 07"+""+33+33+440+132+128+411+582+4+3+"-"+"+"+2.6+50+2</definedName>
    <definedName name="_ZF142" localSheetId="4">CFMODEL!$U$227+"DEF REV 08"+""+33+33+440+147+150+426+604+4+3+"-"+"+"+2.6+50+2</definedName>
    <definedName name="_ZF143" localSheetId="4">CFMODEL!$V$227+"DEF REV 09"+""+33+33+440+162+172+441+626+4+3+"-"+"+"+2.6+50+2</definedName>
    <definedName name="_ZF144" localSheetId="4">CFMODEL!$W$227+"DEF REV 10"+""+33+33+440+177+194+456+648+4+3+"-"+"+"+2.6+50+2</definedName>
    <definedName name="_ZF145" localSheetId="4">CFMODEL!$I$236+"RL 96"+""+33+33+440+192+216+471+670+4+3+"-"+"+"+2.6+50+2</definedName>
    <definedName name="_ZF146" localSheetId="4">CFMODEL!$J$236+"RL 97"+""+33+33+440+0+0+0+0+4+3+"-"+"+"+2.6+50+2</definedName>
    <definedName name="_ZF147" localSheetId="4">CFMODEL!$K$236+"RL 98"+""+33+33+440+0+0+0+0+4+3+"-"+"+"+2.6+50+2</definedName>
    <definedName name="_ZF148" localSheetId="4">CFMODEL!$L$236+"RL 99"+""+33+33+440+0+0+0+0+4+3+"-"+"+"+2.6+50+2</definedName>
    <definedName name="_ZF149" localSheetId="4">CFMODEL!$M$236+"RL 00"+""+33+33+440+0+0+0+0+4+3+"-"+"+"+2.6+50+2</definedName>
    <definedName name="_ZF150" localSheetId="4">CFMODEL!$N$236+"RL01"+""+33+33+440+0+0+0+0+4+3+"-"+"+"+2.6+50+2</definedName>
    <definedName name="_ZF151" localSheetId="4">CFMODEL!$O$236+"RL02"+""+33+33+440+0+0+0+0+4+3+"-"+"+"+2.6+50+2</definedName>
    <definedName name="_ZF152" localSheetId="4">CFMODEL!$P$236+"RL03"+""+33+33+440+0+0+0+0+4+3+"-"+"+"+2.6+50+2</definedName>
    <definedName name="_ZF153" localSheetId="4">CFMODEL!$Q$236+"RL 04"+""+33+33+440+0+0+0+0+4+3+"-"+"+"+2.6+50+2</definedName>
    <definedName name="_ZF154" localSheetId="4">CFMODEL!$R$236+"RL 05"+""+33+33+440+0+0+0+0+4+3+"-"+"+"+2.6+50+2</definedName>
    <definedName name="_ZF155" localSheetId="4">CFMODEL!$S$236+"RL 06"+""+33+33+440+0+0+0+0+4+3+"-"+"+"+2.6+50+2</definedName>
    <definedName name="_ZF156" localSheetId="4">CFMODEL!$T$236+"RL 07"+""+33+33+440+0+0+0+0+4+3+"-"+"+"+2.6+50+2</definedName>
    <definedName name="_ZF157" localSheetId="4">CFMODEL!$U$236+"RL 08"+""+33+33+440+0+0+0+0+4+3+"-"+"+"+2.6+50+2</definedName>
    <definedName name="_ZF158" localSheetId="4">CFMODEL!$V$236+"RL 09"+""+33+33+440+0+0+0+0+4+3+"-"+"+"+2.6+50+2</definedName>
    <definedName name="_ZF159" localSheetId="4">CFMODEL!$W$236+"RL10"+""+33+33+440+0+0+0+0+4+3+"-"+"+"+2.6+50+2</definedName>
    <definedName name="_ZF160" localSheetId="4">CFMODEL!$X$227+"X227"+""+16417+33+440+0+0+0+0+4+3+"-"+"+"+2.6+50+2</definedName>
    <definedName name="_ZF161" localSheetId="4">CFMODEL!$Y$227+"Y227"+""+16417+33+440+0+0+0+0+4+3+"-"+"+"+2.6+50+2</definedName>
    <definedName name="_ZF162" localSheetId="4">CFMODEL!$Z$227+"Z227"+""+16417+33+440+0+0+0+0+4+3+"-"+"+"+2.6+50+2</definedName>
    <definedName name="_ZF163" localSheetId="4">CFMODEL!$AA$227+"AA227"+""+16417+33+440+0+0+0+0+4+3+"-"+"+"+2.6+50+2</definedName>
    <definedName name="_ZF164" localSheetId="4">CFMODEL!$AB$227+"AB227"+""+16417+33+440+0+0+0+0+4+3+"-"+"+"+2.6+50+2</definedName>
    <definedName name="_ZF165" localSheetId="4">CFMODEL!$AC$227+"AC227"+""+16417+33+440+0+0+0+0+4+3+"-"+"+"+2.6+50+2</definedName>
    <definedName name="_ZF178" localSheetId="4">CFMODEL!#REF!+"Mult Yr. 3"+""+545+545+440+0+0+0+0+4+3+"-"+"+"+2.6+50+2</definedName>
    <definedName name="_ZF179" localSheetId="4">CFMODEL!#REF!+"Mult Yr. 4"+""+545+545+440+0+0+0+0+4+3+"-"+"+"+2.6+50+2</definedName>
    <definedName name="_ZF180" localSheetId="4">CFMODEL!#REF!+"Mult Yr. 5"+""+545+545+440+0+0+0+0+4+3+"-"+"+"+2.6+50+2</definedName>
  </definedNames>
  <calcPr calcId="0" calcMode="manual" fullCalcOnLoad="1" iterate="1" iterateCount="3" calcCompleted="0" calcOnSave="0"/>
</workbook>
</file>

<file path=xl/calcChain.xml><?xml version="1.0" encoding="utf-8"?>
<calcChain xmlns="http://schemas.openxmlformats.org/spreadsheetml/2006/main">
  <c r="H2" i="6" l="1"/>
  <c r="I2" i="6"/>
  <c r="B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S4" i="6"/>
  <c r="S5" i="6"/>
  <c r="H6" i="6"/>
  <c r="A9" i="6"/>
  <c r="E9" i="6"/>
  <c r="N9" i="6"/>
  <c r="O9" i="6"/>
  <c r="P9" i="6"/>
  <c r="Q9" i="6"/>
  <c r="S9" i="6"/>
  <c r="A10" i="6"/>
  <c r="C10" i="6"/>
  <c r="D10" i="6"/>
  <c r="H10" i="6"/>
  <c r="K10" i="6"/>
  <c r="N10" i="6"/>
  <c r="O10" i="6"/>
  <c r="P10" i="6"/>
  <c r="Q10" i="6"/>
  <c r="S10" i="6"/>
  <c r="A11" i="6"/>
  <c r="C11" i="6"/>
  <c r="D11" i="6"/>
  <c r="G11" i="6"/>
  <c r="H11" i="6"/>
  <c r="K11" i="6"/>
  <c r="N11" i="6"/>
  <c r="O11" i="6"/>
  <c r="P11" i="6"/>
  <c r="Q11" i="6"/>
  <c r="S11" i="6"/>
  <c r="A12" i="6"/>
  <c r="C12" i="6"/>
  <c r="D12" i="6"/>
  <c r="G12" i="6"/>
  <c r="H12" i="6"/>
  <c r="K12" i="6"/>
  <c r="N12" i="6"/>
  <c r="O12" i="6"/>
  <c r="P12" i="6"/>
  <c r="Q12" i="6"/>
  <c r="S12" i="6"/>
  <c r="A13" i="6"/>
  <c r="C13" i="6"/>
  <c r="D13" i="6"/>
  <c r="G13" i="6"/>
  <c r="H13" i="6"/>
  <c r="K13" i="6"/>
  <c r="N13" i="6"/>
  <c r="O13" i="6"/>
  <c r="P13" i="6"/>
  <c r="Q13" i="6"/>
  <c r="S13" i="6"/>
  <c r="A14" i="6"/>
  <c r="C14" i="6"/>
  <c r="D14" i="6"/>
  <c r="G14" i="6"/>
  <c r="H14" i="6"/>
  <c r="N14" i="6"/>
  <c r="Q14" i="6"/>
  <c r="S14" i="6"/>
  <c r="A15" i="6"/>
  <c r="C15" i="6"/>
  <c r="D15" i="6"/>
  <c r="G15" i="6"/>
  <c r="H15" i="6"/>
  <c r="A16" i="6"/>
  <c r="C16" i="6"/>
  <c r="D16" i="6"/>
  <c r="K16" i="6"/>
  <c r="N16" i="6"/>
  <c r="O16" i="6"/>
  <c r="P16" i="6"/>
  <c r="Q16" i="6"/>
  <c r="S16" i="6"/>
  <c r="A17" i="6"/>
  <c r="C17" i="6"/>
  <c r="D17" i="6"/>
  <c r="N17" i="6"/>
  <c r="O17" i="6"/>
  <c r="P17" i="6"/>
  <c r="Q17" i="6"/>
  <c r="S17" i="6"/>
  <c r="A18" i="6"/>
  <c r="C18" i="6"/>
  <c r="D18" i="6"/>
  <c r="N18" i="6"/>
  <c r="Q18" i="6"/>
  <c r="S18" i="6"/>
  <c r="A19" i="6"/>
  <c r="C19" i="6"/>
  <c r="N19" i="6"/>
  <c r="Q19" i="6"/>
  <c r="S19" i="6"/>
  <c r="A20" i="6"/>
  <c r="C20" i="6"/>
  <c r="A21" i="6"/>
  <c r="C21" i="6"/>
  <c r="E21" i="6"/>
  <c r="H21" i="6"/>
  <c r="K21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129" i="6"/>
  <c r="H129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B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B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B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B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B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B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I157" i="6"/>
  <c r="J157" i="6"/>
  <c r="K157" i="6"/>
  <c r="L157" i="6"/>
  <c r="M157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173" i="6"/>
  <c r="E173" i="6"/>
  <c r="F173" i="6"/>
  <c r="G173" i="6"/>
  <c r="H173" i="6"/>
  <c r="I173" i="6"/>
  <c r="J173" i="6"/>
  <c r="K173" i="6"/>
  <c r="L173" i="6"/>
  <c r="M173" i="6"/>
  <c r="N173" i="6"/>
  <c r="O173" i="6"/>
  <c r="P173" i="6"/>
  <c r="Q173" i="6"/>
  <c r="R173" i="6"/>
  <c r="S173" i="6"/>
  <c r="T173" i="6"/>
  <c r="U173" i="6"/>
  <c r="V173" i="6"/>
  <c r="W173" i="6"/>
  <c r="X173" i="6"/>
  <c r="Y173" i="6"/>
  <c r="Z173" i="6"/>
  <c r="AA173" i="6"/>
  <c r="AB173" i="6"/>
  <c r="AC173" i="6"/>
  <c r="A174" i="6"/>
  <c r="E174" i="6"/>
  <c r="F174" i="6"/>
  <c r="G174" i="6"/>
  <c r="H174" i="6"/>
  <c r="I174" i="6"/>
  <c r="J174" i="6"/>
  <c r="K174" i="6"/>
  <c r="L174" i="6"/>
  <c r="M174" i="6"/>
  <c r="N174" i="6"/>
  <c r="O174" i="6"/>
  <c r="P174" i="6"/>
  <c r="Q174" i="6"/>
  <c r="R174" i="6"/>
  <c r="S174" i="6"/>
  <c r="T174" i="6"/>
  <c r="U174" i="6"/>
  <c r="V174" i="6"/>
  <c r="W174" i="6"/>
  <c r="X174" i="6"/>
  <c r="Y174" i="6"/>
  <c r="Z174" i="6"/>
  <c r="AA174" i="6"/>
  <c r="AB174" i="6"/>
  <c r="AC174" i="6"/>
  <c r="A175" i="6"/>
  <c r="E175" i="6"/>
  <c r="F175" i="6"/>
  <c r="G175" i="6"/>
  <c r="H175" i="6"/>
  <c r="I175" i="6"/>
  <c r="J175" i="6"/>
  <c r="K175" i="6"/>
  <c r="L175" i="6"/>
  <c r="M175" i="6"/>
  <c r="N175" i="6"/>
  <c r="O175" i="6"/>
  <c r="P175" i="6"/>
  <c r="Q175" i="6"/>
  <c r="R175" i="6"/>
  <c r="S175" i="6"/>
  <c r="T175" i="6"/>
  <c r="U175" i="6"/>
  <c r="V175" i="6"/>
  <c r="W175" i="6"/>
  <c r="X175" i="6"/>
  <c r="Y175" i="6"/>
  <c r="Z175" i="6"/>
  <c r="AA175" i="6"/>
  <c r="AB175" i="6"/>
  <c r="AC175" i="6"/>
  <c r="A176" i="6"/>
  <c r="E176" i="6"/>
  <c r="F176" i="6"/>
  <c r="G176" i="6"/>
  <c r="H176" i="6"/>
  <c r="I176" i="6"/>
  <c r="J176" i="6"/>
  <c r="K176" i="6"/>
  <c r="L176" i="6"/>
  <c r="M176" i="6"/>
  <c r="N176" i="6"/>
  <c r="O176" i="6"/>
  <c r="P176" i="6"/>
  <c r="Q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179" i="6"/>
  <c r="E179" i="6"/>
  <c r="F179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S179" i="6"/>
  <c r="T179" i="6"/>
  <c r="U179" i="6"/>
  <c r="V179" i="6"/>
  <c r="W179" i="6"/>
  <c r="X179" i="6"/>
  <c r="Y179" i="6"/>
  <c r="Z179" i="6"/>
  <c r="AA179" i="6"/>
  <c r="AB179" i="6"/>
  <c r="AC179" i="6"/>
  <c r="A180" i="6"/>
  <c r="E180" i="6"/>
  <c r="F180" i="6"/>
  <c r="G180" i="6"/>
  <c r="H180" i="6"/>
  <c r="I180" i="6"/>
  <c r="J180" i="6"/>
  <c r="K180" i="6"/>
  <c r="L180" i="6"/>
  <c r="M180" i="6"/>
  <c r="N180" i="6"/>
  <c r="O180" i="6"/>
  <c r="P180" i="6"/>
  <c r="Q180" i="6"/>
  <c r="R180" i="6"/>
  <c r="S180" i="6"/>
  <c r="T180" i="6"/>
  <c r="U180" i="6"/>
  <c r="V180" i="6"/>
  <c r="W180" i="6"/>
  <c r="X180" i="6"/>
  <c r="Y180" i="6"/>
  <c r="Z180" i="6"/>
  <c r="AA180" i="6"/>
  <c r="AB180" i="6"/>
  <c r="AC180" i="6"/>
  <c r="E181" i="6"/>
  <c r="F181" i="6"/>
  <c r="G181" i="6"/>
  <c r="H181" i="6"/>
  <c r="I181" i="6"/>
  <c r="J181" i="6"/>
  <c r="K181" i="6"/>
  <c r="L181" i="6"/>
  <c r="M181" i="6"/>
  <c r="N181" i="6"/>
  <c r="O181" i="6"/>
  <c r="P181" i="6"/>
  <c r="Q181" i="6"/>
  <c r="R181" i="6"/>
  <c r="S181" i="6"/>
  <c r="T181" i="6"/>
  <c r="U181" i="6"/>
  <c r="V181" i="6"/>
  <c r="W181" i="6"/>
  <c r="X181" i="6"/>
  <c r="Y181" i="6"/>
  <c r="Z181" i="6"/>
  <c r="AA181" i="6"/>
  <c r="AB181" i="6"/>
  <c r="AC181" i="6"/>
  <c r="A183" i="6"/>
  <c r="E183" i="6"/>
  <c r="F183" i="6"/>
  <c r="G183" i="6"/>
  <c r="H183" i="6"/>
  <c r="I183" i="6"/>
  <c r="J183" i="6"/>
  <c r="K183" i="6"/>
  <c r="L183" i="6"/>
  <c r="M183" i="6"/>
  <c r="N183" i="6"/>
  <c r="O183" i="6"/>
  <c r="P183" i="6"/>
  <c r="Q183" i="6"/>
  <c r="R183" i="6"/>
  <c r="S183" i="6"/>
  <c r="T183" i="6"/>
  <c r="U183" i="6"/>
  <c r="V183" i="6"/>
  <c r="W183" i="6"/>
  <c r="X183" i="6"/>
  <c r="Y183" i="6"/>
  <c r="Z183" i="6"/>
  <c r="AA183" i="6"/>
  <c r="AB183" i="6"/>
  <c r="AC183" i="6"/>
  <c r="A184" i="6"/>
  <c r="E184" i="6"/>
  <c r="F184" i="6"/>
  <c r="G184" i="6"/>
  <c r="H184" i="6"/>
  <c r="I184" i="6"/>
  <c r="J184" i="6"/>
  <c r="K184" i="6"/>
  <c r="L184" i="6"/>
  <c r="M184" i="6"/>
  <c r="N184" i="6"/>
  <c r="O184" i="6"/>
  <c r="P184" i="6"/>
  <c r="Q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185" i="6"/>
  <c r="E185" i="6"/>
  <c r="F185" i="6"/>
  <c r="G185" i="6"/>
  <c r="H185" i="6"/>
  <c r="I185" i="6"/>
  <c r="J185" i="6"/>
  <c r="K185" i="6"/>
  <c r="L185" i="6"/>
  <c r="M185" i="6"/>
  <c r="N185" i="6"/>
  <c r="O185" i="6"/>
  <c r="P185" i="6"/>
  <c r="Q185" i="6"/>
  <c r="R185" i="6"/>
  <c r="S185" i="6"/>
  <c r="T185" i="6"/>
  <c r="U185" i="6"/>
  <c r="V185" i="6"/>
  <c r="W185" i="6"/>
  <c r="X185" i="6"/>
  <c r="Y185" i="6"/>
  <c r="Z185" i="6"/>
  <c r="AA185" i="6"/>
  <c r="AB185" i="6"/>
  <c r="AC185" i="6"/>
  <c r="A187" i="6"/>
  <c r="E187" i="6"/>
  <c r="F187" i="6"/>
  <c r="G187" i="6"/>
  <c r="H187" i="6"/>
  <c r="I187" i="6"/>
  <c r="J187" i="6"/>
  <c r="K187" i="6"/>
  <c r="L187" i="6"/>
  <c r="M187" i="6"/>
  <c r="N187" i="6"/>
  <c r="O187" i="6"/>
  <c r="P187" i="6"/>
  <c r="Q187" i="6"/>
  <c r="R187" i="6"/>
  <c r="S187" i="6"/>
  <c r="T187" i="6"/>
  <c r="U187" i="6"/>
  <c r="V187" i="6"/>
  <c r="W187" i="6"/>
  <c r="X187" i="6"/>
  <c r="Y187" i="6"/>
  <c r="Z187" i="6"/>
  <c r="AA187" i="6"/>
  <c r="AB187" i="6"/>
  <c r="AC187" i="6"/>
  <c r="A188" i="6"/>
  <c r="E188" i="6"/>
  <c r="F188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S188" i="6"/>
  <c r="T188" i="6"/>
  <c r="U188" i="6"/>
  <c r="V188" i="6"/>
  <c r="W188" i="6"/>
  <c r="X188" i="6"/>
  <c r="Y188" i="6"/>
  <c r="Z188" i="6"/>
  <c r="AA188" i="6"/>
  <c r="AB188" i="6"/>
  <c r="AC188" i="6"/>
  <c r="A189" i="6"/>
  <c r="E189" i="6"/>
  <c r="F189" i="6"/>
  <c r="G189" i="6"/>
  <c r="H189" i="6"/>
  <c r="I189" i="6"/>
  <c r="J189" i="6"/>
  <c r="K189" i="6"/>
  <c r="L189" i="6"/>
  <c r="M189" i="6"/>
  <c r="N189" i="6"/>
  <c r="O189" i="6"/>
  <c r="P189" i="6"/>
  <c r="Q189" i="6"/>
  <c r="R189" i="6"/>
  <c r="S189" i="6"/>
  <c r="T189" i="6"/>
  <c r="U189" i="6"/>
  <c r="V189" i="6"/>
  <c r="W189" i="6"/>
  <c r="X189" i="6"/>
  <c r="Y189" i="6"/>
  <c r="Z189" i="6"/>
  <c r="AA189" i="6"/>
  <c r="AB189" i="6"/>
  <c r="AC189" i="6"/>
  <c r="A191" i="6"/>
  <c r="A192" i="6"/>
  <c r="E192" i="6"/>
  <c r="F192" i="6"/>
  <c r="G192" i="6"/>
  <c r="H192" i="6"/>
  <c r="I192" i="6"/>
  <c r="J192" i="6"/>
  <c r="K192" i="6"/>
  <c r="L192" i="6"/>
  <c r="M192" i="6"/>
  <c r="N192" i="6"/>
  <c r="O192" i="6"/>
  <c r="P192" i="6"/>
  <c r="Q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193" i="6"/>
  <c r="E193" i="6"/>
  <c r="F193" i="6"/>
  <c r="G193" i="6"/>
  <c r="H193" i="6"/>
  <c r="I193" i="6"/>
  <c r="J193" i="6"/>
  <c r="K193" i="6"/>
  <c r="L193" i="6"/>
  <c r="M193" i="6"/>
  <c r="N193" i="6"/>
  <c r="O193" i="6"/>
  <c r="P193" i="6"/>
  <c r="Q193" i="6"/>
  <c r="R193" i="6"/>
  <c r="S193" i="6"/>
  <c r="T193" i="6"/>
  <c r="U193" i="6"/>
  <c r="V193" i="6"/>
  <c r="W193" i="6"/>
  <c r="X193" i="6"/>
  <c r="Y193" i="6"/>
  <c r="Z193" i="6"/>
  <c r="AA193" i="6"/>
  <c r="AB193" i="6"/>
  <c r="AC193" i="6"/>
  <c r="A194" i="6"/>
  <c r="E194" i="6"/>
  <c r="F194" i="6"/>
  <c r="G194" i="6"/>
  <c r="H194" i="6"/>
  <c r="I194" i="6"/>
  <c r="J194" i="6"/>
  <c r="K194" i="6"/>
  <c r="L194" i="6"/>
  <c r="M194" i="6"/>
  <c r="N194" i="6"/>
  <c r="O194" i="6"/>
  <c r="P194" i="6"/>
  <c r="Q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195" i="6"/>
  <c r="E195" i="6"/>
  <c r="F195" i="6"/>
  <c r="G195" i="6"/>
  <c r="H195" i="6"/>
  <c r="I195" i="6"/>
  <c r="J195" i="6"/>
  <c r="K195" i="6"/>
  <c r="L195" i="6"/>
  <c r="M195" i="6"/>
  <c r="N195" i="6"/>
  <c r="O195" i="6"/>
  <c r="P195" i="6"/>
  <c r="Q195" i="6"/>
  <c r="R195" i="6"/>
  <c r="S195" i="6"/>
  <c r="T195" i="6"/>
  <c r="U195" i="6"/>
  <c r="V195" i="6"/>
  <c r="W195" i="6"/>
  <c r="X195" i="6"/>
  <c r="Y195" i="6"/>
  <c r="Z195" i="6"/>
  <c r="AA195" i="6"/>
  <c r="AB195" i="6"/>
  <c r="AC195" i="6"/>
  <c r="A196" i="6"/>
  <c r="E196" i="6"/>
  <c r="F196" i="6"/>
  <c r="G196" i="6"/>
  <c r="H196" i="6"/>
  <c r="I196" i="6"/>
  <c r="J196" i="6"/>
  <c r="K196" i="6"/>
  <c r="L196" i="6"/>
  <c r="M196" i="6"/>
  <c r="N196" i="6"/>
  <c r="O196" i="6"/>
  <c r="P196" i="6"/>
  <c r="Q196" i="6"/>
  <c r="R196" i="6"/>
  <c r="S196" i="6"/>
  <c r="T196" i="6"/>
  <c r="U196" i="6"/>
  <c r="V196" i="6"/>
  <c r="W196" i="6"/>
  <c r="X196" i="6"/>
  <c r="Y196" i="6"/>
  <c r="Z196" i="6"/>
  <c r="AA196" i="6"/>
  <c r="AB196" i="6"/>
  <c r="AC196" i="6"/>
  <c r="A197" i="6"/>
  <c r="E197" i="6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S197" i="6"/>
  <c r="T197" i="6"/>
  <c r="U197" i="6"/>
  <c r="V197" i="6"/>
  <c r="W197" i="6"/>
  <c r="X197" i="6"/>
  <c r="Y197" i="6"/>
  <c r="Z197" i="6"/>
  <c r="AA197" i="6"/>
  <c r="AB197" i="6"/>
  <c r="AC197" i="6"/>
  <c r="A199" i="6"/>
  <c r="E199" i="6"/>
  <c r="F199" i="6"/>
  <c r="G199" i="6"/>
  <c r="H199" i="6"/>
  <c r="I199" i="6"/>
  <c r="J199" i="6"/>
  <c r="K199" i="6"/>
  <c r="L199" i="6"/>
  <c r="M199" i="6"/>
  <c r="N199" i="6"/>
  <c r="O199" i="6"/>
  <c r="P199" i="6"/>
  <c r="Q199" i="6"/>
  <c r="R199" i="6"/>
  <c r="S199" i="6"/>
  <c r="T199" i="6"/>
  <c r="U199" i="6"/>
  <c r="V199" i="6"/>
  <c r="W199" i="6"/>
  <c r="X199" i="6"/>
  <c r="Y199" i="6"/>
  <c r="Z199" i="6"/>
  <c r="AA199" i="6"/>
  <c r="AB199" i="6"/>
  <c r="AC199" i="6"/>
  <c r="A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S200" i="6"/>
  <c r="T200" i="6"/>
  <c r="U200" i="6"/>
  <c r="V200" i="6"/>
  <c r="W200" i="6"/>
  <c r="X200" i="6"/>
  <c r="Y200" i="6"/>
  <c r="Z200" i="6"/>
  <c r="AA200" i="6"/>
  <c r="AB200" i="6"/>
  <c r="AC200" i="6"/>
  <c r="A201" i="6"/>
  <c r="E201" i="6"/>
  <c r="F201" i="6"/>
  <c r="G201" i="6"/>
  <c r="H201" i="6"/>
  <c r="I201" i="6"/>
  <c r="J201" i="6"/>
  <c r="K201" i="6"/>
  <c r="L201" i="6"/>
  <c r="M201" i="6"/>
  <c r="N201" i="6"/>
  <c r="O201" i="6"/>
  <c r="P201" i="6"/>
  <c r="Q201" i="6"/>
  <c r="R201" i="6"/>
  <c r="S201" i="6"/>
  <c r="T201" i="6"/>
  <c r="U201" i="6"/>
  <c r="V201" i="6"/>
  <c r="W201" i="6"/>
  <c r="X201" i="6"/>
  <c r="Y201" i="6"/>
  <c r="Z201" i="6"/>
  <c r="AA201" i="6"/>
  <c r="AB201" i="6"/>
  <c r="AC201" i="6"/>
  <c r="A202" i="6"/>
  <c r="E202" i="6"/>
  <c r="F202" i="6"/>
  <c r="G202" i="6"/>
  <c r="H202" i="6"/>
  <c r="I202" i="6"/>
  <c r="J202" i="6"/>
  <c r="K202" i="6"/>
  <c r="L202" i="6"/>
  <c r="M202" i="6"/>
  <c r="N202" i="6"/>
  <c r="O202" i="6"/>
  <c r="P202" i="6"/>
  <c r="Q202" i="6"/>
  <c r="R202" i="6"/>
  <c r="S202" i="6"/>
  <c r="T202" i="6"/>
  <c r="U202" i="6"/>
  <c r="V202" i="6"/>
  <c r="W202" i="6"/>
  <c r="X202" i="6"/>
  <c r="Y202" i="6"/>
  <c r="Z202" i="6"/>
  <c r="AA202" i="6"/>
  <c r="AB202" i="6"/>
  <c r="AC202" i="6"/>
  <c r="A203" i="6"/>
  <c r="E203" i="6"/>
  <c r="F203" i="6"/>
  <c r="G203" i="6"/>
  <c r="H203" i="6"/>
  <c r="I203" i="6"/>
  <c r="J203" i="6"/>
  <c r="K203" i="6"/>
  <c r="L203" i="6"/>
  <c r="M203" i="6"/>
  <c r="N203" i="6"/>
  <c r="O203" i="6"/>
  <c r="P203" i="6"/>
  <c r="Q203" i="6"/>
  <c r="R203" i="6"/>
  <c r="S203" i="6"/>
  <c r="T203" i="6"/>
  <c r="U203" i="6"/>
  <c r="V203" i="6"/>
  <c r="W203" i="6"/>
  <c r="X203" i="6"/>
  <c r="Y203" i="6"/>
  <c r="Z203" i="6"/>
  <c r="AA203" i="6"/>
  <c r="AB203" i="6"/>
  <c r="AC203" i="6"/>
  <c r="A204" i="6"/>
  <c r="E204" i="6"/>
  <c r="F204" i="6"/>
  <c r="G204" i="6"/>
  <c r="H204" i="6"/>
  <c r="I204" i="6"/>
  <c r="J204" i="6"/>
  <c r="K204" i="6"/>
  <c r="L204" i="6"/>
  <c r="M204" i="6"/>
  <c r="N204" i="6"/>
  <c r="O204" i="6"/>
  <c r="P204" i="6"/>
  <c r="Q204" i="6"/>
  <c r="R204" i="6"/>
  <c r="S204" i="6"/>
  <c r="T204" i="6"/>
  <c r="U204" i="6"/>
  <c r="V204" i="6"/>
  <c r="W204" i="6"/>
  <c r="X204" i="6"/>
  <c r="Y204" i="6"/>
  <c r="Z204" i="6"/>
  <c r="AA204" i="6"/>
  <c r="AB204" i="6"/>
  <c r="AC204" i="6"/>
  <c r="A206" i="6"/>
  <c r="E206" i="6"/>
  <c r="F206" i="6"/>
  <c r="G206" i="6"/>
  <c r="H206" i="6"/>
  <c r="I206" i="6"/>
  <c r="J206" i="6"/>
  <c r="K206" i="6"/>
  <c r="L206" i="6"/>
  <c r="M206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208" i="6"/>
  <c r="E208" i="6"/>
  <c r="F208" i="6"/>
  <c r="G208" i="6"/>
  <c r="H208" i="6"/>
  <c r="I208" i="6"/>
  <c r="J208" i="6"/>
  <c r="K208" i="6"/>
  <c r="L208" i="6"/>
  <c r="M208" i="6"/>
  <c r="N208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209" i="6"/>
  <c r="E209" i="6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210" i="6"/>
  <c r="E210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211" i="6"/>
  <c r="E211" i="6"/>
  <c r="F211" i="6"/>
  <c r="G211" i="6"/>
  <c r="H211" i="6"/>
  <c r="I211" i="6"/>
  <c r="J211" i="6"/>
  <c r="K211" i="6"/>
  <c r="L211" i="6"/>
  <c r="M211" i="6"/>
  <c r="N211" i="6"/>
  <c r="O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212" i="6"/>
  <c r="E212" i="6"/>
  <c r="F212" i="6"/>
  <c r="G212" i="6"/>
  <c r="H212" i="6"/>
  <c r="I212" i="6"/>
  <c r="J212" i="6"/>
  <c r="K212" i="6"/>
  <c r="L212" i="6"/>
  <c r="M212" i="6"/>
  <c r="N212" i="6"/>
  <c r="O212" i="6"/>
  <c r="P212" i="6"/>
  <c r="Q212" i="6"/>
  <c r="R212" i="6"/>
  <c r="S212" i="6"/>
  <c r="T212" i="6"/>
  <c r="U212" i="6"/>
  <c r="V212" i="6"/>
  <c r="W212" i="6"/>
  <c r="X212" i="6"/>
  <c r="Y212" i="6"/>
  <c r="Z212" i="6"/>
  <c r="AA212" i="6"/>
  <c r="AB212" i="6"/>
  <c r="AC212" i="6"/>
  <c r="A213" i="6"/>
  <c r="E213" i="6"/>
  <c r="F213" i="6"/>
  <c r="G213" i="6"/>
  <c r="H213" i="6"/>
  <c r="I213" i="6"/>
  <c r="J213" i="6"/>
  <c r="K213" i="6"/>
  <c r="L213" i="6"/>
  <c r="M213" i="6"/>
  <c r="N213" i="6"/>
  <c r="O213" i="6"/>
  <c r="P213" i="6"/>
  <c r="Q213" i="6"/>
  <c r="R213" i="6"/>
  <c r="S213" i="6"/>
  <c r="T213" i="6"/>
  <c r="U213" i="6"/>
  <c r="V213" i="6"/>
  <c r="W213" i="6"/>
  <c r="X213" i="6"/>
  <c r="Y213" i="6"/>
  <c r="Z213" i="6"/>
  <c r="AA213" i="6"/>
  <c r="AB213" i="6"/>
  <c r="AC213" i="6"/>
  <c r="A214" i="6"/>
  <c r="E214" i="6"/>
  <c r="F214" i="6"/>
  <c r="G214" i="6"/>
  <c r="H214" i="6"/>
  <c r="I214" i="6"/>
  <c r="J214" i="6"/>
  <c r="K214" i="6"/>
  <c r="L214" i="6"/>
  <c r="M214" i="6"/>
  <c r="N214" i="6"/>
  <c r="O214" i="6"/>
  <c r="P214" i="6"/>
  <c r="Q214" i="6"/>
  <c r="R214" i="6"/>
  <c r="S214" i="6"/>
  <c r="T214" i="6"/>
  <c r="U214" i="6"/>
  <c r="V214" i="6"/>
  <c r="W214" i="6"/>
  <c r="X214" i="6"/>
  <c r="Y214" i="6"/>
  <c r="Z214" i="6"/>
  <c r="AA214" i="6"/>
  <c r="AB214" i="6"/>
  <c r="AC214" i="6"/>
  <c r="A215" i="6"/>
  <c r="E215" i="6"/>
  <c r="F215" i="6"/>
  <c r="G215" i="6"/>
  <c r="H215" i="6"/>
  <c r="I215" i="6"/>
  <c r="J215" i="6"/>
  <c r="K215" i="6"/>
  <c r="L215" i="6"/>
  <c r="M215" i="6"/>
  <c r="N215" i="6"/>
  <c r="O215" i="6"/>
  <c r="P215" i="6"/>
  <c r="Q215" i="6"/>
  <c r="R215" i="6"/>
  <c r="S215" i="6"/>
  <c r="T215" i="6"/>
  <c r="U215" i="6"/>
  <c r="V215" i="6"/>
  <c r="W215" i="6"/>
  <c r="X215" i="6"/>
  <c r="Y215" i="6"/>
  <c r="Z215" i="6"/>
  <c r="AA215" i="6"/>
  <c r="AB215" i="6"/>
  <c r="AC215" i="6"/>
  <c r="A216" i="6"/>
  <c r="E216" i="6"/>
  <c r="F216" i="6"/>
  <c r="G216" i="6"/>
  <c r="H216" i="6"/>
  <c r="I216" i="6"/>
  <c r="J216" i="6"/>
  <c r="K216" i="6"/>
  <c r="L216" i="6"/>
  <c r="M216" i="6"/>
  <c r="N216" i="6"/>
  <c r="O216" i="6"/>
  <c r="P216" i="6"/>
  <c r="Q216" i="6"/>
  <c r="R216" i="6"/>
  <c r="S216" i="6"/>
  <c r="T216" i="6"/>
  <c r="U216" i="6"/>
  <c r="V216" i="6"/>
  <c r="W216" i="6"/>
  <c r="X216" i="6"/>
  <c r="Y216" i="6"/>
  <c r="Z216" i="6"/>
  <c r="AA216" i="6"/>
  <c r="AB216" i="6"/>
  <c r="AC216" i="6"/>
  <c r="A217" i="6"/>
  <c r="E217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T217" i="6"/>
  <c r="U217" i="6"/>
  <c r="V217" i="6"/>
  <c r="W217" i="6"/>
  <c r="X217" i="6"/>
  <c r="Y217" i="6"/>
  <c r="Z217" i="6"/>
  <c r="AA217" i="6"/>
  <c r="AB217" i="6"/>
  <c r="AC217" i="6"/>
  <c r="E219" i="6"/>
  <c r="F219" i="6"/>
  <c r="G219" i="6"/>
  <c r="H219" i="6"/>
  <c r="I219" i="6"/>
  <c r="J219" i="6"/>
  <c r="K219" i="6"/>
  <c r="L219" i="6"/>
  <c r="M219" i="6"/>
  <c r="N219" i="6"/>
  <c r="O219" i="6"/>
  <c r="P219" i="6"/>
  <c r="Q219" i="6"/>
  <c r="R219" i="6"/>
  <c r="S219" i="6"/>
  <c r="T219" i="6"/>
  <c r="U219" i="6"/>
  <c r="V219" i="6"/>
  <c r="W219" i="6"/>
  <c r="X219" i="6"/>
  <c r="Y219" i="6"/>
  <c r="Z219" i="6"/>
  <c r="AA219" i="6"/>
  <c r="AB219" i="6"/>
  <c r="AC219" i="6"/>
  <c r="H222" i="6"/>
  <c r="I222" i="6"/>
  <c r="J222" i="6"/>
  <c r="K222" i="6"/>
  <c r="L222" i="6"/>
  <c r="M222" i="6"/>
  <c r="N222" i="6"/>
  <c r="O222" i="6"/>
  <c r="P222" i="6"/>
  <c r="Q222" i="6"/>
  <c r="R222" i="6"/>
  <c r="S222" i="6"/>
  <c r="T222" i="6"/>
  <c r="U222" i="6"/>
  <c r="V222" i="6"/>
  <c r="W222" i="6"/>
  <c r="X222" i="6"/>
  <c r="Y222" i="6"/>
  <c r="Z222" i="6"/>
  <c r="AA222" i="6"/>
  <c r="AB222" i="6"/>
  <c r="AC222" i="6"/>
  <c r="I224" i="6"/>
  <c r="J224" i="6"/>
  <c r="K224" i="6"/>
  <c r="L224" i="6"/>
  <c r="M224" i="6"/>
  <c r="N224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I225" i="6"/>
  <c r="J225" i="6"/>
  <c r="K225" i="6"/>
  <c r="L225" i="6"/>
  <c r="M225" i="6"/>
  <c r="N225" i="6"/>
  <c r="O225" i="6"/>
  <c r="P225" i="6"/>
  <c r="Q225" i="6"/>
  <c r="R225" i="6"/>
  <c r="S225" i="6"/>
  <c r="T225" i="6"/>
  <c r="U225" i="6"/>
  <c r="V225" i="6"/>
  <c r="W225" i="6"/>
  <c r="X225" i="6"/>
  <c r="Y225" i="6"/>
  <c r="Z225" i="6"/>
  <c r="AA225" i="6"/>
  <c r="AB225" i="6"/>
  <c r="AC225" i="6"/>
  <c r="I226" i="6"/>
  <c r="J226" i="6"/>
  <c r="K226" i="6"/>
  <c r="L226" i="6"/>
  <c r="M226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H227" i="6"/>
  <c r="I227" i="6"/>
  <c r="J227" i="6"/>
  <c r="K227" i="6"/>
  <c r="L227" i="6"/>
  <c r="M227" i="6"/>
  <c r="N227" i="6"/>
  <c r="O227" i="6"/>
  <c r="P227" i="6"/>
  <c r="Q227" i="6"/>
  <c r="R227" i="6"/>
  <c r="S227" i="6"/>
  <c r="T227" i="6"/>
  <c r="U227" i="6"/>
  <c r="V227" i="6"/>
  <c r="W227" i="6"/>
  <c r="X227" i="6"/>
  <c r="Y227" i="6"/>
  <c r="Z227" i="6"/>
  <c r="AA227" i="6"/>
  <c r="AB227" i="6"/>
  <c r="AC227" i="6"/>
  <c r="I228" i="6"/>
  <c r="J228" i="6"/>
  <c r="K228" i="6"/>
  <c r="L228" i="6"/>
  <c r="M228" i="6"/>
  <c r="N228" i="6"/>
  <c r="O228" i="6"/>
  <c r="P228" i="6"/>
  <c r="Q228" i="6"/>
  <c r="R228" i="6"/>
  <c r="S228" i="6"/>
  <c r="T228" i="6"/>
  <c r="U228" i="6"/>
  <c r="V228" i="6"/>
  <c r="W228" i="6"/>
  <c r="X228" i="6"/>
  <c r="Y228" i="6"/>
  <c r="Z228" i="6"/>
  <c r="AA228" i="6"/>
  <c r="AB228" i="6"/>
  <c r="AC228" i="6"/>
  <c r="A230" i="6"/>
  <c r="H230" i="6"/>
  <c r="I230" i="6"/>
  <c r="J230" i="6"/>
  <c r="K230" i="6"/>
  <c r="L230" i="6"/>
  <c r="M230" i="6"/>
  <c r="N230" i="6"/>
  <c r="O230" i="6"/>
  <c r="P230" i="6"/>
  <c r="Q230" i="6"/>
  <c r="R230" i="6"/>
  <c r="S230" i="6"/>
  <c r="T230" i="6"/>
  <c r="U230" i="6"/>
  <c r="V230" i="6"/>
  <c r="W230" i="6"/>
  <c r="X230" i="6"/>
  <c r="Y230" i="6"/>
  <c r="Z230" i="6"/>
  <c r="AA230" i="6"/>
  <c r="AB230" i="6"/>
  <c r="AC230" i="6"/>
  <c r="H231" i="6"/>
  <c r="I231" i="6"/>
  <c r="J231" i="6"/>
  <c r="K231" i="6"/>
  <c r="L231" i="6"/>
  <c r="M231" i="6"/>
  <c r="N231" i="6"/>
  <c r="O231" i="6"/>
  <c r="P231" i="6"/>
  <c r="Q231" i="6"/>
  <c r="R231" i="6"/>
  <c r="S231" i="6"/>
  <c r="T231" i="6"/>
  <c r="U231" i="6"/>
  <c r="V231" i="6"/>
  <c r="W231" i="6"/>
  <c r="X231" i="6"/>
  <c r="Y231" i="6"/>
  <c r="Z231" i="6"/>
  <c r="AA231" i="6"/>
  <c r="AB231" i="6"/>
  <c r="AC231" i="6"/>
  <c r="I232" i="6"/>
  <c r="J232" i="6"/>
  <c r="K232" i="6"/>
  <c r="L232" i="6"/>
  <c r="M232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I233" i="6"/>
  <c r="J233" i="6"/>
  <c r="K233" i="6"/>
  <c r="L233" i="6"/>
  <c r="M233" i="6"/>
  <c r="N233" i="6"/>
  <c r="O233" i="6"/>
  <c r="P233" i="6"/>
  <c r="Q233" i="6"/>
  <c r="R233" i="6"/>
  <c r="S233" i="6"/>
  <c r="T233" i="6"/>
  <c r="U233" i="6"/>
  <c r="V233" i="6"/>
  <c r="W233" i="6"/>
  <c r="X233" i="6"/>
  <c r="Y233" i="6"/>
  <c r="Z233" i="6"/>
  <c r="AA233" i="6"/>
  <c r="AB233" i="6"/>
  <c r="AC233" i="6"/>
  <c r="I234" i="6"/>
  <c r="J234" i="6"/>
  <c r="K234" i="6"/>
  <c r="L234" i="6"/>
  <c r="M234" i="6"/>
  <c r="N234" i="6"/>
  <c r="O234" i="6"/>
  <c r="P234" i="6"/>
  <c r="Q234" i="6"/>
  <c r="R234" i="6"/>
  <c r="S234" i="6"/>
  <c r="T234" i="6"/>
  <c r="U234" i="6"/>
  <c r="V234" i="6"/>
  <c r="W234" i="6"/>
  <c r="X234" i="6"/>
  <c r="Y234" i="6"/>
  <c r="Z234" i="6"/>
  <c r="AA234" i="6"/>
  <c r="AB234" i="6"/>
  <c r="AC234" i="6"/>
  <c r="H235" i="6"/>
  <c r="I235" i="6"/>
  <c r="J235" i="6"/>
  <c r="K235" i="6"/>
  <c r="L235" i="6"/>
  <c r="M235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G236" i="6"/>
  <c r="H236" i="6"/>
  <c r="I236" i="6"/>
  <c r="J236" i="6"/>
  <c r="K236" i="6"/>
  <c r="L236" i="6"/>
  <c r="M236" i="6"/>
  <c r="N236" i="6"/>
  <c r="O236" i="6"/>
  <c r="P236" i="6"/>
  <c r="Q236" i="6"/>
  <c r="R236" i="6"/>
  <c r="S236" i="6"/>
  <c r="T236" i="6"/>
  <c r="U236" i="6"/>
  <c r="V236" i="6"/>
  <c r="W236" i="6"/>
  <c r="X236" i="6"/>
  <c r="Y236" i="6"/>
  <c r="Z236" i="6"/>
  <c r="AA236" i="6"/>
  <c r="AB236" i="6"/>
  <c r="AC236" i="6"/>
  <c r="I237" i="6"/>
  <c r="J237" i="6"/>
  <c r="K237" i="6"/>
  <c r="L237" i="6"/>
  <c r="M237" i="6"/>
  <c r="N237" i="6"/>
  <c r="O237" i="6"/>
  <c r="P237" i="6"/>
  <c r="Q237" i="6"/>
  <c r="R237" i="6"/>
  <c r="S237" i="6"/>
  <c r="T237" i="6"/>
  <c r="U237" i="6"/>
  <c r="V237" i="6"/>
  <c r="W237" i="6"/>
  <c r="X237" i="6"/>
  <c r="Y237" i="6"/>
  <c r="Z237" i="6"/>
  <c r="AA237" i="6"/>
  <c r="AB237" i="6"/>
  <c r="AC237" i="6"/>
  <c r="H239" i="6"/>
  <c r="I239" i="6"/>
  <c r="J239" i="6"/>
  <c r="K239" i="6"/>
  <c r="L239" i="6"/>
  <c r="M239" i="6"/>
  <c r="N239" i="6"/>
  <c r="O239" i="6"/>
  <c r="P239" i="6"/>
  <c r="Q239" i="6"/>
  <c r="R239" i="6"/>
  <c r="S239" i="6"/>
  <c r="T239" i="6"/>
  <c r="U239" i="6"/>
  <c r="V239" i="6"/>
  <c r="W239" i="6"/>
  <c r="X239" i="6"/>
  <c r="Y239" i="6"/>
  <c r="Z239" i="6"/>
  <c r="AA239" i="6"/>
  <c r="AB239" i="6"/>
  <c r="AC239" i="6"/>
  <c r="A241" i="6"/>
  <c r="I241" i="6"/>
  <c r="J241" i="6"/>
  <c r="K241" i="6"/>
  <c r="L241" i="6"/>
  <c r="M241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H242" i="6"/>
  <c r="I242" i="6"/>
  <c r="J242" i="6"/>
  <c r="K242" i="6"/>
  <c r="L242" i="6"/>
  <c r="M242" i="6"/>
  <c r="N242" i="6"/>
  <c r="O242" i="6"/>
  <c r="P242" i="6"/>
  <c r="Q242" i="6"/>
  <c r="R242" i="6"/>
  <c r="S242" i="6"/>
  <c r="T242" i="6"/>
  <c r="U242" i="6"/>
  <c r="V242" i="6"/>
  <c r="W242" i="6"/>
  <c r="X242" i="6"/>
  <c r="Y242" i="6"/>
  <c r="Z242" i="6"/>
  <c r="AA242" i="6"/>
  <c r="AB242" i="6"/>
  <c r="AC242" i="6"/>
  <c r="H243" i="6"/>
  <c r="I243" i="6"/>
  <c r="J243" i="6"/>
  <c r="K243" i="6"/>
  <c r="L243" i="6"/>
  <c r="M243" i="6"/>
  <c r="N243" i="6"/>
  <c r="O243" i="6"/>
  <c r="P243" i="6"/>
  <c r="Q243" i="6"/>
  <c r="R243" i="6"/>
  <c r="S243" i="6"/>
  <c r="T243" i="6"/>
  <c r="U243" i="6"/>
  <c r="V243" i="6"/>
  <c r="W243" i="6"/>
  <c r="X243" i="6"/>
  <c r="Y243" i="6"/>
  <c r="Z243" i="6"/>
  <c r="AA243" i="6"/>
  <c r="AB243" i="6"/>
  <c r="AC243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H245" i="6"/>
  <c r="I245" i="6"/>
  <c r="J245" i="6"/>
  <c r="K245" i="6"/>
  <c r="L245" i="6"/>
  <c r="M245" i="6"/>
  <c r="N245" i="6"/>
  <c r="O245" i="6"/>
  <c r="P245" i="6"/>
  <c r="Q245" i="6"/>
  <c r="R245" i="6"/>
  <c r="S245" i="6"/>
  <c r="T245" i="6"/>
  <c r="U245" i="6"/>
  <c r="V245" i="6"/>
  <c r="W245" i="6"/>
  <c r="X245" i="6"/>
  <c r="Y245" i="6"/>
  <c r="Z245" i="6"/>
  <c r="AA245" i="6"/>
  <c r="AB245" i="6"/>
  <c r="AC245" i="6"/>
  <c r="I246" i="6"/>
  <c r="J246" i="6"/>
  <c r="K246" i="6"/>
  <c r="L246" i="6"/>
  <c r="M246" i="6"/>
  <c r="N246" i="6"/>
  <c r="O246" i="6"/>
  <c r="P246" i="6"/>
  <c r="Q246" i="6"/>
  <c r="R246" i="6"/>
  <c r="S246" i="6"/>
  <c r="T246" i="6"/>
  <c r="U246" i="6"/>
  <c r="V246" i="6"/>
  <c r="W246" i="6"/>
  <c r="X246" i="6"/>
  <c r="Y246" i="6"/>
  <c r="Z246" i="6"/>
  <c r="AA246" i="6"/>
  <c r="AB246" i="6"/>
  <c r="AC246" i="6"/>
  <c r="A248" i="6"/>
  <c r="H248" i="6"/>
  <c r="I248" i="6"/>
  <c r="J248" i="6"/>
  <c r="K248" i="6"/>
  <c r="L248" i="6"/>
  <c r="M248" i="6"/>
  <c r="N248" i="6"/>
  <c r="O248" i="6"/>
  <c r="P248" i="6"/>
  <c r="Q248" i="6"/>
  <c r="R248" i="6"/>
  <c r="S248" i="6"/>
  <c r="T248" i="6"/>
  <c r="U248" i="6"/>
  <c r="V248" i="6"/>
  <c r="W248" i="6"/>
  <c r="X248" i="6"/>
  <c r="Y248" i="6"/>
  <c r="Z248" i="6"/>
  <c r="AA248" i="6"/>
  <c r="AB248" i="6"/>
  <c r="AC248" i="6"/>
  <c r="I249" i="6"/>
  <c r="J249" i="6"/>
  <c r="K249" i="6"/>
  <c r="L249" i="6"/>
  <c r="M249" i="6"/>
  <c r="N249" i="6"/>
  <c r="O249" i="6"/>
  <c r="P249" i="6"/>
  <c r="Q249" i="6"/>
  <c r="R249" i="6"/>
  <c r="S249" i="6"/>
  <c r="T249" i="6"/>
  <c r="U249" i="6"/>
  <c r="V249" i="6"/>
  <c r="W249" i="6"/>
  <c r="X249" i="6"/>
  <c r="Y249" i="6"/>
  <c r="Z249" i="6"/>
  <c r="AA249" i="6"/>
  <c r="AB249" i="6"/>
  <c r="AC249" i="6"/>
  <c r="A251" i="6"/>
  <c r="H251" i="6"/>
  <c r="I251" i="6"/>
  <c r="J251" i="6"/>
  <c r="K251" i="6"/>
  <c r="L251" i="6"/>
  <c r="M251" i="6"/>
  <c r="N251" i="6"/>
  <c r="O251" i="6"/>
  <c r="P251" i="6"/>
  <c r="Q251" i="6"/>
  <c r="R251" i="6"/>
  <c r="S251" i="6"/>
  <c r="T251" i="6"/>
  <c r="U251" i="6"/>
  <c r="V251" i="6"/>
  <c r="W251" i="6"/>
  <c r="X251" i="6"/>
  <c r="Y251" i="6"/>
  <c r="Z251" i="6"/>
  <c r="AA251" i="6"/>
  <c r="AB251" i="6"/>
  <c r="AC251" i="6"/>
  <c r="H252" i="6"/>
  <c r="I252" i="6"/>
  <c r="J252" i="6"/>
  <c r="K252" i="6"/>
  <c r="L252" i="6"/>
  <c r="M252" i="6"/>
  <c r="N252" i="6"/>
  <c r="O252" i="6"/>
  <c r="P252" i="6"/>
  <c r="Q252" i="6"/>
  <c r="R252" i="6"/>
  <c r="S252" i="6"/>
  <c r="T252" i="6"/>
  <c r="U252" i="6"/>
  <c r="V252" i="6"/>
  <c r="W252" i="6"/>
  <c r="X252" i="6"/>
  <c r="Y252" i="6"/>
  <c r="Z252" i="6"/>
  <c r="AA252" i="6"/>
  <c r="AB252" i="6"/>
  <c r="AC252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AC253" i="6"/>
  <c r="H254" i="6"/>
  <c r="I254" i="6"/>
  <c r="J254" i="6"/>
  <c r="K254" i="6"/>
  <c r="L254" i="6"/>
  <c r="M254" i="6"/>
  <c r="N254" i="6"/>
  <c r="O254" i="6"/>
  <c r="P254" i="6"/>
  <c r="Q254" i="6"/>
  <c r="R254" i="6"/>
  <c r="S254" i="6"/>
  <c r="T254" i="6"/>
  <c r="U254" i="6"/>
  <c r="V254" i="6"/>
  <c r="W254" i="6"/>
  <c r="X254" i="6"/>
  <c r="Y254" i="6"/>
  <c r="Z254" i="6"/>
  <c r="AA254" i="6"/>
  <c r="AB254" i="6"/>
  <c r="AC254" i="6"/>
  <c r="A256" i="6"/>
  <c r="I256" i="6"/>
  <c r="J256" i="6"/>
  <c r="K256" i="6"/>
  <c r="L256" i="6"/>
  <c r="M256" i="6"/>
  <c r="N256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H257" i="6"/>
  <c r="I257" i="6"/>
  <c r="J257" i="6"/>
  <c r="K257" i="6"/>
  <c r="L257" i="6"/>
  <c r="M257" i="6"/>
  <c r="N257" i="6"/>
  <c r="O257" i="6"/>
  <c r="P257" i="6"/>
  <c r="Q257" i="6"/>
  <c r="R257" i="6"/>
  <c r="S257" i="6"/>
  <c r="T257" i="6"/>
  <c r="U257" i="6"/>
  <c r="V257" i="6"/>
  <c r="W257" i="6"/>
  <c r="X257" i="6"/>
  <c r="Y257" i="6"/>
  <c r="Z257" i="6"/>
  <c r="AA257" i="6"/>
  <c r="AB257" i="6"/>
  <c r="AC257" i="6"/>
  <c r="H258" i="6"/>
  <c r="I258" i="6"/>
  <c r="J258" i="6"/>
  <c r="K258" i="6"/>
  <c r="L258" i="6"/>
  <c r="M258" i="6"/>
  <c r="N258" i="6"/>
  <c r="O258" i="6"/>
  <c r="P258" i="6"/>
  <c r="Q258" i="6"/>
  <c r="R258" i="6"/>
  <c r="S258" i="6"/>
  <c r="T258" i="6"/>
  <c r="U258" i="6"/>
  <c r="V258" i="6"/>
  <c r="W258" i="6"/>
  <c r="X258" i="6"/>
  <c r="Y258" i="6"/>
  <c r="Z258" i="6"/>
  <c r="AA258" i="6"/>
  <c r="AB258" i="6"/>
  <c r="AC258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AC259" i="6"/>
  <c r="I260" i="6"/>
  <c r="J260" i="6"/>
  <c r="K260" i="6"/>
  <c r="L260" i="6"/>
  <c r="M260" i="6"/>
  <c r="N260" i="6"/>
  <c r="O260" i="6"/>
  <c r="P260" i="6"/>
  <c r="Q260" i="6"/>
  <c r="R260" i="6"/>
  <c r="S260" i="6"/>
  <c r="T260" i="6"/>
  <c r="U260" i="6"/>
  <c r="V260" i="6"/>
  <c r="W260" i="6"/>
  <c r="X260" i="6"/>
  <c r="Y260" i="6"/>
  <c r="Z260" i="6"/>
  <c r="AA260" i="6"/>
  <c r="AB260" i="6"/>
  <c r="AC260" i="6"/>
  <c r="A262" i="6"/>
  <c r="I262" i="6"/>
  <c r="J262" i="6"/>
  <c r="K262" i="6"/>
  <c r="L262" i="6"/>
  <c r="M262" i="6"/>
  <c r="N262" i="6"/>
  <c r="O262" i="6"/>
  <c r="P262" i="6"/>
  <c r="Q262" i="6"/>
  <c r="R262" i="6"/>
  <c r="S262" i="6"/>
  <c r="T262" i="6"/>
  <c r="U262" i="6"/>
  <c r="V262" i="6"/>
  <c r="W262" i="6"/>
  <c r="X262" i="6"/>
  <c r="Y262" i="6"/>
  <c r="Z262" i="6"/>
  <c r="AA262" i="6"/>
  <c r="AB262" i="6"/>
  <c r="AC262" i="6"/>
  <c r="H263" i="6"/>
  <c r="I263" i="6"/>
  <c r="J263" i="6"/>
  <c r="K263" i="6"/>
  <c r="L263" i="6"/>
  <c r="M263" i="6"/>
  <c r="N263" i="6"/>
  <c r="O263" i="6"/>
  <c r="P263" i="6"/>
  <c r="Q263" i="6"/>
  <c r="R263" i="6"/>
  <c r="S263" i="6"/>
  <c r="T263" i="6"/>
  <c r="U263" i="6"/>
  <c r="V263" i="6"/>
  <c r="W263" i="6"/>
  <c r="X263" i="6"/>
  <c r="Y263" i="6"/>
  <c r="Z263" i="6"/>
  <c r="AA263" i="6"/>
  <c r="AB263" i="6"/>
  <c r="AC263" i="6"/>
  <c r="H264" i="6"/>
  <c r="I264" i="6"/>
  <c r="J264" i="6"/>
  <c r="K264" i="6"/>
  <c r="L264" i="6"/>
  <c r="M264" i="6"/>
  <c r="N264" i="6"/>
  <c r="O264" i="6"/>
  <c r="P264" i="6"/>
  <c r="Q264" i="6"/>
  <c r="R264" i="6"/>
  <c r="S264" i="6"/>
  <c r="T264" i="6"/>
  <c r="U264" i="6"/>
  <c r="V264" i="6"/>
  <c r="W264" i="6"/>
  <c r="X264" i="6"/>
  <c r="Y264" i="6"/>
  <c r="Z264" i="6"/>
  <c r="AA264" i="6"/>
  <c r="AB264" i="6"/>
  <c r="AC264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T265" i="6"/>
  <c r="U265" i="6"/>
  <c r="V265" i="6"/>
  <c r="W265" i="6"/>
  <c r="X265" i="6"/>
  <c r="Y265" i="6"/>
  <c r="Z265" i="6"/>
  <c r="AA265" i="6"/>
  <c r="AB265" i="6"/>
  <c r="AC265" i="6"/>
  <c r="I266" i="6"/>
  <c r="J266" i="6"/>
  <c r="K266" i="6"/>
  <c r="L266" i="6"/>
  <c r="M266" i="6"/>
  <c r="N266" i="6"/>
  <c r="O266" i="6"/>
  <c r="P266" i="6"/>
  <c r="Q266" i="6"/>
  <c r="R266" i="6"/>
  <c r="S266" i="6"/>
  <c r="T266" i="6"/>
  <c r="U266" i="6"/>
  <c r="V266" i="6"/>
  <c r="W266" i="6"/>
  <c r="X266" i="6"/>
  <c r="Y266" i="6"/>
  <c r="Z266" i="6"/>
  <c r="AA266" i="6"/>
  <c r="AB266" i="6"/>
  <c r="AC266" i="6"/>
  <c r="A268" i="6"/>
  <c r="I268" i="6"/>
  <c r="J268" i="6"/>
  <c r="K268" i="6"/>
  <c r="L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AC268" i="6"/>
  <c r="H269" i="6"/>
  <c r="I269" i="6"/>
  <c r="J269" i="6"/>
  <c r="K269" i="6"/>
  <c r="L269" i="6"/>
  <c r="M269" i="6"/>
  <c r="N269" i="6"/>
  <c r="O269" i="6"/>
  <c r="P269" i="6"/>
  <c r="Q269" i="6"/>
  <c r="R269" i="6"/>
  <c r="S269" i="6"/>
  <c r="T269" i="6"/>
  <c r="U269" i="6"/>
  <c r="V269" i="6"/>
  <c r="W269" i="6"/>
  <c r="X269" i="6"/>
  <c r="Y269" i="6"/>
  <c r="Z269" i="6"/>
  <c r="AA269" i="6"/>
  <c r="AB269" i="6"/>
  <c r="AC269" i="6"/>
  <c r="I270" i="6"/>
  <c r="J270" i="6"/>
  <c r="K270" i="6"/>
  <c r="L270" i="6"/>
  <c r="M270" i="6"/>
  <c r="N270" i="6"/>
  <c r="O270" i="6"/>
  <c r="P270" i="6"/>
  <c r="Q270" i="6"/>
  <c r="R270" i="6"/>
  <c r="S270" i="6"/>
  <c r="T270" i="6"/>
  <c r="U270" i="6"/>
  <c r="V270" i="6"/>
  <c r="W270" i="6"/>
  <c r="X270" i="6"/>
  <c r="Y270" i="6"/>
  <c r="Z270" i="6"/>
  <c r="AA270" i="6"/>
  <c r="AB270" i="6"/>
  <c r="AC270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T271" i="6"/>
  <c r="U271" i="6"/>
  <c r="V271" i="6"/>
  <c r="W271" i="6"/>
  <c r="X271" i="6"/>
  <c r="Y271" i="6"/>
  <c r="Z271" i="6"/>
  <c r="AA271" i="6"/>
  <c r="AB271" i="6"/>
  <c r="AC271" i="6"/>
  <c r="I272" i="6"/>
  <c r="J272" i="6"/>
  <c r="K272" i="6"/>
  <c r="L272" i="6"/>
  <c r="M272" i="6"/>
  <c r="N272" i="6"/>
  <c r="O272" i="6"/>
  <c r="P272" i="6"/>
  <c r="Q272" i="6"/>
  <c r="R272" i="6"/>
  <c r="S272" i="6"/>
  <c r="T272" i="6"/>
  <c r="U272" i="6"/>
  <c r="V272" i="6"/>
  <c r="W272" i="6"/>
  <c r="X272" i="6"/>
  <c r="Y272" i="6"/>
  <c r="Z272" i="6"/>
  <c r="AA272" i="6"/>
  <c r="AB272" i="6"/>
  <c r="AC272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A276" i="6"/>
  <c r="I276" i="6"/>
  <c r="J276" i="6"/>
  <c r="K276" i="6"/>
  <c r="L276" i="6"/>
  <c r="M276" i="6"/>
  <c r="N276" i="6"/>
  <c r="O276" i="6"/>
  <c r="P276" i="6"/>
  <c r="Q276" i="6"/>
  <c r="R276" i="6"/>
  <c r="S276" i="6"/>
  <c r="T276" i="6"/>
  <c r="U276" i="6"/>
  <c r="V276" i="6"/>
  <c r="W276" i="6"/>
  <c r="X276" i="6"/>
  <c r="Y276" i="6"/>
  <c r="Z276" i="6"/>
  <c r="AA276" i="6"/>
  <c r="AB276" i="6"/>
  <c r="AC276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H278" i="6"/>
  <c r="I278" i="6"/>
  <c r="J278" i="6"/>
  <c r="K278" i="6"/>
  <c r="L278" i="6"/>
  <c r="M278" i="6"/>
  <c r="N278" i="6"/>
  <c r="O278" i="6"/>
  <c r="P278" i="6"/>
  <c r="Q278" i="6"/>
  <c r="R278" i="6"/>
  <c r="S278" i="6"/>
  <c r="T278" i="6"/>
  <c r="U278" i="6"/>
  <c r="V278" i="6"/>
  <c r="W278" i="6"/>
  <c r="X278" i="6"/>
  <c r="Y278" i="6"/>
  <c r="Z278" i="6"/>
  <c r="AA278" i="6"/>
  <c r="AB278" i="6"/>
  <c r="AC278" i="6"/>
  <c r="H279" i="6"/>
  <c r="I279" i="6"/>
  <c r="J279" i="6"/>
  <c r="K279" i="6"/>
  <c r="L279" i="6"/>
  <c r="M279" i="6"/>
  <c r="N279" i="6"/>
  <c r="O279" i="6"/>
  <c r="P279" i="6"/>
  <c r="Q279" i="6"/>
  <c r="R279" i="6"/>
  <c r="S279" i="6"/>
  <c r="T279" i="6"/>
  <c r="U279" i="6"/>
  <c r="V279" i="6"/>
  <c r="W279" i="6"/>
  <c r="X279" i="6"/>
  <c r="Y279" i="6"/>
  <c r="Z279" i="6"/>
  <c r="AA279" i="6"/>
  <c r="AB279" i="6"/>
  <c r="AC279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I281" i="6"/>
  <c r="J281" i="6"/>
  <c r="K281" i="6"/>
  <c r="L281" i="6"/>
  <c r="M281" i="6"/>
  <c r="N281" i="6"/>
  <c r="O281" i="6"/>
  <c r="P281" i="6"/>
  <c r="Q281" i="6"/>
  <c r="R281" i="6"/>
  <c r="S281" i="6"/>
  <c r="T281" i="6"/>
  <c r="U281" i="6"/>
  <c r="V281" i="6"/>
  <c r="W281" i="6"/>
  <c r="X281" i="6"/>
  <c r="Y281" i="6"/>
  <c r="Z281" i="6"/>
  <c r="AA281" i="6"/>
  <c r="AB281" i="6"/>
  <c r="AC281" i="6"/>
  <c r="A283" i="6"/>
  <c r="I283" i="6"/>
  <c r="J283" i="6"/>
  <c r="K283" i="6"/>
  <c r="L283" i="6"/>
  <c r="M283" i="6"/>
  <c r="N283" i="6"/>
  <c r="O283" i="6"/>
  <c r="P283" i="6"/>
  <c r="Q283" i="6"/>
  <c r="R283" i="6"/>
  <c r="S283" i="6"/>
  <c r="T283" i="6"/>
  <c r="U283" i="6"/>
  <c r="V283" i="6"/>
  <c r="W283" i="6"/>
  <c r="X283" i="6"/>
  <c r="Y283" i="6"/>
  <c r="Z283" i="6"/>
  <c r="AA283" i="6"/>
  <c r="AB283" i="6"/>
  <c r="AC283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AA286" i="6"/>
  <c r="AB286" i="6"/>
  <c r="AC286" i="6"/>
  <c r="I287" i="6"/>
  <c r="J287" i="6"/>
  <c r="K287" i="6"/>
  <c r="L287" i="6"/>
  <c r="M287" i="6"/>
  <c r="N287" i="6"/>
  <c r="O287" i="6"/>
  <c r="P287" i="6"/>
  <c r="Q287" i="6"/>
  <c r="R287" i="6"/>
  <c r="S287" i="6"/>
  <c r="T287" i="6"/>
  <c r="U287" i="6"/>
  <c r="V287" i="6"/>
  <c r="W287" i="6"/>
  <c r="X287" i="6"/>
  <c r="Y287" i="6"/>
  <c r="Z287" i="6"/>
  <c r="AA287" i="6"/>
  <c r="AB287" i="6"/>
  <c r="AC287" i="6"/>
  <c r="A289" i="6"/>
  <c r="I289" i="6"/>
  <c r="J289" i="6"/>
  <c r="K289" i="6"/>
  <c r="L289" i="6"/>
  <c r="M289" i="6"/>
  <c r="N289" i="6"/>
  <c r="O289" i="6"/>
  <c r="P289" i="6"/>
  <c r="Q289" i="6"/>
  <c r="R289" i="6"/>
  <c r="S289" i="6"/>
  <c r="T289" i="6"/>
  <c r="U289" i="6"/>
  <c r="V289" i="6"/>
  <c r="W289" i="6"/>
  <c r="X289" i="6"/>
  <c r="Y289" i="6"/>
  <c r="Z289" i="6"/>
  <c r="AA289" i="6"/>
  <c r="AB289" i="6"/>
  <c r="AC289" i="6"/>
  <c r="H290" i="6"/>
  <c r="I290" i="6"/>
  <c r="J290" i="6"/>
  <c r="K290" i="6"/>
  <c r="L290" i="6"/>
  <c r="M290" i="6"/>
  <c r="N290" i="6"/>
  <c r="O290" i="6"/>
  <c r="P290" i="6"/>
  <c r="Q290" i="6"/>
  <c r="R290" i="6"/>
  <c r="S290" i="6"/>
  <c r="T290" i="6"/>
  <c r="U290" i="6"/>
  <c r="V290" i="6"/>
  <c r="W290" i="6"/>
  <c r="X290" i="6"/>
  <c r="Y290" i="6"/>
  <c r="Z290" i="6"/>
  <c r="AA290" i="6"/>
  <c r="AB290" i="6"/>
  <c r="AC290" i="6"/>
  <c r="I291" i="6"/>
  <c r="J291" i="6"/>
  <c r="K291" i="6"/>
  <c r="L291" i="6"/>
  <c r="M291" i="6"/>
  <c r="N291" i="6"/>
  <c r="O291" i="6"/>
  <c r="P291" i="6"/>
  <c r="Q291" i="6"/>
  <c r="R291" i="6"/>
  <c r="S291" i="6"/>
  <c r="T291" i="6"/>
  <c r="U291" i="6"/>
  <c r="V291" i="6"/>
  <c r="W291" i="6"/>
  <c r="X291" i="6"/>
  <c r="Y291" i="6"/>
  <c r="Z291" i="6"/>
  <c r="AA291" i="6"/>
  <c r="AB291" i="6"/>
  <c r="AC291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I293" i="6"/>
  <c r="J293" i="6"/>
  <c r="K293" i="6"/>
  <c r="L293" i="6"/>
  <c r="M293" i="6"/>
  <c r="N293" i="6"/>
  <c r="O293" i="6"/>
  <c r="P293" i="6"/>
  <c r="Q293" i="6"/>
  <c r="R293" i="6"/>
  <c r="S293" i="6"/>
  <c r="T293" i="6"/>
  <c r="U293" i="6"/>
  <c r="V293" i="6"/>
  <c r="W293" i="6"/>
  <c r="X293" i="6"/>
  <c r="Y293" i="6"/>
  <c r="Z293" i="6"/>
  <c r="AA293" i="6"/>
  <c r="AB293" i="6"/>
  <c r="AC293" i="6"/>
  <c r="A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I296" i="6"/>
  <c r="J296" i="6"/>
  <c r="K296" i="6"/>
  <c r="L296" i="6"/>
  <c r="M296" i="6"/>
  <c r="N296" i="6"/>
  <c r="O296" i="6"/>
  <c r="P296" i="6"/>
  <c r="Q296" i="6"/>
  <c r="R296" i="6"/>
  <c r="S296" i="6"/>
  <c r="T296" i="6"/>
  <c r="U296" i="6"/>
  <c r="V296" i="6"/>
  <c r="W296" i="6"/>
  <c r="X296" i="6"/>
  <c r="Y296" i="6"/>
  <c r="Z296" i="6"/>
  <c r="AA296" i="6"/>
  <c r="AB296" i="6"/>
  <c r="AC296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T297" i="6"/>
  <c r="U297" i="6"/>
  <c r="V297" i="6"/>
  <c r="W297" i="6"/>
  <c r="X297" i="6"/>
  <c r="Y297" i="6"/>
  <c r="Z297" i="6"/>
  <c r="AA297" i="6"/>
  <c r="AB297" i="6"/>
  <c r="AC297" i="6"/>
  <c r="H298" i="6"/>
  <c r="I298" i="6"/>
  <c r="J298" i="6"/>
  <c r="K298" i="6"/>
  <c r="L298" i="6"/>
  <c r="M298" i="6"/>
  <c r="N298" i="6"/>
  <c r="O298" i="6"/>
  <c r="P298" i="6"/>
  <c r="Q298" i="6"/>
  <c r="R298" i="6"/>
  <c r="S298" i="6"/>
  <c r="T298" i="6"/>
  <c r="U298" i="6"/>
  <c r="V298" i="6"/>
  <c r="W298" i="6"/>
  <c r="X298" i="6"/>
  <c r="Y298" i="6"/>
  <c r="Z298" i="6"/>
  <c r="AA298" i="6"/>
  <c r="AB298" i="6"/>
  <c r="AC298" i="6"/>
  <c r="I299" i="6"/>
  <c r="J299" i="6"/>
  <c r="K299" i="6"/>
  <c r="L299" i="6"/>
  <c r="M299" i="6"/>
  <c r="N299" i="6"/>
  <c r="O299" i="6"/>
  <c r="P299" i="6"/>
  <c r="Q299" i="6"/>
  <c r="R299" i="6"/>
  <c r="S299" i="6"/>
  <c r="T299" i="6"/>
  <c r="U299" i="6"/>
  <c r="V299" i="6"/>
  <c r="W299" i="6"/>
  <c r="X299" i="6"/>
  <c r="Y299" i="6"/>
  <c r="Z299" i="6"/>
  <c r="AA299" i="6"/>
  <c r="AB299" i="6"/>
  <c r="AC299" i="6"/>
  <c r="I301" i="6"/>
  <c r="J301" i="6"/>
  <c r="K301" i="6"/>
  <c r="L301" i="6"/>
  <c r="M301" i="6"/>
  <c r="N301" i="6"/>
  <c r="O301" i="6"/>
  <c r="P301" i="6"/>
  <c r="Q301" i="6"/>
  <c r="R301" i="6"/>
  <c r="S301" i="6"/>
  <c r="T301" i="6"/>
  <c r="U301" i="6"/>
  <c r="V301" i="6"/>
  <c r="W301" i="6"/>
  <c r="X301" i="6"/>
  <c r="Y301" i="6"/>
  <c r="Z301" i="6"/>
  <c r="AA301" i="6"/>
  <c r="AB301" i="6"/>
  <c r="AC301" i="6"/>
  <c r="I302" i="6"/>
  <c r="J302" i="6"/>
  <c r="K302" i="6"/>
  <c r="L302" i="6"/>
  <c r="M302" i="6"/>
  <c r="N302" i="6"/>
  <c r="O302" i="6"/>
  <c r="P302" i="6"/>
  <c r="Q302" i="6"/>
  <c r="R302" i="6"/>
  <c r="S302" i="6"/>
  <c r="T302" i="6"/>
  <c r="U302" i="6"/>
  <c r="V302" i="6"/>
  <c r="W302" i="6"/>
  <c r="X302" i="6"/>
  <c r="Y302" i="6"/>
  <c r="Z302" i="6"/>
  <c r="AA302" i="6"/>
  <c r="AB302" i="6"/>
  <c r="AC302" i="6"/>
  <c r="H303" i="6"/>
  <c r="I303" i="6"/>
  <c r="J303" i="6"/>
  <c r="K303" i="6"/>
  <c r="L303" i="6"/>
  <c r="M303" i="6"/>
  <c r="N303" i="6"/>
  <c r="O303" i="6"/>
  <c r="P303" i="6"/>
  <c r="Q303" i="6"/>
  <c r="R303" i="6"/>
  <c r="S303" i="6"/>
  <c r="T303" i="6"/>
  <c r="U303" i="6"/>
  <c r="V303" i="6"/>
  <c r="W303" i="6"/>
  <c r="X303" i="6"/>
  <c r="Y303" i="6"/>
  <c r="Z303" i="6"/>
  <c r="AA303" i="6"/>
  <c r="AB303" i="6"/>
  <c r="AC303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T304" i="6"/>
  <c r="U304" i="6"/>
  <c r="V304" i="6"/>
  <c r="W304" i="6"/>
  <c r="X304" i="6"/>
  <c r="Y304" i="6"/>
  <c r="Z304" i="6"/>
  <c r="AA304" i="6"/>
  <c r="AB304" i="6"/>
  <c r="AC304" i="6"/>
  <c r="I305" i="6"/>
  <c r="J305" i="6"/>
  <c r="K305" i="6"/>
  <c r="L305" i="6"/>
  <c r="M305" i="6"/>
  <c r="N305" i="6"/>
  <c r="O305" i="6"/>
  <c r="P305" i="6"/>
  <c r="Q305" i="6"/>
  <c r="R305" i="6"/>
  <c r="S305" i="6"/>
  <c r="T305" i="6"/>
  <c r="U305" i="6"/>
  <c r="V305" i="6"/>
  <c r="W305" i="6"/>
  <c r="X305" i="6"/>
  <c r="Y305" i="6"/>
  <c r="Z305" i="6"/>
  <c r="AA305" i="6"/>
  <c r="AB305" i="6"/>
  <c r="AC305" i="6"/>
  <c r="A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T307" i="6"/>
  <c r="U307" i="6"/>
  <c r="V307" i="6"/>
  <c r="W307" i="6"/>
  <c r="X307" i="6"/>
  <c r="Y307" i="6"/>
  <c r="Z307" i="6"/>
  <c r="AA307" i="6"/>
  <c r="AB307" i="6"/>
  <c r="AC307" i="6"/>
  <c r="I308" i="6"/>
  <c r="J308" i="6"/>
  <c r="K308" i="6"/>
  <c r="L308" i="6"/>
  <c r="M308" i="6"/>
  <c r="N308" i="6"/>
  <c r="O308" i="6"/>
  <c r="P308" i="6"/>
  <c r="Q308" i="6"/>
  <c r="R308" i="6"/>
  <c r="S308" i="6"/>
  <c r="T308" i="6"/>
  <c r="U308" i="6"/>
  <c r="V308" i="6"/>
  <c r="W308" i="6"/>
  <c r="X308" i="6"/>
  <c r="Y308" i="6"/>
  <c r="Z308" i="6"/>
  <c r="AA308" i="6"/>
  <c r="AB308" i="6"/>
  <c r="AC308" i="6"/>
  <c r="H309" i="6"/>
  <c r="I309" i="6"/>
  <c r="J309" i="6"/>
  <c r="K309" i="6"/>
  <c r="L309" i="6"/>
  <c r="M309" i="6"/>
  <c r="N309" i="6"/>
  <c r="O309" i="6"/>
  <c r="P309" i="6"/>
  <c r="Q309" i="6"/>
  <c r="R309" i="6"/>
  <c r="S309" i="6"/>
  <c r="T309" i="6"/>
  <c r="U309" i="6"/>
  <c r="V309" i="6"/>
  <c r="W309" i="6"/>
  <c r="X309" i="6"/>
  <c r="Y309" i="6"/>
  <c r="Z309" i="6"/>
  <c r="AA309" i="6"/>
  <c r="AB309" i="6"/>
  <c r="AC309" i="6"/>
  <c r="H310" i="6"/>
  <c r="I310" i="6"/>
  <c r="J310" i="6"/>
  <c r="K310" i="6"/>
  <c r="L310" i="6"/>
  <c r="M310" i="6"/>
  <c r="N310" i="6"/>
  <c r="O310" i="6"/>
  <c r="P310" i="6"/>
  <c r="Q310" i="6"/>
  <c r="R310" i="6"/>
  <c r="S310" i="6"/>
  <c r="T310" i="6"/>
  <c r="U310" i="6"/>
  <c r="V310" i="6"/>
  <c r="W310" i="6"/>
  <c r="X310" i="6"/>
  <c r="Y310" i="6"/>
  <c r="Z310" i="6"/>
  <c r="AA310" i="6"/>
  <c r="AB310" i="6"/>
  <c r="AC310" i="6"/>
  <c r="I311" i="6"/>
  <c r="J311" i="6"/>
  <c r="K311" i="6"/>
  <c r="L311" i="6"/>
  <c r="M311" i="6"/>
  <c r="N311" i="6"/>
  <c r="O311" i="6"/>
  <c r="P311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AC311" i="6"/>
  <c r="A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I314" i="6"/>
  <c r="J314" i="6"/>
  <c r="K314" i="6"/>
  <c r="L314" i="6"/>
  <c r="M314" i="6"/>
  <c r="N314" i="6"/>
  <c r="O314" i="6"/>
  <c r="P314" i="6"/>
  <c r="Q314" i="6"/>
  <c r="R314" i="6"/>
  <c r="S314" i="6"/>
  <c r="T314" i="6"/>
  <c r="U314" i="6"/>
  <c r="V314" i="6"/>
  <c r="W314" i="6"/>
  <c r="X314" i="6"/>
  <c r="Y314" i="6"/>
  <c r="Z314" i="6"/>
  <c r="AA314" i="6"/>
  <c r="AB314" i="6"/>
  <c r="AC314" i="6"/>
  <c r="H315" i="6"/>
  <c r="I315" i="6"/>
  <c r="J315" i="6"/>
  <c r="K315" i="6"/>
  <c r="L315" i="6"/>
  <c r="M315" i="6"/>
  <c r="N315" i="6"/>
  <c r="O315" i="6"/>
  <c r="P315" i="6"/>
  <c r="Q315" i="6"/>
  <c r="R315" i="6"/>
  <c r="S315" i="6"/>
  <c r="T315" i="6"/>
  <c r="U315" i="6"/>
  <c r="V315" i="6"/>
  <c r="W315" i="6"/>
  <c r="X315" i="6"/>
  <c r="Y315" i="6"/>
  <c r="Z315" i="6"/>
  <c r="AA315" i="6"/>
  <c r="AB315" i="6"/>
  <c r="AC315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T316" i="6"/>
  <c r="U316" i="6"/>
  <c r="V316" i="6"/>
  <c r="W316" i="6"/>
  <c r="X316" i="6"/>
  <c r="Y316" i="6"/>
  <c r="Z316" i="6"/>
  <c r="AA316" i="6"/>
  <c r="AB316" i="6"/>
  <c r="AC316" i="6"/>
  <c r="I317" i="6"/>
  <c r="J317" i="6"/>
  <c r="K317" i="6"/>
  <c r="L317" i="6"/>
  <c r="M317" i="6"/>
  <c r="N317" i="6"/>
  <c r="O317" i="6"/>
  <c r="P317" i="6"/>
  <c r="Q317" i="6"/>
  <c r="R317" i="6"/>
  <c r="S317" i="6"/>
  <c r="T317" i="6"/>
  <c r="U317" i="6"/>
  <c r="V317" i="6"/>
  <c r="W317" i="6"/>
  <c r="X317" i="6"/>
  <c r="Y317" i="6"/>
  <c r="Z317" i="6"/>
  <c r="AA317" i="6"/>
  <c r="AB317" i="6"/>
  <c r="AC317" i="6"/>
  <c r="C325" i="6"/>
  <c r="C326" i="6"/>
  <c r="C328" i="6"/>
  <c r="C329" i="6"/>
  <c r="G329" i="6"/>
  <c r="I336" i="6"/>
  <c r="J336" i="6"/>
  <c r="K336" i="6"/>
  <c r="L336" i="6"/>
  <c r="M336" i="6"/>
  <c r="N336" i="6"/>
  <c r="O336" i="6"/>
  <c r="P336" i="6"/>
  <c r="Q336" i="6"/>
  <c r="R336" i="6"/>
  <c r="S336" i="6"/>
  <c r="I337" i="6"/>
  <c r="J337" i="6"/>
  <c r="K337" i="6"/>
  <c r="L337" i="6"/>
  <c r="M337" i="6"/>
  <c r="N337" i="6"/>
  <c r="O337" i="6"/>
  <c r="P337" i="6"/>
  <c r="Q337" i="6"/>
  <c r="R337" i="6"/>
  <c r="S337" i="6"/>
  <c r="T337" i="6"/>
  <c r="I338" i="6"/>
  <c r="J338" i="6"/>
  <c r="K338" i="6"/>
  <c r="L338" i="6"/>
  <c r="M338" i="6"/>
  <c r="N338" i="6"/>
  <c r="O338" i="6"/>
  <c r="P338" i="6"/>
  <c r="Q338" i="6"/>
  <c r="R338" i="6"/>
  <c r="S338" i="6"/>
  <c r="T338" i="6"/>
  <c r="I339" i="6"/>
  <c r="J339" i="6"/>
  <c r="K339" i="6"/>
  <c r="L339" i="6"/>
  <c r="M339" i="6"/>
  <c r="N339" i="6"/>
  <c r="O339" i="6"/>
  <c r="P339" i="6"/>
  <c r="Q339" i="6"/>
  <c r="R339" i="6"/>
  <c r="S339" i="6"/>
  <c r="T339" i="6"/>
  <c r="I340" i="6"/>
  <c r="J340" i="6"/>
  <c r="K340" i="6"/>
  <c r="L340" i="6"/>
  <c r="M340" i="6"/>
  <c r="N340" i="6"/>
  <c r="O340" i="6"/>
  <c r="P340" i="6"/>
  <c r="Q340" i="6"/>
  <c r="R340" i="6"/>
  <c r="S340" i="6"/>
  <c r="T340" i="6"/>
  <c r="I341" i="6"/>
  <c r="J341" i="6"/>
  <c r="K341" i="6"/>
  <c r="L341" i="6"/>
  <c r="M341" i="6"/>
  <c r="N341" i="6"/>
  <c r="O341" i="6"/>
  <c r="P341" i="6"/>
  <c r="Q341" i="6"/>
  <c r="R341" i="6"/>
  <c r="S341" i="6"/>
  <c r="T341" i="6"/>
  <c r="I342" i="6"/>
  <c r="J342" i="6"/>
  <c r="K342" i="6"/>
  <c r="L342" i="6"/>
  <c r="M342" i="6"/>
  <c r="N342" i="6"/>
  <c r="O342" i="6"/>
  <c r="P342" i="6"/>
  <c r="Q342" i="6"/>
  <c r="R342" i="6"/>
  <c r="S342" i="6"/>
  <c r="T342" i="6"/>
  <c r="I343" i="6"/>
  <c r="J343" i="6"/>
  <c r="K343" i="6"/>
  <c r="L343" i="6"/>
  <c r="M343" i="6"/>
  <c r="N343" i="6"/>
  <c r="O343" i="6"/>
  <c r="P343" i="6"/>
  <c r="Q343" i="6"/>
  <c r="R343" i="6"/>
  <c r="S343" i="6"/>
  <c r="T343" i="6"/>
  <c r="H344" i="6"/>
  <c r="I344" i="6"/>
  <c r="J344" i="6"/>
  <c r="K344" i="6"/>
  <c r="L344" i="6"/>
  <c r="M344" i="6"/>
  <c r="N344" i="6"/>
  <c r="O344" i="6"/>
  <c r="P344" i="6"/>
  <c r="Q344" i="6"/>
  <c r="R344" i="6"/>
  <c r="S344" i="6"/>
  <c r="T344" i="6"/>
  <c r="I345" i="6"/>
  <c r="J345" i="6"/>
  <c r="K345" i="6"/>
  <c r="L345" i="6"/>
  <c r="M345" i="6"/>
  <c r="N345" i="6"/>
  <c r="O345" i="6"/>
  <c r="P345" i="6"/>
  <c r="Q345" i="6"/>
  <c r="R345" i="6"/>
  <c r="S345" i="6"/>
  <c r="T345" i="6"/>
  <c r="I346" i="6"/>
  <c r="J346" i="6"/>
  <c r="K346" i="6"/>
  <c r="L346" i="6"/>
  <c r="M346" i="6"/>
  <c r="N346" i="6"/>
  <c r="O346" i="6"/>
  <c r="P346" i="6"/>
  <c r="Q346" i="6"/>
  <c r="R346" i="6"/>
  <c r="S346" i="6"/>
  <c r="T346" i="6"/>
  <c r="H347" i="6"/>
  <c r="T347" i="6"/>
  <c r="E348" i="6"/>
  <c r="H348" i="6"/>
  <c r="I348" i="6"/>
  <c r="J348" i="6"/>
  <c r="K348" i="6"/>
  <c r="L348" i="6"/>
  <c r="M348" i="6"/>
  <c r="N348" i="6"/>
  <c r="O348" i="6"/>
  <c r="P348" i="6"/>
  <c r="Q348" i="6"/>
  <c r="R348" i="6"/>
  <c r="S348" i="6"/>
  <c r="T348" i="6"/>
  <c r="C351" i="6"/>
  <c r="T351" i="6"/>
  <c r="C352" i="6"/>
  <c r="H352" i="6"/>
  <c r="I352" i="6"/>
  <c r="J352" i="6"/>
  <c r="K352" i="6"/>
  <c r="L352" i="6"/>
  <c r="M352" i="6"/>
  <c r="N352" i="6"/>
  <c r="O352" i="6"/>
  <c r="P352" i="6"/>
  <c r="Q352" i="6"/>
  <c r="R352" i="6"/>
  <c r="S352" i="6"/>
  <c r="T352" i="6"/>
  <c r="I353" i="6"/>
  <c r="J353" i="6"/>
  <c r="K353" i="6"/>
  <c r="L353" i="6"/>
  <c r="M353" i="6"/>
  <c r="N353" i="6"/>
  <c r="O353" i="6"/>
  <c r="P353" i="6"/>
  <c r="Q353" i="6"/>
  <c r="R353" i="6"/>
  <c r="S353" i="6"/>
  <c r="T353" i="6"/>
  <c r="H354" i="6"/>
  <c r="I354" i="6"/>
  <c r="J354" i="6"/>
  <c r="K354" i="6"/>
  <c r="L354" i="6"/>
  <c r="M354" i="6"/>
  <c r="N354" i="6"/>
  <c r="O354" i="6"/>
  <c r="P354" i="6"/>
  <c r="Q354" i="6"/>
  <c r="R354" i="6"/>
  <c r="S354" i="6"/>
  <c r="T354" i="6"/>
  <c r="T355" i="6"/>
  <c r="H356" i="6"/>
  <c r="I356" i="6"/>
  <c r="J356" i="6"/>
  <c r="K356" i="6"/>
  <c r="L356" i="6"/>
  <c r="M356" i="6"/>
  <c r="N356" i="6"/>
  <c r="O356" i="6"/>
  <c r="P356" i="6"/>
  <c r="Q356" i="6"/>
  <c r="R356" i="6"/>
  <c r="S356" i="6"/>
  <c r="T356" i="6"/>
  <c r="E357" i="6"/>
  <c r="H357" i="6"/>
  <c r="H358" i="6"/>
  <c r="H359" i="6"/>
  <c r="H360" i="6"/>
  <c r="H361" i="6"/>
  <c r="I361" i="6"/>
  <c r="J361" i="6"/>
  <c r="K361" i="6"/>
  <c r="L361" i="6"/>
  <c r="M361" i="6"/>
  <c r="N361" i="6"/>
  <c r="O361" i="6"/>
  <c r="P361" i="6"/>
  <c r="Q361" i="6"/>
  <c r="R361" i="6"/>
  <c r="S361" i="6"/>
  <c r="T361" i="6"/>
  <c r="E363" i="6"/>
  <c r="H363" i="6"/>
  <c r="I363" i="6"/>
  <c r="J363" i="6"/>
  <c r="K363" i="6"/>
  <c r="L363" i="6"/>
  <c r="M363" i="6"/>
  <c r="N363" i="6"/>
  <c r="O363" i="6"/>
  <c r="P363" i="6"/>
  <c r="Q363" i="6"/>
  <c r="R363" i="6"/>
  <c r="S363" i="6"/>
  <c r="T363" i="6"/>
  <c r="E364" i="6"/>
  <c r="H364" i="6"/>
  <c r="I364" i="6"/>
  <c r="J364" i="6"/>
  <c r="K364" i="6"/>
  <c r="L364" i="6"/>
  <c r="M364" i="6"/>
  <c r="N364" i="6"/>
  <c r="O364" i="6"/>
  <c r="P364" i="6"/>
  <c r="Q364" i="6"/>
  <c r="R364" i="6"/>
  <c r="S364" i="6"/>
  <c r="T364" i="6"/>
  <c r="I369" i="6"/>
  <c r="J369" i="6"/>
  <c r="K369" i="6"/>
  <c r="L369" i="6"/>
  <c r="M369" i="6"/>
  <c r="N369" i="6"/>
  <c r="O369" i="6"/>
  <c r="P369" i="6"/>
  <c r="Q369" i="6"/>
  <c r="R369" i="6"/>
  <c r="S369" i="6"/>
  <c r="I370" i="6"/>
  <c r="I371" i="6"/>
  <c r="I372" i="6"/>
  <c r="J372" i="6"/>
  <c r="A373" i="6"/>
  <c r="E373" i="6"/>
  <c r="I373" i="6"/>
  <c r="J373" i="6"/>
  <c r="K373" i="6"/>
  <c r="L373" i="6"/>
  <c r="M373" i="6"/>
  <c r="N373" i="6"/>
  <c r="O373" i="6"/>
  <c r="P373" i="6"/>
  <c r="A374" i="6"/>
  <c r="E374" i="6"/>
  <c r="I374" i="6"/>
  <c r="J374" i="6"/>
  <c r="K374" i="6"/>
  <c r="L374" i="6"/>
  <c r="M374" i="6"/>
  <c r="N374" i="6"/>
  <c r="O374" i="6"/>
  <c r="P374" i="6"/>
  <c r="A375" i="6"/>
  <c r="E375" i="6"/>
  <c r="I375" i="6"/>
  <c r="J375" i="6"/>
  <c r="K375" i="6"/>
  <c r="L375" i="6"/>
  <c r="M375" i="6"/>
  <c r="N375" i="6"/>
  <c r="O375" i="6"/>
  <c r="P375" i="6"/>
  <c r="A376" i="6"/>
  <c r="E376" i="6"/>
  <c r="I376" i="6"/>
  <c r="J376" i="6"/>
  <c r="K376" i="6"/>
  <c r="L376" i="6"/>
  <c r="M376" i="6"/>
  <c r="N376" i="6"/>
  <c r="O376" i="6"/>
  <c r="P376" i="6"/>
  <c r="Q376" i="6"/>
  <c r="A377" i="6"/>
  <c r="E377" i="6"/>
  <c r="I377" i="6"/>
  <c r="J377" i="6"/>
  <c r="K377" i="6"/>
  <c r="L377" i="6"/>
  <c r="M377" i="6"/>
  <c r="N377" i="6"/>
  <c r="O377" i="6"/>
  <c r="P377" i="6"/>
  <c r="Q377" i="6"/>
  <c r="R377" i="6"/>
  <c r="S377" i="6"/>
  <c r="A378" i="6"/>
  <c r="E378" i="6"/>
  <c r="I378" i="6"/>
  <c r="J378" i="6"/>
  <c r="K378" i="6"/>
  <c r="L378" i="6"/>
  <c r="M378" i="6"/>
  <c r="N378" i="6"/>
  <c r="O378" i="6"/>
  <c r="P378" i="6"/>
  <c r="Q378" i="6"/>
  <c r="R378" i="6"/>
  <c r="S378" i="6"/>
  <c r="A379" i="6"/>
  <c r="E379" i="6"/>
  <c r="I379" i="6"/>
  <c r="J379" i="6"/>
  <c r="K379" i="6"/>
  <c r="L379" i="6"/>
  <c r="M379" i="6"/>
  <c r="N379" i="6"/>
  <c r="O379" i="6"/>
  <c r="P379" i="6"/>
  <c r="Q379" i="6"/>
  <c r="R379" i="6"/>
  <c r="S379" i="6"/>
  <c r="A380" i="6"/>
  <c r="E380" i="6"/>
  <c r="I380" i="6"/>
  <c r="J380" i="6"/>
  <c r="K380" i="6"/>
  <c r="L380" i="6"/>
  <c r="M380" i="6"/>
  <c r="N380" i="6"/>
  <c r="O380" i="6"/>
  <c r="P380" i="6"/>
  <c r="Q380" i="6"/>
  <c r="R380" i="6"/>
  <c r="S380" i="6"/>
  <c r="A381" i="6"/>
  <c r="E381" i="6"/>
  <c r="A382" i="6"/>
  <c r="E382" i="6"/>
  <c r="E383" i="6"/>
  <c r="I383" i="6"/>
  <c r="J383" i="6"/>
  <c r="K383" i="6"/>
  <c r="L383" i="6"/>
  <c r="M383" i="6"/>
  <c r="N383" i="6"/>
  <c r="O383" i="6"/>
  <c r="P383" i="6"/>
  <c r="Q383" i="6"/>
  <c r="R383" i="6"/>
  <c r="S383" i="6"/>
  <c r="E388" i="6"/>
  <c r="F388" i="6"/>
  <c r="G388" i="6"/>
  <c r="I388" i="6"/>
  <c r="N388" i="6"/>
  <c r="K389" i="6"/>
  <c r="L389" i="6"/>
  <c r="N389" i="6"/>
  <c r="P389" i="6"/>
  <c r="N390" i="6"/>
  <c r="N391" i="6"/>
  <c r="N392" i="6"/>
  <c r="E393" i="6"/>
  <c r="F393" i="6"/>
  <c r="G393" i="6"/>
  <c r="I393" i="6"/>
  <c r="K393" i="6"/>
  <c r="L393" i="6"/>
  <c r="N393" i="6"/>
  <c r="K395" i="6"/>
  <c r="N395" i="6"/>
  <c r="K396" i="6"/>
  <c r="N396" i="6"/>
  <c r="I397" i="6"/>
  <c r="K397" i="6"/>
  <c r="N397" i="6"/>
  <c r="K399" i="6"/>
  <c r="N399" i="6"/>
  <c r="N400" i="6"/>
  <c r="E401" i="6"/>
  <c r="F401" i="6"/>
  <c r="G401" i="6"/>
  <c r="I401" i="6"/>
  <c r="N401" i="6"/>
  <c r="K403" i="6"/>
  <c r="N403" i="6"/>
  <c r="N404" i="6"/>
  <c r="E405" i="6"/>
  <c r="F405" i="6"/>
  <c r="G405" i="6"/>
  <c r="I405" i="6"/>
  <c r="K405" i="6"/>
  <c r="L405" i="6"/>
  <c r="N405" i="6"/>
  <c r="N408" i="6"/>
  <c r="N409" i="6"/>
  <c r="N410" i="6"/>
  <c r="N411" i="6"/>
  <c r="P411" i="6"/>
  <c r="Q411" i="6"/>
  <c r="R411" i="6"/>
  <c r="S411" i="6"/>
  <c r="K412" i="6"/>
  <c r="N412" i="6"/>
  <c r="P412" i="6"/>
  <c r="Q412" i="6"/>
  <c r="E413" i="6"/>
  <c r="F413" i="6"/>
  <c r="G413" i="6"/>
  <c r="I413" i="6"/>
  <c r="K413" i="6"/>
  <c r="L413" i="6"/>
  <c r="N413" i="6"/>
  <c r="P413" i="6"/>
  <c r="Q413" i="6"/>
  <c r="R413" i="6"/>
  <c r="S413" i="6"/>
  <c r="K415" i="6"/>
  <c r="L415" i="6"/>
  <c r="N415" i="6"/>
  <c r="P415" i="6"/>
  <c r="Q415" i="6"/>
  <c r="R415" i="6"/>
  <c r="S415" i="6"/>
  <c r="K416" i="6"/>
  <c r="L416" i="6"/>
  <c r="N416" i="6"/>
  <c r="P416" i="6"/>
  <c r="Q416" i="6"/>
  <c r="R416" i="6"/>
  <c r="S416" i="6"/>
  <c r="N417" i="6"/>
  <c r="K418" i="6"/>
  <c r="N418" i="6"/>
  <c r="P418" i="6"/>
  <c r="Q418" i="6"/>
  <c r="R418" i="6"/>
  <c r="S418" i="6"/>
  <c r="N419" i="6"/>
  <c r="E420" i="6"/>
  <c r="F420" i="6"/>
  <c r="G420" i="6"/>
  <c r="I420" i="6"/>
  <c r="K420" i="6"/>
  <c r="L420" i="6"/>
  <c r="N420" i="6"/>
  <c r="P420" i="6"/>
  <c r="Q420" i="6"/>
  <c r="R420" i="6"/>
  <c r="S420" i="6"/>
  <c r="E422" i="6"/>
  <c r="F422" i="6"/>
  <c r="G422" i="6"/>
  <c r="I422" i="6"/>
  <c r="K422" i="6"/>
  <c r="L422" i="6"/>
  <c r="N422" i="6"/>
  <c r="P422" i="6"/>
  <c r="Q422" i="6"/>
  <c r="R422" i="6"/>
  <c r="S422" i="6"/>
  <c r="A424" i="6"/>
  <c r="K424" i="6"/>
  <c r="L424" i="6"/>
  <c r="N424" i="6"/>
  <c r="P424" i="6"/>
  <c r="Q424" i="6"/>
  <c r="R424" i="6"/>
  <c r="S424" i="6"/>
  <c r="A425" i="6"/>
  <c r="K425" i="6"/>
  <c r="N425" i="6"/>
  <c r="P425" i="6"/>
  <c r="Q425" i="6"/>
  <c r="R425" i="6"/>
  <c r="S425" i="6"/>
  <c r="N426" i="6"/>
  <c r="P426" i="6"/>
  <c r="Q426" i="6"/>
  <c r="R426" i="6"/>
  <c r="S426" i="6"/>
  <c r="N427" i="6"/>
  <c r="P427" i="6"/>
  <c r="Q427" i="6"/>
  <c r="R427" i="6"/>
  <c r="S427" i="6"/>
  <c r="L428" i="6"/>
  <c r="N428" i="6"/>
  <c r="P428" i="6"/>
  <c r="Q428" i="6"/>
  <c r="R428" i="6"/>
  <c r="S428" i="6"/>
  <c r="L429" i="6"/>
  <c r="N429" i="6"/>
  <c r="P429" i="6"/>
  <c r="Q429" i="6"/>
  <c r="R429" i="6"/>
  <c r="S429" i="6"/>
  <c r="N430" i="6"/>
  <c r="P430" i="6"/>
  <c r="Q430" i="6"/>
  <c r="R430" i="6"/>
  <c r="S430" i="6"/>
  <c r="N431" i="6"/>
  <c r="P431" i="6"/>
  <c r="Q431" i="6"/>
  <c r="R431" i="6"/>
  <c r="S431" i="6"/>
  <c r="E432" i="6"/>
  <c r="F432" i="6"/>
  <c r="G432" i="6"/>
  <c r="I432" i="6"/>
  <c r="K432" i="6"/>
  <c r="L432" i="6"/>
  <c r="N432" i="6"/>
  <c r="P432" i="6"/>
  <c r="Q432" i="6"/>
  <c r="R432" i="6"/>
  <c r="S432" i="6"/>
  <c r="E433" i="6"/>
  <c r="F433" i="6"/>
  <c r="G433" i="6"/>
  <c r="I433" i="6"/>
  <c r="K433" i="6"/>
  <c r="L433" i="6"/>
  <c r="N433" i="6"/>
  <c r="P433" i="6"/>
  <c r="Q433" i="6"/>
  <c r="R433" i="6"/>
  <c r="S433" i="6"/>
  <c r="E435" i="6"/>
  <c r="F435" i="6"/>
  <c r="G435" i="6"/>
  <c r="I435" i="6"/>
  <c r="K435" i="6"/>
  <c r="L435" i="6"/>
  <c r="N435" i="6"/>
  <c r="E439" i="6"/>
  <c r="F439" i="6"/>
  <c r="G439" i="6"/>
  <c r="H439" i="6"/>
  <c r="I439" i="6"/>
  <c r="J439" i="6"/>
  <c r="K439" i="6"/>
  <c r="L439" i="6"/>
  <c r="M439" i="6"/>
  <c r="N439" i="6"/>
  <c r="O439" i="6"/>
  <c r="P439" i="6"/>
  <c r="Q439" i="6"/>
  <c r="R439" i="6"/>
  <c r="S439" i="6"/>
  <c r="T439" i="6"/>
  <c r="U439" i="6"/>
  <c r="V439" i="6"/>
  <c r="W439" i="6"/>
  <c r="X439" i="6"/>
  <c r="Y439" i="6"/>
  <c r="Z439" i="6"/>
  <c r="AA439" i="6"/>
  <c r="AB439" i="6"/>
  <c r="AC439" i="6"/>
  <c r="A440" i="6"/>
  <c r="E440" i="6"/>
  <c r="F440" i="6"/>
  <c r="G440" i="6"/>
  <c r="H440" i="6"/>
  <c r="I440" i="6"/>
  <c r="J440" i="6"/>
  <c r="K440" i="6"/>
  <c r="L440" i="6"/>
  <c r="M440" i="6"/>
  <c r="N440" i="6"/>
  <c r="O440" i="6"/>
  <c r="P440" i="6"/>
  <c r="Q440" i="6"/>
  <c r="R440" i="6"/>
  <c r="S440" i="6"/>
  <c r="T440" i="6"/>
  <c r="U440" i="6"/>
  <c r="V440" i="6"/>
  <c r="W440" i="6"/>
  <c r="X440" i="6"/>
  <c r="Y440" i="6"/>
  <c r="Z440" i="6"/>
  <c r="AA440" i="6"/>
  <c r="AB440" i="6"/>
  <c r="AC440" i="6"/>
  <c r="A441" i="6"/>
  <c r="E441" i="6"/>
  <c r="F441" i="6"/>
  <c r="G441" i="6"/>
  <c r="H441" i="6"/>
  <c r="I441" i="6"/>
  <c r="J441" i="6"/>
  <c r="K441" i="6"/>
  <c r="L441" i="6"/>
  <c r="M441" i="6"/>
  <c r="N441" i="6"/>
  <c r="O441" i="6"/>
  <c r="P441" i="6"/>
  <c r="Q441" i="6"/>
  <c r="R441" i="6"/>
  <c r="S441" i="6"/>
  <c r="T441" i="6"/>
  <c r="U441" i="6"/>
  <c r="V441" i="6"/>
  <c r="W441" i="6"/>
  <c r="X441" i="6"/>
  <c r="Y441" i="6"/>
  <c r="Z441" i="6"/>
  <c r="AA441" i="6"/>
  <c r="AB441" i="6"/>
  <c r="AC441" i="6"/>
  <c r="A442" i="6"/>
  <c r="E442" i="6"/>
  <c r="F442" i="6"/>
  <c r="G442" i="6"/>
  <c r="H442" i="6"/>
  <c r="I442" i="6"/>
  <c r="J442" i="6"/>
  <c r="K442" i="6"/>
  <c r="L442" i="6"/>
  <c r="M442" i="6"/>
  <c r="N442" i="6"/>
  <c r="O442" i="6"/>
  <c r="P442" i="6"/>
  <c r="Q442" i="6"/>
  <c r="R442" i="6"/>
  <c r="S442" i="6"/>
  <c r="T442" i="6"/>
  <c r="U442" i="6"/>
  <c r="V442" i="6"/>
  <c r="W442" i="6"/>
  <c r="X442" i="6"/>
  <c r="Y442" i="6"/>
  <c r="Z442" i="6"/>
  <c r="AA442" i="6"/>
  <c r="AB442" i="6"/>
  <c r="AC442" i="6"/>
  <c r="A443" i="6"/>
  <c r="E443" i="6"/>
  <c r="F443" i="6"/>
  <c r="G443" i="6"/>
  <c r="H443" i="6"/>
  <c r="I443" i="6"/>
  <c r="J443" i="6"/>
  <c r="K443" i="6"/>
  <c r="L443" i="6"/>
  <c r="M443" i="6"/>
  <c r="N443" i="6"/>
  <c r="O443" i="6"/>
  <c r="P443" i="6"/>
  <c r="Q443" i="6"/>
  <c r="R443" i="6"/>
  <c r="S443" i="6"/>
  <c r="T443" i="6"/>
  <c r="U443" i="6"/>
  <c r="V443" i="6"/>
  <c r="W443" i="6"/>
  <c r="X443" i="6"/>
  <c r="Y443" i="6"/>
  <c r="Z443" i="6"/>
  <c r="AA443" i="6"/>
  <c r="AB443" i="6"/>
  <c r="AC443" i="6"/>
  <c r="A444" i="6"/>
  <c r="E444" i="6"/>
  <c r="F444" i="6"/>
  <c r="G444" i="6"/>
  <c r="H444" i="6"/>
  <c r="I444" i="6"/>
  <c r="J444" i="6"/>
  <c r="K444" i="6"/>
  <c r="L444" i="6"/>
  <c r="M444" i="6"/>
  <c r="N444" i="6"/>
  <c r="O444" i="6"/>
  <c r="P444" i="6"/>
  <c r="Q444" i="6"/>
  <c r="R444" i="6"/>
  <c r="S444" i="6"/>
  <c r="T444" i="6"/>
  <c r="U444" i="6"/>
  <c r="V444" i="6"/>
  <c r="W444" i="6"/>
  <c r="X444" i="6"/>
  <c r="Y444" i="6"/>
  <c r="Z444" i="6"/>
  <c r="AA444" i="6"/>
  <c r="AB444" i="6"/>
  <c r="AC444" i="6"/>
  <c r="A445" i="6"/>
  <c r="E445" i="6"/>
  <c r="F445" i="6"/>
  <c r="G445" i="6"/>
  <c r="H445" i="6"/>
  <c r="I445" i="6"/>
  <c r="J445" i="6"/>
  <c r="K445" i="6"/>
  <c r="L445" i="6"/>
  <c r="M445" i="6"/>
  <c r="N445" i="6"/>
  <c r="O445" i="6"/>
  <c r="P445" i="6"/>
  <c r="Q445" i="6"/>
  <c r="R445" i="6"/>
  <c r="S445" i="6"/>
  <c r="T445" i="6"/>
  <c r="U445" i="6"/>
  <c r="V445" i="6"/>
  <c r="W445" i="6"/>
  <c r="X445" i="6"/>
  <c r="Y445" i="6"/>
  <c r="Z445" i="6"/>
  <c r="AA445" i="6"/>
  <c r="AB445" i="6"/>
  <c r="AC445" i="6"/>
  <c r="A446" i="6"/>
  <c r="E446" i="6"/>
  <c r="F446" i="6"/>
  <c r="G446" i="6"/>
  <c r="H446" i="6"/>
  <c r="I446" i="6"/>
  <c r="J446" i="6"/>
  <c r="K446" i="6"/>
  <c r="L446" i="6"/>
  <c r="M446" i="6"/>
  <c r="N446" i="6"/>
  <c r="O446" i="6"/>
  <c r="P446" i="6"/>
  <c r="Q446" i="6"/>
  <c r="R446" i="6"/>
  <c r="S446" i="6"/>
  <c r="T446" i="6"/>
  <c r="U446" i="6"/>
  <c r="V446" i="6"/>
  <c r="W446" i="6"/>
  <c r="X446" i="6"/>
  <c r="Y446" i="6"/>
  <c r="Z446" i="6"/>
  <c r="AA446" i="6"/>
  <c r="AB446" i="6"/>
  <c r="AC446" i="6"/>
  <c r="E449" i="6"/>
  <c r="F449" i="6"/>
  <c r="G449" i="6"/>
  <c r="H449" i="6"/>
  <c r="I449" i="6"/>
  <c r="J449" i="6"/>
  <c r="K449" i="6"/>
  <c r="L449" i="6"/>
  <c r="M449" i="6"/>
  <c r="N449" i="6"/>
  <c r="O449" i="6"/>
  <c r="P449" i="6"/>
  <c r="Q449" i="6"/>
  <c r="R449" i="6"/>
  <c r="S449" i="6"/>
  <c r="T449" i="6"/>
  <c r="U449" i="6"/>
  <c r="V449" i="6"/>
  <c r="W449" i="6"/>
  <c r="X449" i="6"/>
  <c r="Y449" i="6"/>
  <c r="Z449" i="6"/>
  <c r="AA449" i="6"/>
  <c r="AB449" i="6"/>
  <c r="AC449" i="6"/>
  <c r="E450" i="6"/>
  <c r="F450" i="6"/>
  <c r="G450" i="6"/>
  <c r="H450" i="6"/>
  <c r="I450" i="6"/>
  <c r="J450" i="6"/>
  <c r="K450" i="6"/>
  <c r="L450" i="6"/>
  <c r="M450" i="6"/>
  <c r="N450" i="6"/>
  <c r="O450" i="6"/>
  <c r="P450" i="6"/>
  <c r="Q450" i="6"/>
  <c r="R450" i="6"/>
  <c r="S450" i="6"/>
  <c r="T450" i="6"/>
  <c r="U450" i="6"/>
  <c r="V450" i="6"/>
  <c r="W450" i="6"/>
  <c r="X450" i="6"/>
  <c r="Y450" i="6"/>
  <c r="Z450" i="6"/>
  <c r="AA450" i="6"/>
  <c r="AB450" i="6"/>
  <c r="AC450" i="6"/>
  <c r="A451" i="6"/>
  <c r="E451" i="6"/>
  <c r="F451" i="6"/>
  <c r="G451" i="6"/>
  <c r="H451" i="6"/>
  <c r="I451" i="6"/>
  <c r="J451" i="6"/>
  <c r="K451" i="6"/>
  <c r="L451" i="6"/>
  <c r="M451" i="6"/>
  <c r="N451" i="6"/>
  <c r="O451" i="6"/>
  <c r="P451" i="6"/>
  <c r="Q451" i="6"/>
  <c r="R451" i="6"/>
  <c r="S451" i="6"/>
  <c r="T451" i="6"/>
  <c r="U451" i="6"/>
  <c r="V451" i="6"/>
  <c r="W451" i="6"/>
  <c r="X451" i="6"/>
  <c r="Y451" i="6"/>
  <c r="Z451" i="6"/>
  <c r="AA451" i="6"/>
  <c r="AB451" i="6"/>
  <c r="AC451" i="6"/>
  <c r="A452" i="6"/>
  <c r="E452" i="6"/>
  <c r="F452" i="6"/>
  <c r="G452" i="6"/>
  <c r="H452" i="6"/>
  <c r="I452" i="6"/>
  <c r="J452" i="6"/>
  <c r="K452" i="6"/>
  <c r="L452" i="6"/>
  <c r="M452" i="6"/>
  <c r="N452" i="6"/>
  <c r="O452" i="6"/>
  <c r="P452" i="6"/>
  <c r="Q452" i="6"/>
  <c r="R452" i="6"/>
  <c r="S452" i="6"/>
  <c r="T452" i="6"/>
  <c r="U452" i="6"/>
  <c r="V452" i="6"/>
  <c r="W452" i="6"/>
  <c r="X452" i="6"/>
  <c r="Y452" i="6"/>
  <c r="Z452" i="6"/>
  <c r="AA452" i="6"/>
  <c r="AB452" i="6"/>
  <c r="AC452" i="6"/>
  <c r="A453" i="6"/>
  <c r="E453" i="6"/>
  <c r="F453" i="6"/>
  <c r="G453" i="6"/>
  <c r="H453" i="6"/>
  <c r="I453" i="6"/>
  <c r="J453" i="6"/>
  <c r="K453" i="6"/>
  <c r="L453" i="6"/>
  <c r="M453" i="6"/>
  <c r="N453" i="6"/>
  <c r="O453" i="6"/>
  <c r="P453" i="6"/>
  <c r="Q453" i="6"/>
  <c r="R453" i="6"/>
  <c r="S453" i="6"/>
  <c r="T453" i="6"/>
  <c r="U453" i="6"/>
  <c r="V453" i="6"/>
  <c r="W453" i="6"/>
  <c r="X453" i="6"/>
  <c r="Y453" i="6"/>
  <c r="Z453" i="6"/>
  <c r="AA453" i="6"/>
  <c r="AB453" i="6"/>
  <c r="AC453" i="6"/>
  <c r="A454" i="6"/>
  <c r="E454" i="6"/>
  <c r="F454" i="6"/>
  <c r="G454" i="6"/>
  <c r="H454" i="6"/>
  <c r="I454" i="6"/>
  <c r="J454" i="6"/>
  <c r="K454" i="6"/>
  <c r="L454" i="6"/>
  <c r="M454" i="6"/>
  <c r="N454" i="6"/>
  <c r="O454" i="6"/>
  <c r="P454" i="6"/>
  <c r="Q454" i="6"/>
  <c r="R454" i="6"/>
  <c r="S454" i="6"/>
  <c r="T454" i="6"/>
  <c r="U454" i="6"/>
  <c r="V454" i="6"/>
  <c r="W454" i="6"/>
  <c r="X454" i="6"/>
  <c r="Y454" i="6"/>
  <c r="Z454" i="6"/>
  <c r="AA454" i="6"/>
  <c r="AB454" i="6"/>
  <c r="AC454" i="6"/>
  <c r="A455" i="6"/>
  <c r="E455" i="6"/>
  <c r="F455" i="6"/>
  <c r="G455" i="6"/>
  <c r="H455" i="6"/>
  <c r="I455" i="6"/>
  <c r="J455" i="6"/>
  <c r="K455" i="6"/>
  <c r="L455" i="6"/>
  <c r="M455" i="6"/>
  <c r="N455" i="6"/>
  <c r="O455" i="6"/>
  <c r="P455" i="6"/>
  <c r="Q455" i="6"/>
  <c r="R455" i="6"/>
  <c r="S455" i="6"/>
  <c r="T455" i="6"/>
  <c r="U455" i="6"/>
  <c r="V455" i="6"/>
  <c r="W455" i="6"/>
  <c r="X455" i="6"/>
  <c r="Y455" i="6"/>
  <c r="Z455" i="6"/>
  <c r="AA455" i="6"/>
  <c r="AB455" i="6"/>
  <c r="AC455" i="6"/>
  <c r="A456" i="6"/>
  <c r="E456" i="6"/>
  <c r="F456" i="6"/>
  <c r="G456" i="6"/>
  <c r="H456" i="6"/>
  <c r="I456" i="6"/>
  <c r="J456" i="6"/>
  <c r="K456" i="6"/>
  <c r="L456" i="6"/>
  <c r="M456" i="6"/>
  <c r="N456" i="6"/>
  <c r="O456" i="6"/>
  <c r="P456" i="6"/>
  <c r="Q456" i="6"/>
  <c r="R456" i="6"/>
  <c r="S456" i="6"/>
  <c r="T456" i="6"/>
  <c r="U456" i="6"/>
  <c r="V456" i="6"/>
  <c r="W456" i="6"/>
  <c r="X456" i="6"/>
  <c r="Y456" i="6"/>
  <c r="Z456" i="6"/>
  <c r="AA456" i="6"/>
  <c r="AB456" i="6"/>
  <c r="AC456" i="6"/>
  <c r="D457" i="6"/>
  <c r="E457" i="6"/>
  <c r="F457" i="6"/>
  <c r="G457" i="6"/>
  <c r="H457" i="6"/>
  <c r="I457" i="6"/>
  <c r="J457" i="6"/>
  <c r="K457" i="6"/>
  <c r="L457" i="6"/>
  <c r="M457" i="6"/>
  <c r="N457" i="6"/>
  <c r="O457" i="6"/>
  <c r="P457" i="6"/>
  <c r="Q457" i="6"/>
  <c r="R457" i="6"/>
  <c r="S457" i="6"/>
  <c r="T457" i="6"/>
  <c r="U457" i="6"/>
  <c r="V457" i="6"/>
  <c r="W457" i="6"/>
  <c r="X457" i="6"/>
  <c r="Y457" i="6"/>
  <c r="Z457" i="6"/>
  <c r="AA457" i="6"/>
  <c r="AB457" i="6"/>
  <c r="AC457" i="6"/>
  <c r="E459" i="6"/>
  <c r="F459" i="6"/>
  <c r="G459" i="6"/>
  <c r="H459" i="6"/>
  <c r="I459" i="6"/>
  <c r="J459" i="6"/>
  <c r="K459" i="6"/>
  <c r="L459" i="6"/>
  <c r="M459" i="6"/>
  <c r="N459" i="6"/>
  <c r="O459" i="6"/>
  <c r="P459" i="6"/>
  <c r="Q459" i="6"/>
  <c r="R459" i="6"/>
  <c r="S459" i="6"/>
  <c r="T459" i="6"/>
  <c r="U459" i="6"/>
  <c r="V459" i="6"/>
  <c r="W459" i="6"/>
  <c r="X459" i="6"/>
  <c r="Y459" i="6"/>
  <c r="Z459" i="6"/>
  <c r="AA459" i="6"/>
  <c r="AB459" i="6"/>
  <c r="AC459" i="6"/>
  <c r="E468" i="6"/>
  <c r="F468" i="6"/>
  <c r="G468" i="6"/>
  <c r="H468" i="6"/>
  <c r="I468" i="6"/>
  <c r="J468" i="6"/>
  <c r="K468" i="6"/>
  <c r="L468" i="6"/>
  <c r="M468" i="6"/>
  <c r="N468" i="6"/>
  <c r="O468" i="6"/>
  <c r="P468" i="6"/>
  <c r="Q468" i="6"/>
  <c r="R468" i="6"/>
  <c r="S468" i="6"/>
  <c r="T468" i="6"/>
  <c r="U468" i="6"/>
  <c r="V468" i="6"/>
  <c r="W468" i="6"/>
  <c r="X468" i="6"/>
  <c r="Y468" i="6"/>
  <c r="Z468" i="6"/>
  <c r="AA468" i="6"/>
  <c r="AB468" i="6"/>
  <c r="AC468" i="6"/>
  <c r="F470" i="6"/>
  <c r="F471" i="6"/>
  <c r="I474" i="6"/>
  <c r="J474" i="6"/>
  <c r="K474" i="6"/>
  <c r="L474" i="6"/>
  <c r="M474" i="6"/>
  <c r="N474" i="6"/>
  <c r="O474" i="6"/>
  <c r="P474" i="6"/>
  <c r="Q474" i="6"/>
  <c r="R474" i="6"/>
  <c r="S474" i="6"/>
  <c r="T474" i="6"/>
  <c r="U474" i="6"/>
  <c r="V474" i="6"/>
  <c r="W474" i="6"/>
  <c r="X474" i="6"/>
  <c r="Y474" i="6"/>
  <c r="Z474" i="6"/>
  <c r="AA474" i="6"/>
  <c r="AB474" i="6"/>
  <c r="AC474" i="6"/>
  <c r="E479" i="6"/>
  <c r="F479" i="6"/>
  <c r="G479" i="6"/>
  <c r="H479" i="6"/>
  <c r="I479" i="6"/>
  <c r="J479" i="6"/>
  <c r="K479" i="6"/>
  <c r="L479" i="6"/>
  <c r="M479" i="6"/>
  <c r="N479" i="6"/>
  <c r="O479" i="6"/>
  <c r="P479" i="6"/>
  <c r="Q479" i="6"/>
  <c r="R479" i="6"/>
  <c r="S479" i="6"/>
  <c r="T479" i="6"/>
  <c r="U479" i="6"/>
  <c r="V479" i="6"/>
  <c r="W479" i="6"/>
  <c r="X479" i="6"/>
  <c r="Y479" i="6"/>
  <c r="Z479" i="6"/>
  <c r="AA479" i="6"/>
  <c r="AB479" i="6"/>
  <c r="AC479" i="6"/>
  <c r="A481" i="6"/>
  <c r="J484" i="6"/>
  <c r="K484" i="6"/>
  <c r="L484" i="6"/>
  <c r="M484" i="6"/>
  <c r="N484" i="6"/>
  <c r="O484" i="6"/>
  <c r="P484" i="6"/>
  <c r="Q484" i="6"/>
  <c r="R484" i="6"/>
  <c r="S484" i="6"/>
  <c r="T484" i="6"/>
  <c r="U484" i="6"/>
  <c r="V484" i="6"/>
  <c r="W484" i="6"/>
  <c r="X484" i="6"/>
  <c r="Y484" i="6"/>
  <c r="Z484" i="6"/>
  <c r="AA484" i="6"/>
  <c r="AB484" i="6"/>
  <c r="AC484" i="6"/>
  <c r="A486" i="6"/>
  <c r="J488" i="6"/>
  <c r="K488" i="6"/>
  <c r="L488" i="6"/>
  <c r="M488" i="6"/>
  <c r="N488" i="6"/>
  <c r="O488" i="6"/>
  <c r="P488" i="6"/>
  <c r="Q488" i="6"/>
  <c r="R488" i="6"/>
  <c r="S488" i="6"/>
  <c r="T488" i="6"/>
  <c r="U488" i="6"/>
  <c r="V488" i="6"/>
  <c r="W488" i="6"/>
  <c r="X488" i="6"/>
  <c r="Y488" i="6"/>
  <c r="Z488" i="6"/>
  <c r="AA488" i="6"/>
  <c r="AB488" i="6"/>
  <c r="AC488" i="6"/>
  <c r="A493" i="6"/>
  <c r="I493" i="6"/>
  <c r="J493" i="6"/>
  <c r="K493" i="6"/>
  <c r="L493" i="6"/>
  <c r="M493" i="6"/>
  <c r="N493" i="6"/>
  <c r="O493" i="6"/>
  <c r="P493" i="6"/>
  <c r="Q493" i="6"/>
  <c r="R493" i="6"/>
  <c r="S493" i="6"/>
  <c r="T493" i="6"/>
  <c r="U493" i="6"/>
  <c r="V493" i="6"/>
  <c r="W493" i="6"/>
  <c r="X493" i="6"/>
  <c r="Y493" i="6"/>
  <c r="Z493" i="6"/>
  <c r="AA493" i="6"/>
  <c r="AB493" i="6"/>
  <c r="AC493" i="6"/>
  <c r="I495" i="6"/>
  <c r="J495" i="6"/>
  <c r="K495" i="6"/>
  <c r="L495" i="6"/>
  <c r="M495" i="6"/>
  <c r="N495" i="6"/>
  <c r="O495" i="6"/>
  <c r="P495" i="6"/>
  <c r="Q495" i="6"/>
  <c r="R495" i="6"/>
  <c r="S495" i="6"/>
  <c r="T495" i="6"/>
  <c r="U495" i="6"/>
  <c r="V495" i="6"/>
  <c r="W495" i="6"/>
  <c r="X495" i="6"/>
  <c r="Y495" i="6"/>
  <c r="Z495" i="6"/>
  <c r="AA495" i="6"/>
  <c r="AB495" i="6"/>
  <c r="AC495" i="6"/>
  <c r="I496" i="6"/>
  <c r="J496" i="6"/>
  <c r="K496" i="6"/>
  <c r="L496" i="6"/>
  <c r="M496" i="6"/>
  <c r="N496" i="6"/>
  <c r="O496" i="6"/>
  <c r="P496" i="6"/>
  <c r="Q496" i="6"/>
  <c r="R496" i="6"/>
  <c r="S496" i="6"/>
  <c r="T496" i="6"/>
  <c r="U496" i="6"/>
  <c r="V496" i="6"/>
  <c r="W496" i="6"/>
  <c r="X496" i="6"/>
  <c r="Y496" i="6"/>
  <c r="Z496" i="6"/>
  <c r="AA496" i="6"/>
  <c r="AB496" i="6"/>
  <c r="AC496" i="6"/>
  <c r="A501" i="6"/>
  <c r="I501" i="6"/>
  <c r="J501" i="6"/>
  <c r="K501" i="6"/>
  <c r="L501" i="6"/>
  <c r="M501" i="6"/>
  <c r="N501" i="6"/>
  <c r="O501" i="6"/>
  <c r="P501" i="6"/>
  <c r="Q501" i="6"/>
  <c r="R501" i="6"/>
  <c r="S501" i="6"/>
  <c r="T501" i="6"/>
  <c r="U501" i="6"/>
  <c r="V501" i="6"/>
  <c r="W501" i="6"/>
  <c r="X501" i="6"/>
  <c r="Y501" i="6"/>
  <c r="Z501" i="6"/>
  <c r="AA501" i="6"/>
  <c r="AB501" i="6"/>
  <c r="AC501" i="6"/>
  <c r="A504" i="6"/>
  <c r="A507" i="6"/>
  <c r="G507" i="6"/>
  <c r="I507" i="6"/>
  <c r="J507" i="6"/>
  <c r="K507" i="6"/>
  <c r="L507" i="6"/>
  <c r="M507" i="6"/>
  <c r="N507" i="6"/>
  <c r="O507" i="6"/>
  <c r="P507" i="6"/>
  <c r="Q507" i="6"/>
  <c r="R507" i="6"/>
  <c r="S507" i="6"/>
  <c r="T507" i="6"/>
  <c r="U507" i="6"/>
  <c r="V507" i="6"/>
  <c r="W507" i="6"/>
  <c r="X507" i="6"/>
  <c r="Y507" i="6"/>
  <c r="Z507" i="6"/>
  <c r="AA507" i="6"/>
  <c r="AB507" i="6"/>
  <c r="AC507" i="6"/>
  <c r="I508" i="6"/>
  <c r="J508" i="6"/>
  <c r="K508" i="6"/>
  <c r="L508" i="6"/>
  <c r="M508" i="6"/>
  <c r="N508" i="6"/>
  <c r="O508" i="6"/>
  <c r="P508" i="6"/>
  <c r="Q508" i="6"/>
  <c r="R508" i="6"/>
  <c r="S508" i="6"/>
  <c r="T508" i="6"/>
  <c r="U508" i="6"/>
  <c r="V508" i="6"/>
  <c r="W508" i="6"/>
  <c r="X508" i="6"/>
  <c r="Y508" i="6"/>
  <c r="Z508" i="6"/>
  <c r="AA508" i="6"/>
  <c r="AB508" i="6"/>
  <c r="AC508" i="6"/>
  <c r="I509" i="6"/>
  <c r="J509" i="6"/>
  <c r="K509" i="6"/>
  <c r="L509" i="6"/>
  <c r="M509" i="6"/>
  <c r="N509" i="6"/>
  <c r="O509" i="6"/>
  <c r="P509" i="6"/>
  <c r="Q509" i="6"/>
  <c r="R509" i="6"/>
  <c r="S509" i="6"/>
  <c r="T509" i="6"/>
  <c r="U509" i="6"/>
  <c r="V509" i="6"/>
  <c r="W509" i="6"/>
  <c r="X509" i="6"/>
  <c r="Y509" i="6"/>
  <c r="Z509" i="6"/>
  <c r="AA509" i="6"/>
  <c r="AB509" i="6"/>
  <c r="AC509" i="6"/>
  <c r="I510" i="6"/>
  <c r="J510" i="6"/>
  <c r="K510" i="6"/>
  <c r="L510" i="6"/>
  <c r="M510" i="6"/>
  <c r="N510" i="6"/>
  <c r="O510" i="6"/>
  <c r="P510" i="6"/>
  <c r="Q510" i="6"/>
  <c r="R510" i="6"/>
  <c r="S510" i="6"/>
  <c r="T510" i="6"/>
  <c r="U510" i="6"/>
  <c r="V510" i="6"/>
  <c r="W510" i="6"/>
  <c r="X510" i="6"/>
  <c r="Y510" i="6"/>
  <c r="Z510" i="6"/>
  <c r="AA510" i="6"/>
  <c r="AB510" i="6"/>
  <c r="AC510" i="6"/>
  <c r="I511" i="6"/>
  <c r="J511" i="6"/>
  <c r="K511" i="6"/>
  <c r="L511" i="6"/>
  <c r="M511" i="6"/>
  <c r="N511" i="6"/>
  <c r="O511" i="6"/>
  <c r="P511" i="6"/>
  <c r="Q511" i="6"/>
  <c r="R511" i="6"/>
  <c r="S511" i="6"/>
  <c r="T511" i="6"/>
  <c r="U511" i="6"/>
  <c r="V511" i="6"/>
  <c r="W511" i="6"/>
  <c r="X511" i="6"/>
  <c r="Y511" i="6"/>
  <c r="Z511" i="6"/>
  <c r="AA511" i="6"/>
  <c r="AB511" i="6"/>
  <c r="AC511" i="6"/>
  <c r="A514" i="6"/>
  <c r="J514" i="6"/>
  <c r="K514" i="6"/>
  <c r="I518" i="6"/>
  <c r="J518" i="6"/>
  <c r="K518" i="6"/>
  <c r="L518" i="6"/>
  <c r="M518" i="6"/>
  <c r="N518" i="6"/>
  <c r="O518" i="6"/>
  <c r="P518" i="6"/>
  <c r="Q518" i="6"/>
  <c r="R518" i="6"/>
  <c r="S518" i="6"/>
  <c r="T518" i="6"/>
  <c r="U518" i="6"/>
  <c r="V518" i="6"/>
  <c r="W518" i="6"/>
  <c r="X518" i="6"/>
  <c r="Y518" i="6"/>
  <c r="Z518" i="6"/>
  <c r="AA518" i="6"/>
  <c r="AB518" i="6"/>
  <c r="AC518" i="6"/>
  <c r="I519" i="6"/>
  <c r="J519" i="6"/>
  <c r="K519" i="6"/>
  <c r="L519" i="6"/>
  <c r="M519" i="6"/>
  <c r="N519" i="6"/>
  <c r="O519" i="6"/>
  <c r="P519" i="6"/>
  <c r="Q519" i="6"/>
  <c r="R519" i="6"/>
  <c r="S519" i="6"/>
  <c r="T519" i="6"/>
  <c r="U519" i="6"/>
  <c r="V519" i="6"/>
  <c r="W519" i="6"/>
  <c r="X519" i="6"/>
  <c r="Y519" i="6"/>
  <c r="Z519" i="6"/>
  <c r="AA519" i="6"/>
  <c r="AB519" i="6"/>
  <c r="AC519" i="6"/>
  <c r="J520" i="6"/>
  <c r="K520" i="6"/>
  <c r="L520" i="6"/>
  <c r="M520" i="6"/>
  <c r="N520" i="6"/>
  <c r="O520" i="6"/>
  <c r="P520" i="6"/>
  <c r="Q520" i="6"/>
  <c r="R520" i="6"/>
  <c r="S520" i="6"/>
  <c r="T520" i="6"/>
  <c r="U520" i="6"/>
  <c r="V520" i="6"/>
  <c r="W520" i="6"/>
  <c r="X520" i="6"/>
  <c r="Y520" i="6"/>
  <c r="Z520" i="6"/>
  <c r="AA520" i="6"/>
  <c r="AB520" i="6"/>
  <c r="AC520" i="6"/>
  <c r="A522" i="6"/>
  <c r="J522" i="6"/>
  <c r="K522" i="6"/>
  <c r="I526" i="6"/>
  <c r="J526" i="6"/>
  <c r="K526" i="6"/>
  <c r="L526" i="6"/>
  <c r="M526" i="6"/>
  <c r="N526" i="6"/>
  <c r="O526" i="6"/>
  <c r="P526" i="6"/>
  <c r="Q526" i="6"/>
  <c r="R526" i="6"/>
  <c r="S526" i="6"/>
  <c r="T526" i="6"/>
  <c r="U526" i="6"/>
  <c r="V526" i="6"/>
  <c r="W526" i="6"/>
  <c r="X526" i="6"/>
  <c r="Y526" i="6"/>
  <c r="Z526" i="6"/>
  <c r="AA526" i="6"/>
  <c r="AB526" i="6"/>
  <c r="AC526" i="6"/>
  <c r="I527" i="6"/>
  <c r="J527" i="6"/>
  <c r="K527" i="6"/>
  <c r="L527" i="6"/>
  <c r="M527" i="6"/>
  <c r="N527" i="6"/>
  <c r="O527" i="6"/>
  <c r="P527" i="6"/>
  <c r="Q527" i="6"/>
  <c r="R527" i="6"/>
  <c r="S527" i="6"/>
  <c r="T527" i="6"/>
  <c r="U527" i="6"/>
  <c r="V527" i="6"/>
  <c r="W527" i="6"/>
  <c r="X527" i="6"/>
  <c r="Y527" i="6"/>
  <c r="Z527" i="6"/>
  <c r="AA527" i="6"/>
  <c r="AB527" i="6"/>
  <c r="AC527" i="6"/>
  <c r="A529" i="6"/>
  <c r="I532" i="6"/>
  <c r="J532" i="6"/>
  <c r="K532" i="6"/>
  <c r="L532" i="6"/>
  <c r="M532" i="6"/>
  <c r="N532" i="6"/>
  <c r="O532" i="6"/>
  <c r="P532" i="6"/>
  <c r="Q532" i="6"/>
  <c r="R532" i="6"/>
  <c r="S532" i="6"/>
  <c r="T532" i="6"/>
  <c r="U532" i="6"/>
  <c r="V532" i="6"/>
  <c r="W532" i="6"/>
  <c r="X532" i="6"/>
  <c r="Y532" i="6"/>
  <c r="Z532" i="6"/>
  <c r="AA532" i="6"/>
  <c r="AB532" i="6"/>
  <c r="AC532" i="6"/>
  <c r="I533" i="6"/>
  <c r="J533" i="6"/>
  <c r="K533" i="6"/>
  <c r="L533" i="6"/>
  <c r="M533" i="6"/>
  <c r="N533" i="6"/>
  <c r="O533" i="6"/>
  <c r="P533" i="6"/>
  <c r="Q533" i="6"/>
  <c r="R533" i="6"/>
  <c r="S533" i="6"/>
  <c r="T533" i="6"/>
  <c r="U533" i="6"/>
  <c r="V533" i="6"/>
  <c r="W533" i="6"/>
  <c r="X533" i="6"/>
  <c r="Y533" i="6"/>
  <c r="Z533" i="6"/>
  <c r="AA533" i="6"/>
  <c r="AB533" i="6"/>
  <c r="AC533" i="6"/>
  <c r="A535" i="6"/>
  <c r="E551" i="6"/>
  <c r="F551" i="6"/>
  <c r="G551" i="6"/>
  <c r="H551" i="6"/>
  <c r="I551" i="6"/>
  <c r="J551" i="6"/>
  <c r="K551" i="6"/>
  <c r="L551" i="6"/>
  <c r="M551" i="6"/>
  <c r="N551" i="6"/>
  <c r="O551" i="6"/>
  <c r="P551" i="6"/>
  <c r="Q551" i="6"/>
  <c r="R551" i="6"/>
  <c r="S551" i="6"/>
  <c r="T551" i="6"/>
  <c r="U551" i="6"/>
  <c r="V551" i="6"/>
  <c r="W551" i="6"/>
  <c r="X551" i="6"/>
  <c r="Y551" i="6"/>
  <c r="Z551" i="6"/>
  <c r="AA551" i="6"/>
  <c r="AB551" i="6"/>
  <c r="AC551" i="6"/>
  <c r="J555" i="6"/>
  <c r="K555" i="6"/>
  <c r="L555" i="6"/>
  <c r="M555" i="6"/>
  <c r="N555" i="6"/>
  <c r="O555" i="6"/>
  <c r="P555" i="6"/>
  <c r="Q555" i="6"/>
  <c r="R555" i="6"/>
  <c r="S555" i="6"/>
  <c r="T555" i="6"/>
  <c r="U555" i="6"/>
  <c r="V555" i="6"/>
  <c r="W555" i="6"/>
  <c r="X555" i="6"/>
  <c r="Y555" i="6"/>
  <c r="Z555" i="6"/>
  <c r="AA555" i="6"/>
  <c r="AB555" i="6"/>
  <c r="AC555" i="6"/>
  <c r="J556" i="6"/>
  <c r="K556" i="6"/>
  <c r="L556" i="6"/>
  <c r="M556" i="6"/>
  <c r="N556" i="6"/>
  <c r="O556" i="6"/>
  <c r="P556" i="6"/>
  <c r="Q556" i="6"/>
  <c r="R556" i="6"/>
  <c r="S556" i="6"/>
  <c r="T556" i="6"/>
  <c r="U556" i="6"/>
  <c r="V556" i="6"/>
  <c r="W556" i="6"/>
  <c r="X556" i="6"/>
  <c r="Y556" i="6"/>
  <c r="Z556" i="6"/>
  <c r="AA556" i="6"/>
  <c r="AB556" i="6"/>
  <c r="AC556" i="6"/>
  <c r="A560" i="6"/>
  <c r="J560" i="6"/>
  <c r="K560" i="6"/>
  <c r="L560" i="6"/>
  <c r="M560" i="6"/>
  <c r="N560" i="6"/>
  <c r="O560" i="6"/>
  <c r="P560" i="6"/>
  <c r="Q560" i="6"/>
  <c r="R560" i="6"/>
  <c r="S560" i="6"/>
  <c r="T560" i="6"/>
  <c r="U560" i="6"/>
  <c r="V560" i="6"/>
  <c r="W560" i="6"/>
  <c r="X560" i="6"/>
  <c r="Y560" i="6"/>
  <c r="Z560" i="6"/>
  <c r="AA560" i="6"/>
  <c r="AB560" i="6"/>
  <c r="AC560" i="6"/>
  <c r="A561" i="6"/>
  <c r="J561" i="6"/>
  <c r="K561" i="6"/>
  <c r="L561" i="6"/>
  <c r="M561" i="6"/>
  <c r="N561" i="6"/>
  <c r="O561" i="6"/>
  <c r="P561" i="6"/>
  <c r="Q561" i="6"/>
  <c r="R561" i="6"/>
  <c r="S561" i="6"/>
  <c r="T561" i="6"/>
  <c r="U561" i="6"/>
  <c r="V561" i="6"/>
  <c r="W561" i="6"/>
  <c r="X561" i="6"/>
  <c r="Y561" i="6"/>
  <c r="Z561" i="6"/>
  <c r="AA561" i="6"/>
  <c r="AB561" i="6"/>
  <c r="AC561" i="6"/>
  <c r="J562" i="6"/>
  <c r="K562" i="6"/>
  <c r="L562" i="6"/>
  <c r="M562" i="6"/>
  <c r="N562" i="6"/>
  <c r="O562" i="6"/>
  <c r="P562" i="6"/>
  <c r="Q562" i="6"/>
  <c r="R562" i="6"/>
  <c r="S562" i="6"/>
  <c r="T562" i="6"/>
  <c r="U562" i="6"/>
  <c r="V562" i="6"/>
  <c r="W562" i="6"/>
  <c r="X562" i="6"/>
  <c r="Y562" i="6"/>
  <c r="Z562" i="6"/>
  <c r="AA562" i="6"/>
  <c r="AB562" i="6"/>
  <c r="AC562" i="6"/>
  <c r="K563" i="6"/>
  <c r="L563" i="6"/>
  <c r="M563" i="6"/>
  <c r="N563" i="6"/>
  <c r="O563" i="6"/>
  <c r="P563" i="6"/>
  <c r="Q563" i="6"/>
  <c r="R563" i="6"/>
  <c r="S563" i="6"/>
  <c r="T563" i="6"/>
  <c r="U563" i="6"/>
  <c r="V563" i="6"/>
  <c r="W563" i="6"/>
  <c r="X563" i="6"/>
  <c r="Y563" i="6"/>
  <c r="Z563" i="6"/>
  <c r="AA563" i="6"/>
  <c r="AB563" i="6"/>
  <c r="AC563" i="6"/>
  <c r="A565" i="6"/>
  <c r="J565" i="6"/>
  <c r="K565" i="6"/>
  <c r="L565" i="6"/>
  <c r="M565" i="6"/>
  <c r="N565" i="6"/>
  <c r="O565" i="6"/>
  <c r="P565" i="6"/>
  <c r="Q565" i="6"/>
  <c r="R565" i="6"/>
  <c r="S565" i="6"/>
  <c r="T565" i="6"/>
  <c r="U565" i="6"/>
  <c r="V565" i="6"/>
  <c r="W565" i="6"/>
  <c r="X565" i="6"/>
  <c r="Y565" i="6"/>
  <c r="Z565" i="6"/>
  <c r="AA565" i="6"/>
  <c r="AB565" i="6"/>
  <c r="AC565" i="6"/>
  <c r="A566" i="6"/>
  <c r="A567" i="6"/>
  <c r="J567" i="6"/>
  <c r="K567" i="6"/>
  <c r="L567" i="6"/>
  <c r="M567" i="6"/>
  <c r="N567" i="6"/>
  <c r="O567" i="6"/>
  <c r="P567" i="6"/>
  <c r="Q567" i="6"/>
  <c r="R567" i="6"/>
  <c r="S567" i="6"/>
  <c r="T567" i="6"/>
  <c r="U567" i="6"/>
  <c r="V567" i="6"/>
  <c r="W567" i="6"/>
  <c r="X567" i="6"/>
  <c r="Y567" i="6"/>
  <c r="Z567" i="6"/>
  <c r="AA567" i="6"/>
  <c r="AB567" i="6"/>
  <c r="AC567" i="6"/>
  <c r="A568" i="6"/>
  <c r="J568" i="6"/>
  <c r="K568" i="6"/>
  <c r="L568" i="6"/>
  <c r="M568" i="6"/>
  <c r="N568" i="6"/>
  <c r="O568" i="6"/>
  <c r="P568" i="6"/>
  <c r="Q568" i="6"/>
  <c r="R568" i="6"/>
  <c r="S568" i="6"/>
  <c r="T568" i="6"/>
  <c r="U568" i="6"/>
  <c r="V568" i="6"/>
  <c r="W568" i="6"/>
  <c r="X568" i="6"/>
  <c r="Y568" i="6"/>
  <c r="Z568" i="6"/>
  <c r="AA568" i="6"/>
  <c r="AB568" i="6"/>
  <c r="AC568" i="6"/>
  <c r="A569" i="6"/>
  <c r="J569" i="6"/>
  <c r="K569" i="6"/>
  <c r="L569" i="6"/>
  <c r="M569" i="6"/>
  <c r="N569" i="6"/>
  <c r="O569" i="6"/>
  <c r="P569" i="6"/>
  <c r="Q569" i="6"/>
  <c r="R569" i="6"/>
  <c r="S569" i="6"/>
  <c r="T569" i="6"/>
  <c r="U569" i="6"/>
  <c r="V569" i="6"/>
  <c r="W569" i="6"/>
  <c r="X569" i="6"/>
  <c r="Y569" i="6"/>
  <c r="Z569" i="6"/>
  <c r="AA569" i="6"/>
  <c r="AB569" i="6"/>
  <c r="AC569" i="6"/>
  <c r="A570" i="6"/>
  <c r="J571" i="6"/>
  <c r="K571" i="6"/>
  <c r="L571" i="6"/>
  <c r="M571" i="6"/>
  <c r="N571" i="6"/>
  <c r="O571" i="6"/>
  <c r="P571" i="6"/>
  <c r="Q571" i="6"/>
  <c r="R571" i="6"/>
  <c r="S571" i="6"/>
  <c r="T571" i="6"/>
  <c r="U571" i="6"/>
  <c r="V571" i="6"/>
  <c r="W571" i="6"/>
  <c r="X571" i="6"/>
  <c r="Y571" i="6"/>
  <c r="Z571" i="6"/>
  <c r="AA571" i="6"/>
  <c r="AB571" i="6"/>
  <c r="AC571" i="6"/>
  <c r="H579" i="6"/>
  <c r="I579" i="6"/>
  <c r="B580" i="6"/>
  <c r="E580" i="6"/>
  <c r="F580" i="6"/>
  <c r="G580" i="6"/>
  <c r="H580" i="6"/>
  <c r="I580" i="6"/>
  <c r="J580" i="6"/>
  <c r="K580" i="6"/>
  <c r="L580" i="6"/>
  <c r="M580" i="6"/>
  <c r="N580" i="6"/>
  <c r="O580" i="6"/>
  <c r="P580" i="6"/>
  <c r="Q580" i="6"/>
  <c r="R580" i="6"/>
  <c r="S580" i="6"/>
  <c r="T580" i="6"/>
  <c r="U580" i="6"/>
  <c r="V580" i="6"/>
  <c r="W580" i="6"/>
  <c r="X580" i="6"/>
  <c r="Y580" i="6"/>
  <c r="Z580" i="6"/>
  <c r="AA580" i="6"/>
  <c r="AB580" i="6"/>
  <c r="AC580" i="6"/>
  <c r="E582" i="6"/>
  <c r="F582" i="6"/>
  <c r="G582" i="6"/>
  <c r="H582" i="6"/>
  <c r="I582" i="6"/>
  <c r="J582" i="6"/>
  <c r="K582" i="6"/>
  <c r="L582" i="6"/>
  <c r="M582" i="6"/>
  <c r="N582" i="6"/>
  <c r="O582" i="6"/>
  <c r="P582" i="6"/>
  <c r="Q582" i="6"/>
  <c r="R582" i="6"/>
  <c r="S582" i="6"/>
  <c r="T582" i="6"/>
  <c r="U582" i="6"/>
  <c r="V582" i="6"/>
  <c r="W582" i="6"/>
  <c r="X582" i="6"/>
  <c r="Y582" i="6"/>
  <c r="Z582" i="6"/>
  <c r="AA582" i="6"/>
  <c r="AB582" i="6"/>
  <c r="AC582" i="6"/>
  <c r="I583" i="6"/>
  <c r="J583" i="6"/>
  <c r="K583" i="6"/>
  <c r="L583" i="6"/>
  <c r="M583" i="6"/>
  <c r="N583" i="6"/>
  <c r="O583" i="6"/>
  <c r="P583" i="6"/>
  <c r="Q583" i="6"/>
  <c r="R583" i="6"/>
  <c r="S583" i="6"/>
  <c r="T583" i="6"/>
  <c r="U583" i="6"/>
  <c r="V583" i="6"/>
  <c r="W583" i="6"/>
  <c r="X583" i="6"/>
  <c r="Y583" i="6"/>
  <c r="Z583" i="6"/>
  <c r="AA583" i="6"/>
  <c r="AB583" i="6"/>
  <c r="AC583" i="6"/>
  <c r="E584" i="6"/>
  <c r="F584" i="6"/>
  <c r="G584" i="6"/>
  <c r="H584" i="6"/>
  <c r="I584" i="6"/>
  <c r="J584" i="6"/>
  <c r="K584" i="6"/>
  <c r="L584" i="6"/>
  <c r="M584" i="6"/>
  <c r="N584" i="6"/>
  <c r="O584" i="6"/>
  <c r="P584" i="6"/>
  <c r="Q584" i="6"/>
  <c r="R584" i="6"/>
  <c r="S584" i="6"/>
  <c r="T584" i="6"/>
  <c r="U584" i="6"/>
  <c r="V584" i="6"/>
  <c r="W584" i="6"/>
  <c r="X584" i="6"/>
  <c r="Y584" i="6"/>
  <c r="Z584" i="6"/>
  <c r="AA584" i="6"/>
  <c r="AB584" i="6"/>
  <c r="AC584" i="6"/>
  <c r="E585" i="6"/>
  <c r="F585" i="6"/>
  <c r="G585" i="6"/>
  <c r="H585" i="6"/>
  <c r="I585" i="6"/>
  <c r="J585" i="6"/>
  <c r="K585" i="6"/>
  <c r="L585" i="6"/>
  <c r="M585" i="6"/>
  <c r="N585" i="6"/>
  <c r="O585" i="6"/>
  <c r="P585" i="6"/>
  <c r="Q585" i="6"/>
  <c r="R585" i="6"/>
  <c r="S585" i="6"/>
  <c r="T585" i="6"/>
  <c r="U585" i="6"/>
  <c r="V585" i="6"/>
  <c r="W585" i="6"/>
  <c r="X585" i="6"/>
  <c r="Y585" i="6"/>
  <c r="Z585" i="6"/>
  <c r="AA585" i="6"/>
  <c r="AB585" i="6"/>
  <c r="AC585" i="6"/>
  <c r="I589" i="6"/>
  <c r="J589" i="6"/>
  <c r="K589" i="6"/>
  <c r="L589" i="6"/>
  <c r="M589" i="6"/>
  <c r="N589" i="6"/>
  <c r="O589" i="6"/>
  <c r="P589" i="6"/>
  <c r="Q589" i="6"/>
  <c r="R589" i="6"/>
  <c r="S589" i="6"/>
  <c r="T589" i="6"/>
  <c r="U589" i="6"/>
  <c r="V589" i="6"/>
  <c r="W589" i="6"/>
  <c r="X589" i="6"/>
  <c r="Y589" i="6"/>
  <c r="Z589" i="6"/>
  <c r="AA589" i="6"/>
  <c r="AB589" i="6"/>
  <c r="AC589" i="6"/>
  <c r="I590" i="6"/>
  <c r="J590" i="6"/>
  <c r="K590" i="6"/>
  <c r="L590" i="6"/>
  <c r="M590" i="6"/>
  <c r="N590" i="6"/>
  <c r="O590" i="6"/>
  <c r="P590" i="6"/>
  <c r="Q590" i="6"/>
  <c r="R590" i="6"/>
  <c r="S590" i="6"/>
  <c r="T590" i="6"/>
  <c r="U590" i="6"/>
  <c r="V590" i="6"/>
  <c r="W590" i="6"/>
  <c r="X590" i="6"/>
  <c r="Y590" i="6"/>
  <c r="Z590" i="6"/>
  <c r="AA590" i="6"/>
  <c r="AB590" i="6"/>
  <c r="AC590" i="6"/>
  <c r="E591" i="6"/>
  <c r="F591" i="6"/>
  <c r="G591" i="6"/>
  <c r="H591" i="6"/>
  <c r="I591" i="6"/>
  <c r="J591" i="6"/>
  <c r="K591" i="6"/>
  <c r="L591" i="6"/>
  <c r="M591" i="6"/>
  <c r="N591" i="6"/>
  <c r="O591" i="6"/>
  <c r="P591" i="6"/>
  <c r="Q591" i="6"/>
  <c r="R591" i="6"/>
  <c r="S591" i="6"/>
  <c r="T591" i="6"/>
  <c r="U591" i="6"/>
  <c r="V591" i="6"/>
  <c r="W591" i="6"/>
  <c r="X591" i="6"/>
  <c r="Y591" i="6"/>
  <c r="Z591" i="6"/>
  <c r="AA591" i="6"/>
  <c r="AB591" i="6"/>
  <c r="AC591" i="6"/>
  <c r="E592" i="6"/>
  <c r="F592" i="6"/>
  <c r="G592" i="6"/>
  <c r="H592" i="6"/>
  <c r="I592" i="6"/>
  <c r="J592" i="6"/>
  <c r="K592" i="6"/>
  <c r="L592" i="6"/>
  <c r="M592" i="6"/>
  <c r="N592" i="6"/>
  <c r="O592" i="6"/>
  <c r="P592" i="6"/>
  <c r="Q592" i="6"/>
  <c r="R592" i="6"/>
  <c r="S592" i="6"/>
  <c r="T592" i="6"/>
  <c r="U592" i="6"/>
  <c r="V592" i="6"/>
  <c r="W592" i="6"/>
  <c r="X592" i="6"/>
  <c r="Y592" i="6"/>
  <c r="Z592" i="6"/>
  <c r="AA592" i="6"/>
  <c r="AB592" i="6"/>
  <c r="AC592" i="6"/>
  <c r="E593" i="6"/>
  <c r="F593" i="6"/>
  <c r="G593" i="6"/>
  <c r="H593" i="6"/>
  <c r="I593" i="6"/>
  <c r="J593" i="6"/>
  <c r="K593" i="6"/>
  <c r="L593" i="6"/>
  <c r="M593" i="6"/>
  <c r="N593" i="6"/>
  <c r="O593" i="6"/>
  <c r="P593" i="6"/>
  <c r="Q593" i="6"/>
  <c r="R593" i="6"/>
  <c r="S593" i="6"/>
  <c r="T593" i="6"/>
  <c r="U593" i="6"/>
  <c r="V593" i="6"/>
  <c r="W593" i="6"/>
  <c r="X593" i="6"/>
  <c r="Y593" i="6"/>
  <c r="Z593" i="6"/>
  <c r="AA593" i="6"/>
  <c r="AB593" i="6"/>
  <c r="AC593" i="6"/>
  <c r="E600" i="6"/>
  <c r="F600" i="6"/>
  <c r="G600" i="6"/>
  <c r="H600" i="6"/>
  <c r="I600" i="6"/>
  <c r="J600" i="6"/>
  <c r="K600" i="6"/>
  <c r="L600" i="6"/>
  <c r="M600" i="6"/>
  <c r="N600" i="6"/>
  <c r="O600" i="6"/>
  <c r="P600" i="6"/>
  <c r="Q600" i="6"/>
  <c r="R600" i="6"/>
  <c r="S600" i="6"/>
  <c r="T600" i="6"/>
  <c r="U600" i="6"/>
  <c r="V600" i="6"/>
  <c r="W600" i="6"/>
  <c r="X600" i="6"/>
  <c r="Y600" i="6"/>
  <c r="Z600" i="6"/>
  <c r="AA600" i="6"/>
  <c r="AB600" i="6"/>
  <c r="AC600" i="6"/>
  <c r="I605" i="6"/>
  <c r="J605" i="6"/>
  <c r="K605" i="6"/>
  <c r="L605" i="6"/>
  <c r="M605" i="6"/>
  <c r="N605" i="6"/>
  <c r="O605" i="6"/>
  <c r="P605" i="6"/>
  <c r="Q605" i="6"/>
  <c r="R605" i="6"/>
  <c r="S605" i="6"/>
  <c r="T605" i="6"/>
  <c r="U605" i="6"/>
  <c r="V605" i="6"/>
  <c r="W605" i="6"/>
  <c r="X605" i="6"/>
  <c r="Y605" i="6"/>
  <c r="Z605" i="6"/>
  <c r="AA605" i="6"/>
  <c r="AB605" i="6"/>
  <c r="AC605" i="6"/>
  <c r="I606" i="6"/>
  <c r="J606" i="6"/>
  <c r="K606" i="6"/>
  <c r="L606" i="6"/>
  <c r="M606" i="6"/>
  <c r="N606" i="6"/>
  <c r="O606" i="6"/>
  <c r="P606" i="6"/>
  <c r="Q606" i="6"/>
  <c r="R606" i="6"/>
  <c r="S606" i="6"/>
  <c r="T606" i="6"/>
  <c r="U606" i="6"/>
  <c r="V606" i="6"/>
  <c r="W606" i="6"/>
  <c r="X606" i="6"/>
  <c r="Y606" i="6"/>
  <c r="Z606" i="6"/>
  <c r="AA606" i="6"/>
  <c r="AB606" i="6"/>
  <c r="AC606" i="6"/>
  <c r="I609" i="6"/>
  <c r="I610" i="6"/>
  <c r="J610" i="6"/>
  <c r="K610" i="6"/>
  <c r="L610" i="6"/>
  <c r="M610" i="6"/>
  <c r="N610" i="6"/>
  <c r="O610" i="6"/>
  <c r="P610" i="6"/>
  <c r="Q610" i="6"/>
  <c r="R610" i="6"/>
  <c r="S610" i="6"/>
  <c r="T610" i="6"/>
  <c r="U610" i="6"/>
  <c r="V610" i="6"/>
  <c r="W610" i="6"/>
  <c r="X610" i="6"/>
  <c r="Y610" i="6"/>
  <c r="Z610" i="6"/>
  <c r="AA610" i="6"/>
  <c r="AB610" i="6"/>
  <c r="AC610" i="6"/>
  <c r="I613" i="6"/>
  <c r="I614" i="6"/>
  <c r="J614" i="6"/>
  <c r="K614" i="6"/>
  <c r="L614" i="6"/>
  <c r="M614" i="6"/>
  <c r="N614" i="6"/>
  <c r="O614" i="6"/>
  <c r="P614" i="6"/>
  <c r="Q614" i="6"/>
  <c r="R614" i="6"/>
  <c r="S614" i="6"/>
  <c r="T614" i="6"/>
  <c r="U614" i="6"/>
  <c r="V614" i="6"/>
  <c r="W614" i="6"/>
  <c r="X614" i="6"/>
  <c r="Y614" i="6"/>
  <c r="Z614" i="6"/>
  <c r="AA614" i="6"/>
  <c r="AB614" i="6"/>
  <c r="AC614" i="6"/>
  <c r="I615" i="6"/>
  <c r="J615" i="6"/>
  <c r="K615" i="6"/>
  <c r="L615" i="6"/>
  <c r="M615" i="6"/>
  <c r="N615" i="6"/>
  <c r="O615" i="6"/>
  <c r="P615" i="6"/>
  <c r="Q615" i="6"/>
  <c r="R615" i="6"/>
  <c r="S615" i="6"/>
  <c r="T615" i="6"/>
  <c r="U615" i="6"/>
  <c r="V615" i="6"/>
  <c r="W615" i="6"/>
  <c r="X615" i="6"/>
  <c r="Y615" i="6"/>
  <c r="Z615" i="6"/>
  <c r="AA615" i="6"/>
  <c r="AB615" i="6"/>
  <c r="AC615" i="6"/>
  <c r="E621" i="6"/>
  <c r="F621" i="6"/>
  <c r="G621" i="6"/>
  <c r="H621" i="6"/>
  <c r="I621" i="6"/>
  <c r="J621" i="6"/>
  <c r="K621" i="6"/>
  <c r="L621" i="6"/>
  <c r="M621" i="6"/>
  <c r="N621" i="6"/>
  <c r="O621" i="6"/>
  <c r="P621" i="6"/>
  <c r="Q621" i="6"/>
  <c r="R621" i="6"/>
  <c r="S621" i="6"/>
  <c r="T621" i="6"/>
  <c r="U621" i="6"/>
  <c r="V621" i="6"/>
  <c r="W621" i="6"/>
  <c r="X621" i="6"/>
  <c r="Y621" i="6"/>
  <c r="Z621" i="6"/>
  <c r="AA621" i="6"/>
  <c r="AB621" i="6"/>
  <c r="AC621" i="6"/>
  <c r="I624" i="6"/>
  <c r="J624" i="6"/>
  <c r="K624" i="6"/>
  <c r="L624" i="6"/>
  <c r="M624" i="6"/>
  <c r="N624" i="6"/>
  <c r="O624" i="6"/>
  <c r="P624" i="6"/>
  <c r="Q624" i="6"/>
  <c r="R624" i="6"/>
  <c r="S624" i="6"/>
  <c r="T624" i="6"/>
  <c r="U624" i="6"/>
  <c r="V624" i="6"/>
  <c r="W624" i="6"/>
  <c r="X624" i="6"/>
  <c r="Y624" i="6"/>
  <c r="Z624" i="6"/>
  <c r="AA624" i="6"/>
  <c r="AB624" i="6"/>
  <c r="AC624" i="6"/>
  <c r="J626" i="6"/>
  <c r="K626" i="6"/>
  <c r="L626" i="6"/>
  <c r="M626" i="6"/>
  <c r="N626" i="6"/>
  <c r="O626" i="6"/>
  <c r="P626" i="6"/>
  <c r="Q626" i="6"/>
  <c r="R626" i="6"/>
  <c r="S626" i="6"/>
  <c r="T626" i="6"/>
  <c r="U626" i="6"/>
  <c r="V626" i="6"/>
  <c r="W626" i="6"/>
  <c r="X626" i="6"/>
  <c r="Y626" i="6"/>
  <c r="Z626" i="6"/>
  <c r="AA626" i="6"/>
  <c r="AB626" i="6"/>
  <c r="AC626" i="6"/>
  <c r="I627" i="6"/>
  <c r="J627" i="6"/>
  <c r="K627" i="6"/>
  <c r="L627" i="6"/>
  <c r="M627" i="6"/>
  <c r="N627" i="6"/>
  <c r="O627" i="6"/>
  <c r="P627" i="6"/>
  <c r="Q627" i="6"/>
  <c r="R627" i="6"/>
  <c r="S627" i="6"/>
  <c r="T627" i="6"/>
  <c r="U627" i="6"/>
  <c r="V627" i="6"/>
  <c r="W627" i="6"/>
  <c r="X627" i="6"/>
  <c r="Y627" i="6"/>
  <c r="Z627" i="6"/>
  <c r="AA627" i="6"/>
  <c r="AB627" i="6"/>
  <c r="AC627" i="6"/>
  <c r="I629" i="6"/>
  <c r="J629" i="6"/>
  <c r="K629" i="6"/>
  <c r="L629" i="6"/>
  <c r="M629" i="6"/>
  <c r="N629" i="6"/>
  <c r="O629" i="6"/>
  <c r="P629" i="6"/>
  <c r="Q629" i="6"/>
  <c r="R629" i="6"/>
  <c r="S629" i="6"/>
  <c r="T629" i="6"/>
  <c r="U629" i="6"/>
  <c r="V629" i="6"/>
  <c r="W629" i="6"/>
  <c r="X629" i="6"/>
  <c r="Y629" i="6"/>
  <c r="Z629" i="6"/>
  <c r="AA629" i="6"/>
  <c r="AB629" i="6"/>
  <c r="AC629" i="6"/>
  <c r="E636" i="6"/>
  <c r="F636" i="6"/>
  <c r="G636" i="6"/>
  <c r="H636" i="6"/>
  <c r="I636" i="6"/>
  <c r="J636" i="6"/>
  <c r="K636" i="6"/>
  <c r="L636" i="6"/>
  <c r="M636" i="6"/>
  <c r="N636" i="6"/>
  <c r="O636" i="6"/>
  <c r="P636" i="6"/>
  <c r="Q636" i="6"/>
  <c r="R636" i="6"/>
  <c r="S636" i="6"/>
  <c r="T636" i="6"/>
  <c r="U636" i="6"/>
  <c r="V636" i="6"/>
  <c r="W636" i="6"/>
  <c r="X636" i="6"/>
  <c r="Y636" i="6"/>
  <c r="Z636" i="6"/>
  <c r="AA636" i="6"/>
  <c r="AB636" i="6"/>
  <c r="AC636" i="6"/>
  <c r="J639" i="6"/>
  <c r="K639" i="6"/>
  <c r="L639" i="6"/>
  <c r="M639" i="6"/>
  <c r="N639" i="6"/>
  <c r="O639" i="6"/>
  <c r="P639" i="6"/>
  <c r="Q639" i="6"/>
  <c r="R639" i="6"/>
  <c r="S639" i="6"/>
  <c r="T639" i="6"/>
  <c r="U639" i="6"/>
  <c r="V639" i="6"/>
  <c r="W639" i="6"/>
  <c r="X639" i="6"/>
  <c r="Y639" i="6"/>
  <c r="Z639" i="6"/>
  <c r="AA639" i="6"/>
  <c r="AB639" i="6"/>
  <c r="AC639" i="6"/>
  <c r="J640" i="6"/>
  <c r="K640" i="6"/>
  <c r="L640" i="6"/>
  <c r="M640" i="6"/>
  <c r="N640" i="6"/>
  <c r="O640" i="6"/>
  <c r="P640" i="6"/>
  <c r="Q640" i="6"/>
  <c r="R640" i="6"/>
  <c r="S640" i="6"/>
  <c r="T640" i="6"/>
  <c r="U640" i="6"/>
  <c r="V640" i="6"/>
  <c r="W640" i="6"/>
  <c r="X640" i="6"/>
  <c r="Y640" i="6"/>
  <c r="Z640" i="6"/>
  <c r="AA640" i="6"/>
  <c r="AB640" i="6"/>
  <c r="AC640" i="6"/>
  <c r="J641" i="6"/>
  <c r="K641" i="6"/>
  <c r="L641" i="6"/>
  <c r="M641" i="6"/>
  <c r="N641" i="6"/>
  <c r="O641" i="6"/>
  <c r="P641" i="6"/>
  <c r="Q641" i="6"/>
  <c r="R641" i="6"/>
  <c r="S641" i="6"/>
  <c r="T641" i="6"/>
  <c r="U641" i="6"/>
  <c r="V641" i="6"/>
  <c r="W641" i="6"/>
  <c r="X641" i="6"/>
  <c r="Y641" i="6"/>
  <c r="Z641" i="6"/>
  <c r="AA641" i="6"/>
  <c r="AB641" i="6"/>
  <c r="AC641" i="6"/>
  <c r="J648" i="6"/>
  <c r="K648" i="6"/>
  <c r="L648" i="6"/>
  <c r="M648" i="6"/>
  <c r="N648" i="6"/>
  <c r="O648" i="6"/>
  <c r="P648" i="6"/>
  <c r="Q648" i="6"/>
  <c r="R648" i="6"/>
  <c r="S648" i="6"/>
  <c r="T648" i="6"/>
  <c r="U648" i="6"/>
  <c r="V648" i="6"/>
  <c r="W648" i="6"/>
  <c r="X648" i="6"/>
  <c r="Y648" i="6"/>
  <c r="Z648" i="6"/>
  <c r="AA648" i="6"/>
  <c r="AB648" i="6"/>
  <c r="AC648" i="6"/>
  <c r="H652" i="6"/>
  <c r="I652" i="6"/>
  <c r="J652" i="6"/>
  <c r="K652" i="6"/>
  <c r="L652" i="6"/>
  <c r="M652" i="6"/>
  <c r="N652" i="6"/>
  <c r="O652" i="6"/>
  <c r="P652" i="6"/>
  <c r="Q652" i="6"/>
  <c r="R652" i="6"/>
  <c r="S652" i="6"/>
  <c r="T652" i="6"/>
  <c r="U652" i="6"/>
  <c r="V652" i="6"/>
  <c r="W652" i="6"/>
  <c r="X652" i="6"/>
  <c r="Y652" i="6"/>
  <c r="Z652" i="6"/>
  <c r="AA652" i="6"/>
  <c r="AB652" i="6"/>
  <c r="AC652" i="6"/>
  <c r="I654" i="6"/>
  <c r="J654" i="6"/>
  <c r="K654" i="6"/>
  <c r="L654" i="6"/>
  <c r="M654" i="6"/>
  <c r="N654" i="6"/>
  <c r="O654" i="6"/>
  <c r="P654" i="6"/>
  <c r="Q654" i="6"/>
  <c r="R654" i="6"/>
  <c r="S654" i="6"/>
  <c r="T654" i="6"/>
  <c r="U654" i="6"/>
  <c r="V654" i="6"/>
  <c r="W654" i="6"/>
  <c r="X654" i="6"/>
  <c r="Y654" i="6"/>
  <c r="Z654" i="6"/>
  <c r="AA654" i="6"/>
  <c r="AB654" i="6"/>
  <c r="AC654" i="6"/>
  <c r="I655" i="6"/>
  <c r="J655" i="6"/>
  <c r="K655" i="6"/>
  <c r="L655" i="6"/>
  <c r="M655" i="6"/>
  <c r="N655" i="6"/>
  <c r="O655" i="6"/>
  <c r="P655" i="6"/>
  <c r="Q655" i="6"/>
  <c r="R655" i="6"/>
  <c r="S655" i="6"/>
  <c r="T655" i="6"/>
  <c r="U655" i="6"/>
  <c r="V655" i="6"/>
  <c r="W655" i="6"/>
  <c r="X655" i="6"/>
  <c r="Y655" i="6"/>
  <c r="Z655" i="6"/>
  <c r="AA655" i="6"/>
  <c r="AB655" i="6"/>
  <c r="AC655" i="6"/>
  <c r="I656" i="6"/>
  <c r="J656" i="6"/>
  <c r="K656" i="6"/>
  <c r="L656" i="6"/>
  <c r="M656" i="6"/>
  <c r="N656" i="6"/>
  <c r="O656" i="6"/>
  <c r="P656" i="6"/>
  <c r="Q656" i="6"/>
  <c r="R656" i="6"/>
  <c r="S656" i="6"/>
  <c r="T656" i="6"/>
  <c r="U656" i="6"/>
  <c r="V656" i="6"/>
  <c r="W656" i="6"/>
  <c r="X656" i="6"/>
  <c r="Y656" i="6"/>
  <c r="Z656" i="6"/>
  <c r="AA656" i="6"/>
  <c r="AB656" i="6"/>
  <c r="AC656" i="6"/>
  <c r="I657" i="6"/>
  <c r="J657" i="6"/>
  <c r="K657" i="6"/>
  <c r="L657" i="6"/>
  <c r="M657" i="6"/>
  <c r="N657" i="6"/>
  <c r="O657" i="6"/>
  <c r="P657" i="6"/>
  <c r="Q657" i="6"/>
  <c r="R657" i="6"/>
  <c r="S657" i="6"/>
  <c r="T657" i="6"/>
  <c r="U657" i="6"/>
  <c r="V657" i="6"/>
  <c r="W657" i="6"/>
  <c r="X657" i="6"/>
  <c r="Y657" i="6"/>
  <c r="Z657" i="6"/>
  <c r="AA657" i="6"/>
  <c r="AB657" i="6"/>
  <c r="AC657" i="6"/>
  <c r="I658" i="6"/>
  <c r="J658" i="6"/>
  <c r="K658" i="6"/>
  <c r="L658" i="6"/>
  <c r="M658" i="6"/>
  <c r="N658" i="6"/>
  <c r="O658" i="6"/>
  <c r="P658" i="6"/>
  <c r="Q658" i="6"/>
  <c r="R658" i="6"/>
  <c r="S658" i="6"/>
  <c r="T658" i="6"/>
  <c r="U658" i="6"/>
  <c r="V658" i="6"/>
  <c r="W658" i="6"/>
  <c r="X658" i="6"/>
  <c r="Y658" i="6"/>
  <c r="Z658" i="6"/>
  <c r="AA658" i="6"/>
  <c r="AB658" i="6"/>
  <c r="AC658" i="6"/>
  <c r="I659" i="6"/>
  <c r="J659" i="6"/>
  <c r="K659" i="6"/>
  <c r="L659" i="6"/>
  <c r="M659" i="6"/>
  <c r="N659" i="6"/>
  <c r="O659" i="6"/>
  <c r="P659" i="6"/>
  <c r="Q659" i="6"/>
  <c r="R659" i="6"/>
  <c r="S659" i="6"/>
  <c r="T659" i="6"/>
  <c r="U659" i="6"/>
  <c r="V659" i="6"/>
  <c r="W659" i="6"/>
  <c r="X659" i="6"/>
  <c r="Y659" i="6"/>
  <c r="Z659" i="6"/>
  <c r="AA659" i="6"/>
  <c r="AB659" i="6"/>
  <c r="AC659" i="6"/>
  <c r="I660" i="6"/>
  <c r="J660" i="6"/>
  <c r="K660" i="6"/>
  <c r="L660" i="6"/>
  <c r="M660" i="6"/>
  <c r="N660" i="6"/>
  <c r="O660" i="6"/>
  <c r="P660" i="6"/>
  <c r="Q660" i="6"/>
  <c r="R660" i="6"/>
  <c r="S660" i="6"/>
  <c r="T660" i="6"/>
  <c r="U660" i="6"/>
  <c r="V660" i="6"/>
  <c r="W660" i="6"/>
  <c r="X660" i="6"/>
  <c r="Y660" i="6"/>
  <c r="Z660" i="6"/>
  <c r="AA660" i="6"/>
  <c r="AB660" i="6"/>
  <c r="AC660" i="6"/>
  <c r="I661" i="6"/>
  <c r="J661" i="6"/>
  <c r="K661" i="6"/>
  <c r="L661" i="6"/>
  <c r="M661" i="6"/>
  <c r="N661" i="6"/>
  <c r="O661" i="6"/>
  <c r="P661" i="6"/>
  <c r="Q661" i="6"/>
  <c r="R661" i="6"/>
  <c r="S661" i="6"/>
  <c r="T661" i="6"/>
  <c r="U661" i="6"/>
  <c r="V661" i="6"/>
  <c r="W661" i="6"/>
  <c r="X661" i="6"/>
  <c r="Y661" i="6"/>
  <c r="Z661" i="6"/>
  <c r="AA661" i="6"/>
  <c r="AB661" i="6"/>
  <c r="AC661" i="6"/>
  <c r="I662" i="6"/>
  <c r="J662" i="6"/>
  <c r="K662" i="6"/>
  <c r="L662" i="6"/>
  <c r="M662" i="6"/>
  <c r="N662" i="6"/>
  <c r="O662" i="6"/>
  <c r="P662" i="6"/>
  <c r="Q662" i="6"/>
  <c r="R662" i="6"/>
  <c r="S662" i="6"/>
  <c r="T662" i="6"/>
  <c r="U662" i="6"/>
  <c r="V662" i="6"/>
  <c r="W662" i="6"/>
  <c r="X662" i="6"/>
  <c r="Y662" i="6"/>
  <c r="Z662" i="6"/>
  <c r="AA662" i="6"/>
  <c r="AB662" i="6"/>
  <c r="AC662" i="6"/>
  <c r="I663" i="6"/>
  <c r="J663" i="6"/>
  <c r="K663" i="6"/>
  <c r="L663" i="6"/>
  <c r="M663" i="6"/>
  <c r="N663" i="6"/>
  <c r="O663" i="6"/>
  <c r="P663" i="6"/>
  <c r="Q663" i="6"/>
  <c r="R663" i="6"/>
  <c r="S663" i="6"/>
  <c r="T663" i="6"/>
  <c r="U663" i="6"/>
  <c r="V663" i="6"/>
  <c r="W663" i="6"/>
  <c r="X663" i="6"/>
  <c r="Y663" i="6"/>
  <c r="Z663" i="6"/>
  <c r="AA663" i="6"/>
  <c r="AB663" i="6"/>
  <c r="AC663" i="6"/>
  <c r="I664" i="6"/>
  <c r="J664" i="6"/>
  <c r="K664" i="6"/>
  <c r="L664" i="6"/>
  <c r="M664" i="6"/>
  <c r="N664" i="6"/>
  <c r="O664" i="6"/>
  <c r="P664" i="6"/>
  <c r="Q664" i="6"/>
  <c r="R664" i="6"/>
  <c r="S664" i="6"/>
  <c r="T664" i="6"/>
  <c r="U664" i="6"/>
  <c r="V664" i="6"/>
  <c r="W664" i="6"/>
  <c r="X664" i="6"/>
  <c r="Y664" i="6"/>
  <c r="Z664" i="6"/>
  <c r="AA664" i="6"/>
  <c r="AB664" i="6"/>
  <c r="AC664" i="6"/>
  <c r="I665" i="6"/>
  <c r="J665" i="6"/>
  <c r="K665" i="6"/>
  <c r="L665" i="6"/>
  <c r="M665" i="6"/>
  <c r="N665" i="6"/>
  <c r="O665" i="6"/>
  <c r="P665" i="6"/>
  <c r="Q665" i="6"/>
  <c r="R665" i="6"/>
  <c r="S665" i="6"/>
  <c r="T665" i="6"/>
  <c r="U665" i="6"/>
  <c r="V665" i="6"/>
  <c r="W665" i="6"/>
  <c r="X665" i="6"/>
  <c r="Y665" i="6"/>
  <c r="Z665" i="6"/>
  <c r="AA665" i="6"/>
  <c r="AB665" i="6"/>
  <c r="AC665" i="6"/>
  <c r="I667" i="6"/>
  <c r="J667" i="6"/>
  <c r="K667" i="6"/>
  <c r="L667" i="6"/>
  <c r="M667" i="6"/>
  <c r="N667" i="6"/>
  <c r="O667" i="6"/>
  <c r="P667" i="6"/>
  <c r="Q667" i="6"/>
  <c r="R667" i="6"/>
  <c r="S667" i="6"/>
  <c r="T667" i="6"/>
  <c r="U667" i="6"/>
  <c r="V667" i="6"/>
  <c r="W667" i="6"/>
  <c r="X667" i="6"/>
  <c r="Y667" i="6"/>
  <c r="Z667" i="6"/>
  <c r="AA667" i="6"/>
  <c r="AB667" i="6"/>
  <c r="AC667" i="6"/>
  <c r="I668" i="6"/>
  <c r="J668" i="6"/>
  <c r="K668" i="6"/>
  <c r="L668" i="6"/>
  <c r="M668" i="6"/>
  <c r="N668" i="6"/>
  <c r="O668" i="6"/>
  <c r="P668" i="6"/>
  <c r="Q668" i="6"/>
  <c r="R668" i="6"/>
  <c r="S668" i="6"/>
  <c r="T668" i="6"/>
  <c r="U668" i="6"/>
  <c r="V668" i="6"/>
  <c r="W668" i="6"/>
  <c r="X668" i="6"/>
  <c r="Y668" i="6"/>
  <c r="Z668" i="6"/>
  <c r="AA668" i="6"/>
  <c r="AB668" i="6"/>
  <c r="AC668" i="6"/>
  <c r="I669" i="6"/>
  <c r="J669" i="6"/>
  <c r="K669" i="6"/>
  <c r="L669" i="6"/>
  <c r="M669" i="6"/>
  <c r="N669" i="6"/>
  <c r="O669" i="6"/>
  <c r="P669" i="6"/>
  <c r="Q669" i="6"/>
  <c r="R669" i="6"/>
  <c r="S669" i="6"/>
  <c r="T669" i="6"/>
  <c r="U669" i="6"/>
  <c r="V669" i="6"/>
  <c r="W669" i="6"/>
  <c r="X669" i="6"/>
  <c r="Y669" i="6"/>
  <c r="Z669" i="6"/>
  <c r="AA669" i="6"/>
  <c r="AB669" i="6"/>
  <c r="AC669" i="6"/>
  <c r="I670" i="6"/>
  <c r="J670" i="6"/>
  <c r="K670" i="6"/>
  <c r="L670" i="6"/>
  <c r="M670" i="6"/>
  <c r="N670" i="6"/>
  <c r="O670" i="6"/>
  <c r="P670" i="6"/>
  <c r="Q670" i="6"/>
  <c r="R670" i="6"/>
  <c r="S670" i="6"/>
  <c r="T670" i="6"/>
  <c r="U670" i="6"/>
  <c r="V670" i="6"/>
  <c r="W670" i="6"/>
  <c r="X670" i="6"/>
  <c r="Y670" i="6"/>
  <c r="Z670" i="6"/>
  <c r="AA670" i="6"/>
  <c r="AB670" i="6"/>
  <c r="AC670" i="6"/>
  <c r="I672" i="6"/>
  <c r="J672" i="6"/>
  <c r="K672" i="6"/>
  <c r="L672" i="6"/>
  <c r="M672" i="6"/>
  <c r="N672" i="6"/>
  <c r="O672" i="6"/>
  <c r="P672" i="6"/>
  <c r="Q672" i="6"/>
  <c r="R672" i="6"/>
  <c r="S672" i="6"/>
  <c r="T672" i="6"/>
  <c r="U672" i="6"/>
  <c r="V672" i="6"/>
  <c r="W672" i="6"/>
  <c r="X672" i="6"/>
  <c r="Y672" i="6"/>
  <c r="Z672" i="6"/>
  <c r="AA672" i="6"/>
  <c r="AB672" i="6"/>
  <c r="AC672" i="6"/>
  <c r="C674" i="6"/>
  <c r="I674" i="6"/>
  <c r="J674" i="6"/>
  <c r="K674" i="6"/>
  <c r="L674" i="6"/>
  <c r="M674" i="6"/>
  <c r="N674" i="6"/>
  <c r="O674" i="6"/>
  <c r="P674" i="6"/>
  <c r="Q674" i="6"/>
  <c r="R674" i="6"/>
  <c r="S674" i="6"/>
  <c r="T674" i="6"/>
  <c r="U674" i="6"/>
  <c r="V674" i="6"/>
  <c r="W674" i="6"/>
  <c r="X674" i="6"/>
  <c r="Y674" i="6"/>
  <c r="Z674" i="6"/>
  <c r="AA674" i="6"/>
  <c r="AB674" i="6"/>
  <c r="AC674" i="6"/>
  <c r="C675" i="6"/>
  <c r="I675" i="6"/>
  <c r="J675" i="6"/>
  <c r="K675" i="6"/>
  <c r="L675" i="6"/>
  <c r="M675" i="6"/>
  <c r="N675" i="6"/>
  <c r="O675" i="6"/>
  <c r="P675" i="6"/>
  <c r="Q675" i="6"/>
  <c r="R675" i="6"/>
  <c r="S675" i="6"/>
  <c r="T675" i="6"/>
  <c r="U675" i="6"/>
  <c r="V675" i="6"/>
  <c r="W675" i="6"/>
  <c r="X675" i="6"/>
  <c r="Y675" i="6"/>
  <c r="Z675" i="6"/>
  <c r="AA675" i="6"/>
  <c r="AB675" i="6"/>
  <c r="AC675" i="6"/>
  <c r="I676" i="6"/>
  <c r="J676" i="6"/>
  <c r="K676" i="6"/>
  <c r="L676" i="6"/>
  <c r="M676" i="6"/>
  <c r="N676" i="6"/>
  <c r="O676" i="6"/>
  <c r="P676" i="6"/>
  <c r="Q676" i="6"/>
  <c r="R676" i="6"/>
  <c r="S676" i="6"/>
  <c r="T676" i="6"/>
  <c r="U676" i="6"/>
  <c r="V676" i="6"/>
  <c r="W676" i="6"/>
  <c r="X676" i="6"/>
  <c r="Y676" i="6"/>
  <c r="Z676" i="6"/>
  <c r="AA676" i="6"/>
  <c r="AB676" i="6"/>
  <c r="AC676" i="6"/>
  <c r="A681" i="6"/>
  <c r="I681" i="6"/>
  <c r="J681" i="6"/>
  <c r="K681" i="6"/>
  <c r="L681" i="6"/>
  <c r="M681" i="6"/>
  <c r="N681" i="6"/>
  <c r="O681" i="6"/>
  <c r="P681" i="6"/>
  <c r="Q681" i="6"/>
  <c r="R681" i="6"/>
  <c r="S681" i="6"/>
  <c r="T681" i="6"/>
  <c r="U681" i="6"/>
  <c r="V681" i="6"/>
  <c r="W681" i="6"/>
  <c r="X681" i="6"/>
  <c r="Y681" i="6"/>
  <c r="Z681" i="6"/>
  <c r="AA681" i="6"/>
  <c r="AB681" i="6"/>
  <c r="AC681" i="6"/>
  <c r="I682" i="6"/>
  <c r="J682" i="6"/>
  <c r="K682" i="6"/>
  <c r="L682" i="6"/>
  <c r="M682" i="6"/>
  <c r="N682" i="6"/>
  <c r="O682" i="6"/>
  <c r="P682" i="6"/>
  <c r="Q682" i="6"/>
  <c r="R682" i="6"/>
  <c r="S682" i="6"/>
  <c r="T682" i="6"/>
  <c r="U682" i="6"/>
  <c r="V682" i="6"/>
  <c r="W682" i="6"/>
  <c r="X682" i="6"/>
  <c r="Y682" i="6"/>
  <c r="Z682" i="6"/>
  <c r="AA682" i="6"/>
  <c r="AB682" i="6"/>
  <c r="AC682" i="6"/>
  <c r="I683" i="6"/>
  <c r="J683" i="6"/>
  <c r="K683" i="6"/>
  <c r="L683" i="6"/>
  <c r="M683" i="6"/>
  <c r="N683" i="6"/>
  <c r="O683" i="6"/>
  <c r="P683" i="6"/>
  <c r="Q683" i="6"/>
  <c r="R683" i="6"/>
  <c r="S683" i="6"/>
  <c r="T683" i="6"/>
  <c r="U683" i="6"/>
  <c r="V683" i="6"/>
  <c r="W683" i="6"/>
  <c r="X683" i="6"/>
  <c r="Y683" i="6"/>
  <c r="Z683" i="6"/>
  <c r="AA683" i="6"/>
  <c r="AB683" i="6"/>
  <c r="AC683" i="6"/>
  <c r="I685" i="6"/>
  <c r="J685" i="6"/>
  <c r="K685" i="6"/>
  <c r="L685" i="6"/>
  <c r="M685" i="6"/>
  <c r="N685" i="6"/>
  <c r="O685" i="6"/>
  <c r="P685" i="6"/>
  <c r="Q685" i="6"/>
  <c r="R685" i="6"/>
  <c r="S685" i="6"/>
  <c r="T685" i="6"/>
  <c r="U685" i="6"/>
  <c r="V685" i="6"/>
  <c r="W685" i="6"/>
  <c r="X685" i="6"/>
  <c r="Y685" i="6"/>
  <c r="Z685" i="6"/>
  <c r="AA685" i="6"/>
  <c r="AB685" i="6"/>
  <c r="AC685" i="6"/>
  <c r="I686" i="6"/>
  <c r="J686" i="6"/>
  <c r="K686" i="6"/>
  <c r="L686" i="6"/>
  <c r="M686" i="6"/>
  <c r="N686" i="6"/>
  <c r="O686" i="6"/>
  <c r="P686" i="6"/>
  <c r="Q686" i="6"/>
  <c r="R686" i="6"/>
  <c r="S686" i="6"/>
  <c r="T686" i="6"/>
  <c r="U686" i="6"/>
  <c r="V686" i="6"/>
  <c r="W686" i="6"/>
  <c r="X686" i="6"/>
  <c r="Y686" i="6"/>
  <c r="Z686" i="6"/>
  <c r="AA686" i="6"/>
  <c r="AB686" i="6"/>
  <c r="AC686" i="6"/>
  <c r="I687" i="6"/>
  <c r="J687" i="6"/>
  <c r="K687" i="6"/>
  <c r="L687" i="6"/>
  <c r="M687" i="6"/>
  <c r="N687" i="6"/>
  <c r="O687" i="6"/>
  <c r="P687" i="6"/>
  <c r="Q687" i="6"/>
  <c r="R687" i="6"/>
  <c r="S687" i="6"/>
  <c r="T687" i="6"/>
  <c r="U687" i="6"/>
  <c r="V687" i="6"/>
  <c r="W687" i="6"/>
  <c r="X687" i="6"/>
  <c r="Y687" i="6"/>
  <c r="Z687" i="6"/>
  <c r="AA687" i="6"/>
  <c r="AB687" i="6"/>
  <c r="AC687" i="6"/>
  <c r="I688" i="6"/>
  <c r="J688" i="6"/>
  <c r="K688" i="6"/>
  <c r="L688" i="6"/>
  <c r="M688" i="6"/>
  <c r="N688" i="6"/>
  <c r="O688" i="6"/>
  <c r="P688" i="6"/>
  <c r="Q688" i="6"/>
  <c r="R688" i="6"/>
  <c r="S688" i="6"/>
  <c r="T688" i="6"/>
  <c r="U688" i="6"/>
  <c r="V688" i="6"/>
  <c r="W688" i="6"/>
  <c r="X688" i="6"/>
  <c r="Y688" i="6"/>
  <c r="Z688" i="6"/>
  <c r="AA688" i="6"/>
  <c r="AB688" i="6"/>
  <c r="AC688" i="6"/>
  <c r="I690" i="6"/>
  <c r="J690" i="6"/>
  <c r="K690" i="6"/>
  <c r="L690" i="6"/>
  <c r="M690" i="6"/>
  <c r="N690" i="6"/>
  <c r="O690" i="6"/>
  <c r="P690" i="6"/>
  <c r="Q690" i="6"/>
  <c r="R690" i="6"/>
  <c r="S690" i="6"/>
  <c r="T690" i="6"/>
  <c r="U690" i="6"/>
  <c r="V690" i="6"/>
  <c r="W690" i="6"/>
  <c r="X690" i="6"/>
  <c r="Y690" i="6"/>
  <c r="Z690" i="6"/>
  <c r="AA690" i="6"/>
  <c r="AB690" i="6"/>
  <c r="AC690" i="6"/>
  <c r="C692" i="6"/>
  <c r="I692" i="6"/>
  <c r="J692" i="6"/>
  <c r="K692" i="6"/>
  <c r="L692" i="6"/>
  <c r="M692" i="6"/>
  <c r="N692" i="6"/>
  <c r="O692" i="6"/>
  <c r="P692" i="6"/>
  <c r="Q692" i="6"/>
  <c r="R692" i="6"/>
  <c r="S692" i="6"/>
  <c r="T692" i="6"/>
  <c r="U692" i="6"/>
  <c r="V692" i="6"/>
  <c r="W692" i="6"/>
  <c r="X692" i="6"/>
  <c r="Y692" i="6"/>
  <c r="Z692" i="6"/>
  <c r="AA692" i="6"/>
  <c r="AB692" i="6"/>
  <c r="AC692" i="6"/>
  <c r="C693" i="6"/>
  <c r="I693" i="6"/>
  <c r="J693" i="6"/>
  <c r="K693" i="6"/>
  <c r="L693" i="6"/>
  <c r="M693" i="6"/>
  <c r="N693" i="6"/>
  <c r="O693" i="6"/>
  <c r="P693" i="6"/>
  <c r="Q693" i="6"/>
  <c r="R693" i="6"/>
  <c r="S693" i="6"/>
  <c r="T693" i="6"/>
  <c r="U693" i="6"/>
  <c r="V693" i="6"/>
  <c r="W693" i="6"/>
  <c r="X693" i="6"/>
  <c r="Y693" i="6"/>
  <c r="Z693" i="6"/>
  <c r="AA693" i="6"/>
  <c r="AB693" i="6"/>
  <c r="AC693" i="6"/>
  <c r="I694" i="6"/>
  <c r="J694" i="6"/>
  <c r="K694" i="6"/>
  <c r="L694" i="6"/>
  <c r="M694" i="6"/>
  <c r="N694" i="6"/>
  <c r="O694" i="6"/>
  <c r="P694" i="6"/>
  <c r="Q694" i="6"/>
  <c r="R694" i="6"/>
  <c r="S694" i="6"/>
  <c r="T694" i="6"/>
  <c r="U694" i="6"/>
  <c r="V694" i="6"/>
  <c r="W694" i="6"/>
  <c r="X694" i="6"/>
  <c r="Y694" i="6"/>
  <c r="Z694" i="6"/>
  <c r="AA694" i="6"/>
  <c r="AB694" i="6"/>
  <c r="AC694" i="6"/>
  <c r="H697" i="6"/>
  <c r="I697" i="6"/>
  <c r="J697" i="6"/>
  <c r="K697" i="6"/>
  <c r="L697" i="6"/>
  <c r="M697" i="6"/>
  <c r="N697" i="6"/>
  <c r="O697" i="6"/>
  <c r="P697" i="6"/>
  <c r="Q697" i="6"/>
  <c r="R697" i="6"/>
  <c r="S697" i="6"/>
  <c r="T697" i="6"/>
  <c r="U697" i="6"/>
  <c r="V697" i="6"/>
  <c r="W697" i="6"/>
  <c r="X697" i="6"/>
  <c r="Y697" i="6"/>
  <c r="Z697" i="6"/>
  <c r="AA697" i="6"/>
  <c r="AB697" i="6"/>
  <c r="AC697" i="6"/>
  <c r="I699" i="6"/>
  <c r="J699" i="6"/>
  <c r="K699" i="6"/>
  <c r="L699" i="6"/>
  <c r="M699" i="6"/>
  <c r="N699" i="6"/>
  <c r="O699" i="6"/>
  <c r="P699" i="6"/>
  <c r="Q699" i="6"/>
  <c r="R699" i="6"/>
  <c r="S699" i="6"/>
  <c r="T699" i="6"/>
  <c r="U699" i="6"/>
  <c r="V699" i="6"/>
  <c r="W699" i="6"/>
  <c r="X699" i="6"/>
  <c r="Y699" i="6"/>
  <c r="Z699" i="6"/>
  <c r="AA699" i="6"/>
  <c r="AB699" i="6"/>
  <c r="AC699" i="6"/>
  <c r="I700" i="6"/>
  <c r="J700" i="6"/>
  <c r="K700" i="6"/>
  <c r="L700" i="6"/>
  <c r="M700" i="6"/>
  <c r="N700" i="6"/>
  <c r="O700" i="6"/>
  <c r="P700" i="6"/>
  <c r="Q700" i="6"/>
  <c r="R700" i="6"/>
  <c r="S700" i="6"/>
  <c r="T700" i="6"/>
  <c r="U700" i="6"/>
  <c r="V700" i="6"/>
  <c r="W700" i="6"/>
  <c r="X700" i="6"/>
  <c r="Y700" i="6"/>
  <c r="Z700" i="6"/>
  <c r="AA700" i="6"/>
  <c r="AB700" i="6"/>
  <c r="AC700" i="6"/>
  <c r="I701" i="6"/>
  <c r="J701" i="6"/>
  <c r="K701" i="6"/>
  <c r="L701" i="6"/>
  <c r="M701" i="6"/>
  <c r="N701" i="6"/>
  <c r="O701" i="6"/>
  <c r="P701" i="6"/>
  <c r="Q701" i="6"/>
  <c r="R701" i="6"/>
  <c r="S701" i="6"/>
  <c r="T701" i="6"/>
  <c r="U701" i="6"/>
  <c r="V701" i="6"/>
  <c r="W701" i="6"/>
  <c r="X701" i="6"/>
  <c r="Y701" i="6"/>
  <c r="Z701" i="6"/>
  <c r="AA701" i="6"/>
  <c r="AB701" i="6"/>
  <c r="AC701" i="6"/>
  <c r="I702" i="6"/>
  <c r="J702" i="6"/>
  <c r="K702" i="6"/>
  <c r="L702" i="6"/>
  <c r="M702" i="6"/>
  <c r="N702" i="6"/>
  <c r="O702" i="6"/>
  <c r="P702" i="6"/>
  <c r="Q702" i="6"/>
  <c r="R702" i="6"/>
  <c r="S702" i="6"/>
  <c r="T702" i="6"/>
  <c r="U702" i="6"/>
  <c r="V702" i="6"/>
  <c r="W702" i="6"/>
  <c r="X702" i="6"/>
  <c r="Y702" i="6"/>
  <c r="Z702" i="6"/>
  <c r="AA702" i="6"/>
  <c r="AB702" i="6"/>
  <c r="AC702" i="6"/>
  <c r="I703" i="6"/>
  <c r="J703" i="6"/>
  <c r="K703" i="6"/>
  <c r="L703" i="6"/>
  <c r="M703" i="6"/>
  <c r="N703" i="6"/>
  <c r="O703" i="6"/>
  <c r="P703" i="6"/>
  <c r="Q703" i="6"/>
  <c r="R703" i="6"/>
  <c r="S703" i="6"/>
  <c r="T703" i="6"/>
  <c r="U703" i="6"/>
  <c r="V703" i="6"/>
  <c r="W703" i="6"/>
  <c r="X703" i="6"/>
  <c r="Y703" i="6"/>
  <c r="Z703" i="6"/>
  <c r="AA703" i="6"/>
  <c r="AB703" i="6"/>
  <c r="AC703" i="6"/>
  <c r="I704" i="6"/>
  <c r="J704" i="6"/>
  <c r="K704" i="6"/>
  <c r="L704" i="6"/>
  <c r="M704" i="6"/>
  <c r="N704" i="6"/>
  <c r="O704" i="6"/>
  <c r="P704" i="6"/>
  <c r="Q704" i="6"/>
  <c r="R704" i="6"/>
  <c r="S704" i="6"/>
  <c r="T704" i="6"/>
  <c r="U704" i="6"/>
  <c r="V704" i="6"/>
  <c r="W704" i="6"/>
  <c r="X704" i="6"/>
  <c r="Y704" i="6"/>
  <c r="Z704" i="6"/>
  <c r="AA704" i="6"/>
  <c r="AB704" i="6"/>
  <c r="AC704" i="6"/>
  <c r="J705" i="6"/>
  <c r="K705" i="6"/>
  <c r="L705" i="6"/>
  <c r="M705" i="6"/>
  <c r="N705" i="6"/>
  <c r="O705" i="6"/>
  <c r="P705" i="6"/>
  <c r="Q705" i="6"/>
  <c r="R705" i="6"/>
  <c r="S705" i="6"/>
  <c r="T705" i="6"/>
  <c r="U705" i="6"/>
  <c r="V705" i="6"/>
  <c r="W705" i="6"/>
  <c r="X705" i="6"/>
  <c r="Y705" i="6"/>
  <c r="Z705" i="6"/>
  <c r="AA705" i="6"/>
  <c r="AB705" i="6"/>
  <c r="AC705" i="6"/>
  <c r="I706" i="6"/>
  <c r="J706" i="6"/>
  <c r="K706" i="6"/>
  <c r="L706" i="6"/>
  <c r="M706" i="6"/>
  <c r="N706" i="6"/>
  <c r="O706" i="6"/>
  <c r="P706" i="6"/>
  <c r="Q706" i="6"/>
  <c r="R706" i="6"/>
  <c r="S706" i="6"/>
  <c r="T706" i="6"/>
  <c r="U706" i="6"/>
  <c r="V706" i="6"/>
  <c r="W706" i="6"/>
  <c r="X706" i="6"/>
  <c r="Y706" i="6"/>
  <c r="Z706" i="6"/>
  <c r="AA706" i="6"/>
  <c r="AB706" i="6"/>
  <c r="AC706" i="6"/>
  <c r="I707" i="6"/>
  <c r="J707" i="6"/>
  <c r="K707" i="6"/>
  <c r="L707" i="6"/>
  <c r="M707" i="6"/>
  <c r="N707" i="6"/>
  <c r="O707" i="6"/>
  <c r="P707" i="6"/>
  <c r="Q707" i="6"/>
  <c r="R707" i="6"/>
  <c r="S707" i="6"/>
  <c r="T707" i="6"/>
  <c r="U707" i="6"/>
  <c r="V707" i="6"/>
  <c r="W707" i="6"/>
  <c r="X707" i="6"/>
  <c r="Y707" i="6"/>
  <c r="Z707" i="6"/>
  <c r="AA707" i="6"/>
  <c r="AB707" i="6"/>
  <c r="AC707" i="6"/>
  <c r="I709" i="6"/>
  <c r="J709" i="6"/>
  <c r="K709" i="6"/>
  <c r="L709" i="6"/>
  <c r="M709" i="6"/>
  <c r="N709" i="6"/>
  <c r="O709" i="6"/>
  <c r="P709" i="6"/>
  <c r="Q709" i="6"/>
  <c r="R709" i="6"/>
  <c r="S709" i="6"/>
  <c r="T709" i="6"/>
  <c r="U709" i="6"/>
  <c r="V709" i="6"/>
  <c r="W709" i="6"/>
  <c r="X709" i="6"/>
  <c r="Y709" i="6"/>
  <c r="Z709" i="6"/>
  <c r="AA709" i="6"/>
  <c r="AB709" i="6"/>
  <c r="AC709" i="6"/>
  <c r="I710" i="6"/>
  <c r="J710" i="6"/>
  <c r="K710" i="6"/>
  <c r="L710" i="6"/>
  <c r="M710" i="6"/>
  <c r="N710" i="6"/>
  <c r="O710" i="6"/>
  <c r="P710" i="6"/>
  <c r="Q710" i="6"/>
  <c r="R710" i="6"/>
  <c r="S710" i="6"/>
  <c r="T710" i="6"/>
  <c r="U710" i="6"/>
  <c r="V710" i="6"/>
  <c r="W710" i="6"/>
  <c r="X710" i="6"/>
  <c r="Y710" i="6"/>
  <c r="Z710" i="6"/>
  <c r="AA710" i="6"/>
  <c r="AB710" i="6"/>
  <c r="AC710" i="6"/>
  <c r="I712" i="6"/>
  <c r="J712" i="6"/>
  <c r="K712" i="6"/>
  <c r="L712" i="6"/>
  <c r="M712" i="6"/>
  <c r="N712" i="6"/>
  <c r="O712" i="6"/>
  <c r="P712" i="6"/>
  <c r="Q712" i="6"/>
  <c r="R712" i="6"/>
  <c r="S712" i="6"/>
  <c r="T712" i="6"/>
  <c r="U712" i="6"/>
  <c r="V712" i="6"/>
  <c r="W712" i="6"/>
  <c r="X712" i="6"/>
  <c r="Y712" i="6"/>
  <c r="Z712" i="6"/>
  <c r="AA712" i="6"/>
  <c r="AB712" i="6"/>
  <c r="AC712" i="6"/>
  <c r="I713" i="6"/>
  <c r="J713" i="6"/>
  <c r="K713" i="6"/>
  <c r="L713" i="6"/>
  <c r="M713" i="6"/>
  <c r="N713" i="6"/>
  <c r="O713" i="6"/>
  <c r="P713" i="6"/>
  <c r="Q713" i="6"/>
  <c r="R713" i="6"/>
  <c r="S713" i="6"/>
  <c r="T713" i="6"/>
  <c r="U713" i="6"/>
  <c r="V713" i="6"/>
  <c r="W713" i="6"/>
  <c r="X713" i="6"/>
  <c r="Y713" i="6"/>
  <c r="Z713" i="6"/>
  <c r="AA713" i="6"/>
  <c r="AB713" i="6"/>
  <c r="AC713" i="6"/>
  <c r="I714" i="6"/>
  <c r="J714" i="6"/>
  <c r="K714" i="6"/>
  <c r="L714" i="6"/>
  <c r="M714" i="6"/>
  <c r="N714" i="6"/>
  <c r="O714" i="6"/>
  <c r="P714" i="6"/>
  <c r="Q714" i="6"/>
  <c r="R714" i="6"/>
  <c r="S714" i="6"/>
  <c r="T714" i="6"/>
  <c r="U714" i="6"/>
  <c r="V714" i="6"/>
  <c r="W714" i="6"/>
  <c r="X714" i="6"/>
  <c r="Y714" i="6"/>
  <c r="Z714" i="6"/>
  <c r="AA714" i="6"/>
  <c r="AB714" i="6"/>
  <c r="AC714" i="6"/>
  <c r="I715" i="6"/>
  <c r="J715" i="6"/>
  <c r="K715" i="6"/>
  <c r="L715" i="6"/>
  <c r="M715" i="6"/>
  <c r="N715" i="6"/>
  <c r="O715" i="6"/>
  <c r="P715" i="6"/>
  <c r="Q715" i="6"/>
  <c r="R715" i="6"/>
  <c r="S715" i="6"/>
  <c r="T715" i="6"/>
  <c r="U715" i="6"/>
  <c r="V715" i="6"/>
  <c r="W715" i="6"/>
  <c r="X715" i="6"/>
  <c r="Y715" i="6"/>
  <c r="Z715" i="6"/>
  <c r="AA715" i="6"/>
  <c r="AB715" i="6"/>
  <c r="AC715" i="6"/>
  <c r="I717" i="6"/>
  <c r="J717" i="6"/>
  <c r="K717" i="6"/>
  <c r="L717" i="6"/>
  <c r="M717" i="6"/>
  <c r="N717" i="6"/>
  <c r="O717" i="6"/>
  <c r="P717" i="6"/>
  <c r="Q717" i="6"/>
  <c r="R717" i="6"/>
  <c r="S717" i="6"/>
  <c r="T717" i="6"/>
  <c r="U717" i="6"/>
  <c r="V717" i="6"/>
  <c r="W717" i="6"/>
  <c r="X717" i="6"/>
  <c r="Y717" i="6"/>
  <c r="Z717" i="6"/>
  <c r="AA717" i="6"/>
  <c r="AB717" i="6"/>
  <c r="AC717" i="6"/>
  <c r="I718" i="6"/>
  <c r="J718" i="6"/>
  <c r="K718" i="6"/>
  <c r="L718" i="6"/>
  <c r="M718" i="6"/>
  <c r="N718" i="6"/>
  <c r="O718" i="6"/>
  <c r="P718" i="6"/>
  <c r="Q718" i="6"/>
  <c r="R718" i="6"/>
  <c r="S718" i="6"/>
  <c r="T718" i="6"/>
  <c r="U718" i="6"/>
  <c r="V718" i="6"/>
  <c r="W718" i="6"/>
  <c r="X718" i="6"/>
  <c r="Y718" i="6"/>
  <c r="Z718" i="6"/>
  <c r="AA718" i="6"/>
  <c r="AB718" i="6"/>
  <c r="AC718" i="6"/>
  <c r="I719" i="6"/>
  <c r="J719" i="6"/>
  <c r="K719" i="6"/>
  <c r="L719" i="6"/>
  <c r="M719" i="6"/>
  <c r="N719" i="6"/>
  <c r="O719" i="6"/>
  <c r="P719" i="6"/>
  <c r="Q719" i="6"/>
  <c r="R719" i="6"/>
  <c r="S719" i="6"/>
  <c r="T719" i="6"/>
  <c r="U719" i="6"/>
  <c r="V719" i="6"/>
  <c r="W719" i="6"/>
  <c r="X719" i="6"/>
  <c r="Y719" i="6"/>
  <c r="Z719" i="6"/>
  <c r="AA719" i="6"/>
  <c r="AB719" i="6"/>
  <c r="AC719" i="6"/>
  <c r="I722" i="6"/>
  <c r="J722" i="6"/>
  <c r="K722" i="6"/>
  <c r="L722" i="6"/>
  <c r="M722" i="6"/>
  <c r="N722" i="6"/>
  <c r="O722" i="6"/>
  <c r="P722" i="6"/>
  <c r="Q722" i="6"/>
  <c r="R722" i="6"/>
  <c r="S722" i="6"/>
  <c r="T722" i="6"/>
  <c r="U722" i="6"/>
  <c r="V722" i="6"/>
  <c r="W722" i="6"/>
  <c r="X722" i="6"/>
  <c r="Y722" i="6"/>
  <c r="Z722" i="6"/>
  <c r="AA722" i="6"/>
  <c r="AB722" i="6"/>
  <c r="AC722" i="6"/>
  <c r="I723" i="6"/>
  <c r="J723" i="6"/>
  <c r="K723" i="6"/>
  <c r="L723" i="6"/>
  <c r="M723" i="6"/>
  <c r="N723" i="6"/>
  <c r="O723" i="6"/>
  <c r="P723" i="6"/>
  <c r="Q723" i="6"/>
  <c r="R723" i="6"/>
  <c r="S723" i="6"/>
  <c r="T723" i="6"/>
  <c r="U723" i="6"/>
  <c r="V723" i="6"/>
  <c r="W723" i="6"/>
  <c r="X723" i="6"/>
  <c r="Y723" i="6"/>
  <c r="Z723" i="6"/>
  <c r="AA723" i="6"/>
  <c r="AB723" i="6"/>
  <c r="AC723" i="6"/>
  <c r="I724" i="6"/>
  <c r="J724" i="6"/>
  <c r="K724" i="6"/>
  <c r="L724" i="6"/>
  <c r="M724" i="6"/>
  <c r="N724" i="6"/>
  <c r="O724" i="6"/>
  <c r="P724" i="6"/>
  <c r="Q724" i="6"/>
  <c r="R724" i="6"/>
  <c r="S724" i="6"/>
  <c r="T724" i="6"/>
  <c r="U724" i="6"/>
  <c r="V724" i="6"/>
  <c r="W724" i="6"/>
  <c r="X724" i="6"/>
  <c r="Y724" i="6"/>
  <c r="Z724" i="6"/>
  <c r="AA724" i="6"/>
  <c r="AB724" i="6"/>
  <c r="AC724" i="6"/>
  <c r="I725" i="6"/>
  <c r="J725" i="6"/>
  <c r="K725" i="6"/>
  <c r="L725" i="6"/>
  <c r="M725" i="6"/>
  <c r="N725" i="6"/>
  <c r="O725" i="6"/>
  <c r="P725" i="6"/>
  <c r="Q725" i="6"/>
  <c r="R725" i="6"/>
  <c r="S725" i="6"/>
  <c r="T725" i="6"/>
  <c r="U725" i="6"/>
  <c r="V725" i="6"/>
  <c r="W725" i="6"/>
  <c r="X725" i="6"/>
  <c r="Y725" i="6"/>
  <c r="Z725" i="6"/>
  <c r="AA725" i="6"/>
  <c r="AB725" i="6"/>
  <c r="AC725" i="6"/>
  <c r="B727" i="6"/>
  <c r="I727" i="6"/>
  <c r="J727" i="6"/>
  <c r="K727" i="6"/>
  <c r="L727" i="6"/>
  <c r="M727" i="6"/>
  <c r="N727" i="6"/>
  <c r="O727" i="6"/>
  <c r="P727" i="6"/>
  <c r="Q727" i="6"/>
  <c r="R727" i="6"/>
  <c r="S727" i="6"/>
  <c r="T727" i="6"/>
  <c r="U727" i="6"/>
  <c r="V727" i="6"/>
  <c r="W727" i="6"/>
  <c r="X727" i="6"/>
  <c r="Y727" i="6"/>
  <c r="Z727" i="6"/>
  <c r="AA727" i="6"/>
  <c r="AB727" i="6"/>
  <c r="AC727" i="6"/>
  <c r="I728" i="6"/>
  <c r="J728" i="6"/>
  <c r="K728" i="6"/>
  <c r="L728" i="6"/>
  <c r="M728" i="6"/>
  <c r="N728" i="6"/>
  <c r="O728" i="6"/>
  <c r="P728" i="6"/>
  <c r="Q728" i="6"/>
  <c r="R728" i="6"/>
  <c r="S728" i="6"/>
  <c r="T728" i="6"/>
  <c r="U728" i="6"/>
  <c r="V728" i="6"/>
  <c r="W728" i="6"/>
  <c r="X728" i="6"/>
  <c r="Y728" i="6"/>
  <c r="Z728" i="6"/>
  <c r="AA728" i="6"/>
  <c r="AB728" i="6"/>
  <c r="AC728" i="6"/>
  <c r="I729" i="6"/>
  <c r="J729" i="6"/>
  <c r="K729" i="6"/>
  <c r="L729" i="6"/>
  <c r="M729" i="6"/>
  <c r="N729" i="6"/>
  <c r="O729" i="6"/>
  <c r="P729" i="6"/>
  <c r="Q729" i="6"/>
  <c r="R729" i="6"/>
  <c r="S729" i="6"/>
  <c r="T729" i="6"/>
  <c r="U729" i="6"/>
  <c r="V729" i="6"/>
  <c r="W729" i="6"/>
  <c r="X729" i="6"/>
  <c r="Y729" i="6"/>
  <c r="Z729" i="6"/>
  <c r="AA729" i="6"/>
  <c r="AB729" i="6"/>
  <c r="AC729" i="6"/>
  <c r="I731" i="6"/>
  <c r="J731" i="6"/>
  <c r="K731" i="6"/>
  <c r="L731" i="6"/>
  <c r="M731" i="6"/>
  <c r="N731" i="6"/>
  <c r="O731" i="6"/>
  <c r="P731" i="6"/>
  <c r="Q731" i="6"/>
  <c r="R731" i="6"/>
  <c r="S731" i="6"/>
  <c r="T731" i="6"/>
  <c r="U731" i="6"/>
  <c r="V731" i="6"/>
  <c r="W731" i="6"/>
  <c r="X731" i="6"/>
  <c r="Y731" i="6"/>
  <c r="Z731" i="6"/>
  <c r="AA731" i="6"/>
  <c r="AB731" i="6"/>
  <c r="AC731" i="6"/>
  <c r="I732" i="6"/>
  <c r="J732" i="6"/>
  <c r="K732" i="6"/>
  <c r="L732" i="6"/>
  <c r="M732" i="6"/>
  <c r="N732" i="6"/>
  <c r="O732" i="6"/>
  <c r="P732" i="6"/>
  <c r="Q732" i="6"/>
  <c r="R732" i="6"/>
  <c r="S732" i="6"/>
  <c r="T732" i="6"/>
  <c r="U732" i="6"/>
  <c r="V732" i="6"/>
  <c r="W732" i="6"/>
  <c r="X732" i="6"/>
  <c r="Y732" i="6"/>
  <c r="Z732" i="6"/>
  <c r="AA732" i="6"/>
  <c r="AB732" i="6"/>
  <c r="AC732" i="6"/>
  <c r="I733" i="6"/>
  <c r="J733" i="6"/>
  <c r="K733" i="6"/>
  <c r="L733" i="6"/>
  <c r="M733" i="6"/>
  <c r="N733" i="6"/>
  <c r="O733" i="6"/>
  <c r="P733" i="6"/>
  <c r="Q733" i="6"/>
  <c r="R733" i="6"/>
  <c r="S733" i="6"/>
  <c r="T733" i="6"/>
  <c r="U733" i="6"/>
  <c r="V733" i="6"/>
  <c r="W733" i="6"/>
  <c r="X733" i="6"/>
  <c r="Z733" i="6"/>
  <c r="AA733" i="6"/>
  <c r="AB733" i="6"/>
  <c r="AC733" i="6"/>
  <c r="I738" i="6"/>
  <c r="J738" i="6"/>
  <c r="K738" i="6"/>
  <c r="L738" i="6"/>
  <c r="M738" i="6"/>
  <c r="N738" i="6"/>
  <c r="O738" i="6"/>
  <c r="P738" i="6"/>
  <c r="Q738" i="6"/>
  <c r="R738" i="6"/>
  <c r="S738" i="6"/>
  <c r="T738" i="6"/>
  <c r="U738" i="6"/>
  <c r="V738" i="6"/>
  <c r="W738" i="6"/>
  <c r="X738" i="6"/>
  <c r="Y738" i="6"/>
  <c r="Z738" i="6"/>
  <c r="AA738" i="6"/>
  <c r="AB738" i="6"/>
  <c r="AC738" i="6"/>
  <c r="I739" i="6"/>
  <c r="J739" i="6"/>
  <c r="K739" i="6"/>
  <c r="L739" i="6"/>
  <c r="M739" i="6"/>
  <c r="N739" i="6"/>
  <c r="O739" i="6"/>
  <c r="P739" i="6"/>
  <c r="Q739" i="6"/>
  <c r="R739" i="6"/>
  <c r="S739" i="6"/>
  <c r="T739" i="6"/>
  <c r="U739" i="6"/>
  <c r="V739" i="6"/>
  <c r="W739" i="6"/>
  <c r="X739" i="6"/>
  <c r="Y739" i="6"/>
  <c r="Z739" i="6"/>
  <c r="AA739" i="6"/>
  <c r="AB739" i="6"/>
  <c r="AC739" i="6"/>
  <c r="I740" i="6"/>
  <c r="J740" i="6"/>
  <c r="K740" i="6"/>
  <c r="L740" i="6"/>
  <c r="M740" i="6"/>
  <c r="N740" i="6"/>
  <c r="O740" i="6"/>
  <c r="P740" i="6"/>
  <c r="Q740" i="6"/>
  <c r="R740" i="6"/>
  <c r="S740" i="6"/>
  <c r="T740" i="6"/>
  <c r="U740" i="6"/>
  <c r="V740" i="6"/>
  <c r="W740" i="6"/>
  <c r="X740" i="6"/>
  <c r="Y740" i="6"/>
  <c r="Z740" i="6"/>
  <c r="AA740" i="6"/>
  <c r="AB740" i="6"/>
  <c r="AC740" i="6"/>
  <c r="J741" i="6"/>
  <c r="K741" i="6"/>
  <c r="L741" i="6"/>
  <c r="M741" i="6"/>
  <c r="N741" i="6"/>
  <c r="O741" i="6"/>
  <c r="P741" i="6"/>
  <c r="Q741" i="6"/>
  <c r="R741" i="6"/>
  <c r="S741" i="6"/>
  <c r="T741" i="6"/>
  <c r="U741" i="6"/>
  <c r="V741" i="6"/>
  <c r="W741" i="6"/>
  <c r="X741" i="6"/>
  <c r="Y741" i="6"/>
  <c r="Z741" i="6"/>
  <c r="AA741" i="6"/>
  <c r="AB741" i="6"/>
  <c r="AC741" i="6"/>
  <c r="I742" i="6"/>
  <c r="J742" i="6"/>
  <c r="K742" i="6"/>
  <c r="L742" i="6"/>
  <c r="M742" i="6"/>
  <c r="N742" i="6"/>
  <c r="O742" i="6"/>
  <c r="P742" i="6"/>
  <c r="Q742" i="6"/>
  <c r="R742" i="6"/>
  <c r="S742" i="6"/>
  <c r="T742" i="6"/>
  <c r="U742" i="6"/>
  <c r="V742" i="6"/>
  <c r="W742" i="6"/>
  <c r="X742" i="6"/>
  <c r="Y742" i="6"/>
  <c r="Z742" i="6"/>
  <c r="AA742" i="6"/>
  <c r="AB742" i="6"/>
  <c r="AC742" i="6"/>
  <c r="I744" i="6"/>
  <c r="J744" i="6"/>
  <c r="K744" i="6"/>
  <c r="L744" i="6"/>
  <c r="M744" i="6"/>
  <c r="N744" i="6"/>
  <c r="O744" i="6"/>
  <c r="P744" i="6"/>
  <c r="Q744" i="6"/>
  <c r="R744" i="6"/>
  <c r="S744" i="6"/>
  <c r="T744" i="6"/>
  <c r="U744" i="6"/>
  <c r="V744" i="6"/>
  <c r="W744" i="6"/>
  <c r="X744" i="6"/>
  <c r="Y744" i="6"/>
  <c r="Z744" i="6"/>
  <c r="AA744" i="6"/>
  <c r="AB744" i="6"/>
  <c r="AC744" i="6"/>
  <c r="J745" i="6"/>
  <c r="K745" i="6"/>
  <c r="L745" i="6"/>
  <c r="M745" i="6"/>
  <c r="N745" i="6"/>
  <c r="O745" i="6"/>
  <c r="P745" i="6"/>
  <c r="Q745" i="6"/>
  <c r="R745" i="6"/>
  <c r="S745" i="6"/>
  <c r="T745" i="6"/>
  <c r="U745" i="6"/>
  <c r="V745" i="6"/>
  <c r="W745" i="6"/>
  <c r="X745" i="6"/>
  <c r="Y745" i="6"/>
  <c r="Z745" i="6"/>
  <c r="AA745" i="6"/>
  <c r="AB745" i="6"/>
  <c r="AC745" i="6"/>
  <c r="I746" i="6"/>
  <c r="J746" i="6"/>
  <c r="K746" i="6"/>
  <c r="L746" i="6"/>
  <c r="M746" i="6"/>
  <c r="N746" i="6"/>
  <c r="O746" i="6"/>
  <c r="P746" i="6"/>
  <c r="Q746" i="6"/>
  <c r="R746" i="6"/>
  <c r="S746" i="6"/>
  <c r="T746" i="6"/>
  <c r="U746" i="6"/>
  <c r="V746" i="6"/>
  <c r="W746" i="6"/>
  <c r="X746" i="6"/>
  <c r="Y746" i="6"/>
  <c r="Z746" i="6"/>
  <c r="AA746" i="6"/>
  <c r="AB746" i="6"/>
  <c r="AC746" i="6"/>
  <c r="I748" i="6"/>
  <c r="J748" i="6"/>
  <c r="K748" i="6"/>
  <c r="L748" i="6"/>
  <c r="M748" i="6"/>
  <c r="N748" i="6"/>
  <c r="O748" i="6"/>
  <c r="P748" i="6"/>
  <c r="Q748" i="6"/>
  <c r="R748" i="6"/>
  <c r="S748" i="6"/>
  <c r="T748" i="6"/>
  <c r="U748" i="6"/>
  <c r="V748" i="6"/>
  <c r="W748" i="6"/>
  <c r="X748" i="6"/>
  <c r="Y748" i="6"/>
  <c r="Z748" i="6"/>
  <c r="AA748" i="6"/>
  <c r="AB748" i="6"/>
  <c r="AC748" i="6"/>
  <c r="I753" i="6"/>
  <c r="J753" i="6"/>
  <c r="K753" i="6"/>
  <c r="L753" i="6"/>
  <c r="M753" i="6"/>
  <c r="N753" i="6"/>
  <c r="O753" i="6"/>
  <c r="P753" i="6"/>
  <c r="Q753" i="6"/>
  <c r="R753" i="6"/>
  <c r="S753" i="6"/>
  <c r="T753" i="6"/>
  <c r="U753" i="6"/>
  <c r="V753" i="6"/>
  <c r="W753" i="6"/>
  <c r="X753" i="6"/>
  <c r="I754" i="6"/>
  <c r="J754" i="6"/>
  <c r="K754" i="6"/>
  <c r="L754" i="6"/>
  <c r="M754" i="6"/>
  <c r="N754" i="6"/>
  <c r="O754" i="6"/>
  <c r="P754" i="6"/>
  <c r="Q754" i="6"/>
  <c r="R754" i="6"/>
  <c r="S754" i="6"/>
  <c r="T754" i="6"/>
  <c r="U754" i="6"/>
  <c r="V754" i="6"/>
  <c r="W754" i="6"/>
  <c r="X754" i="6"/>
  <c r="I757" i="6"/>
  <c r="J757" i="6"/>
  <c r="K757" i="6"/>
  <c r="L757" i="6"/>
  <c r="M757" i="6"/>
  <c r="N757" i="6"/>
  <c r="O757" i="6"/>
  <c r="P757" i="6"/>
  <c r="Q757" i="6"/>
  <c r="R757" i="6"/>
  <c r="S757" i="6"/>
  <c r="T757" i="6"/>
  <c r="U757" i="6"/>
  <c r="V757" i="6"/>
  <c r="W757" i="6"/>
  <c r="X757" i="6"/>
  <c r="I758" i="6"/>
  <c r="J758" i="6"/>
  <c r="K758" i="6"/>
  <c r="L758" i="6"/>
  <c r="M758" i="6"/>
  <c r="N758" i="6"/>
  <c r="O758" i="6"/>
  <c r="P758" i="6"/>
  <c r="Q758" i="6"/>
  <c r="R758" i="6"/>
  <c r="S758" i="6"/>
  <c r="T758" i="6"/>
  <c r="U758" i="6"/>
  <c r="V758" i="6"/>
  <c r="W758" i="6"/>
  <c r="X758" i="6"/>
  <c r="I759" i="6"/>
  <c r="J759" i="6"/>
  <c r="K759" i="6"/>
  <c r="L759" i="6"/>
  <c r="M759" i="6"/>
  <c r="N759" i="6"/>
  <c r="O759" i="6"/>
  <c r="P759" i="6"/>
  <c r="Q759" i="6"/>
  <c r="R759" i="6"/>
  <c r="S759" i="6"/>
  <c r="T759" i="6"/>
  <c r="U759" i="6"/>
  <c r="V759" i="6"/>
  <c r="W759" i="6"/>
  <c r="X759" i="6"/>
  <c r="I761" i="6"/>
  <c r="J761" i="6"/>
  <c r="K761" i="6"/>
  <c r="L761" i="6"/>
  <c r="M761" i="6"/>
  <c r="N761" i="6"/>
  <c r="O761" i="6"/>
  <c r="P761" i="6"/>
  <c r="Q761" i="6"/>
  <c r="R761" i="6"/>
  <c r="S761" i="6"/>
  <c r="T761" i="6"/>
  <c r="U761" i="6"/>
  <c r="V761" i="6"/>
  <c r="W761" i="6"/>
  <c r="X761" i="6"/>
  <c r="C762" i="6"/>
  <c r="I762" i="6"/>
  <c r="J762" i="6"/>
  <c r="K762" i="6"/>
  <c r="L762" i="6"/>
  <c r="M762" i="6"/>
  <c r="N762" i="6"/>
  <c r="O762" i="6"/>
  <c r="P762" i="6"/>
  <c r="Q762" i="6"/>
  <c r="R762" i="6"/>
  <c r="S762" i="6"/>
  <c r="T762" i="6"/>
  <c r="U762" i="6"/>
  <c r="V762" i="6"/>
  <c r="W762" i="6"/>
  <c r="X762" i="6"/>
  <c r="I763" i="6"/>
  <c r="J763" i="6"/>
  <c r="K763" i="6"/>
  <c r="L763" i="6"/>
  <c r="M763" i="6"/>
  <c r="N763" i="6"/>
  <c r="O763" i="6"/>
  <c r="P763" i="6"/>
  <c r="Q763" i="6"/>
  <c r="R763" i="6"/>
  <c r="S763" i="6"/>
  <c r="T763" i="6"/>
  <c r="U763" i="6"/>
  <c r="V763" i="6"/>
  <c r="W763" i="6"/>
  <c r="X763" i="6"/>
  <c r="I765" i="6"/>
  <c r="J765" i="6"/>
  <c r="K765" i="6"/>
  <c r="L765" i="6"/>
  <c r="M765" i="6"/>
  <c r="N765" i="6"/>
  <c r="O765" i="6"/>
  <c r="P765" i="6"/>
  <c r="Q765" i="6"/>
  <c r="R765" i="6"/>
  <c r="S765" i="6"/>
  <c r="T765" i="6"/>
  <c r="U765" i="6"/>
  <c r="V765" i="6"/>
  <c r="W765" i="6"/>
  <c r="X765" i="6"/>
  <c r="I766" i="6"/>
  <c r="J766" i="6"/>
  <c r="K766" i="6"/>
  <c r="L766" i="6"/>
  <c r="M766" i="6"/>
  <c r="N766" i="6"/>
  <c r="O766" i="6"/>
  <c r="P766" i="6"/>
  <c r="Q766" i="6"/>
  <c r="R766" i="6"/>
  <c r="S766" i="6"/>
  <c r="T766" i="6"/>
  <c r="U766" i="6"/>
  <c r="V766" i="6"/>
  <c r="W766" i="6"/>
  <c r="X766" i="6"/>
  <c r="I767" i="6"/>
  <c r="J767" i="6"/>
  <c r="K767" i="6"/>
  <c r="L767" i="6"/>
  <c r="M767" i="6"/>
  <c r="N767" i="6"/>
  <c r="O767" i="6"/>
  <c r="P767" i="6"/>
  <c r="Q767" i="6"/>
  <c r="R767" i="6"/>
  <c r="S767" i="6"/>
  <c r="T767" i="6"/>
  <c r="U767" i="6"/>
  <c r="V767" i="6"/>
  <c r="W767" i="6"/>
  <c r="X767" i="6"/>
  <c r="I768" i="6"/>
  <c r="J768" i="6"/>
  <c r="K768" i="6"/>
  <c r="L768" i="6"/>
  <c r="M768" i="6"/>
  <c r="N768" i="6"/>
  <c r="O768" i="6"/>
  <c r="P768" i="6"/>
  <c r="Q768" i="6"/>
  <c r="R768" i="6"/>
  <c r="S768" i="6"/>
  <c r="T768" i="6"/>
  <c r="U768" i="6"/>
  <c r="V768" i="6"/>
  <c r="W768" i="6"/>
  <c r="X768" i="6"/>
  <c r="I769" i="6"/>
  <c r="J769" i="6"/>
  <c r="K769" i="6"/>
  <c r="L769" i="6"/>
  <c r="M769" i="6"/>
  <c r="N769" i="6"/>
  <c r="O769" i="6"/>
  <c r="P769" i="6"/>
  <c r="Q769" i="6"/>
  <c r="R769" i="6"/>
  <c r="S769" i="6"/>
  <c r="T769" i="6"/>
  <c r="U769" i="6"/>
  <c r="V769" i="6"/>
  <c r="W769" i="6"/>
  <c r="X769" i="6"/>
  <c r="I770" i="6"/>
  <c r="J770" i="6"/>
  <c r="K770" i="6"/>
  <c r="L770" i="6"/>
  <c r="M770" i="6"/>
  <c r="N770" i="6"/>
  <c r="O770" i="6"/>
  <c r="P770" i="6"/>
  <c r="Q770" i="6"/>
  <c r="R770" i="6"/>
  <c r="S770" i="6"/>
  <c r="T770" i="6"/>
  <c r="U770" i="6"/>
  <c r="V770" i="6"/>
  <c r="W770" i="6"/>
  <c r="X770" i="6"/>
  <c r="H773" i="6"/>
  <c r="I773" i="6"/>
  <c r="J773" i="6"/>
  <c r="K773" i="6"/>
  <c r="L773" i="6"/>
  <c r="M773" i="6"/>
  <c r="N773" i="6"/>
  <c r="O773" i="6"/>
  <c r="P773" i="6"/>
  <c r="Q773" i="6"/>
  <c r="R773" i="6"/>
  <c r="S773" i="6"/>
  <c r="T773" i="6"/>
  <c r="U773" i="6"/>
  <c r="V773" i="6"/>
  <c r="W773" i="6"/>
  <c r="X773" i="6"/>
  <c r="I775" i="6"/>
  <c r="J775" i="6"/>
  <c r="K775" i="6"/>
  <c r="L775" i="6"/>
  <c r="M775" i="6"/>
  <c r="N775" i="6"/>
  <c r="O775" i="6"/>
  <c r="P775" i="6"/>
  <c r="Q775" i="6"/>
  <c r="R775" i="6"/>
  <c r="S775" i="6"/>
  <c r="T775" i="6"/>
  <c r="U775" i="6"/>
  <c r="V775" i="6"/>
  <c r="W775" i="6"/>
  <c r="X775" i="6"/>
  <c r="I776" i="6"/>
  <c r="J776" i="6"/>
  <c r="K776" i="6"/>
  <c r="L776" i="6"/>
  <c r="M776" i="6"/>
  <c r="N776" i="6"/>
  <c r="O776" i="6"/>
  <c r="P776" i="6"/>
  <c r="Q776" i="6"/>
  <c r="R776" i="6"/>
  <c r="S776" i="6"/>
  <c r="T776" i="6"/>
  <c r="U776" i="6"/>
  <c r="V776" i="6"/>
  <c r="W776" i="6"/>
  <c r="X776" i="6"/>
  <c r="I777" i="6"/>
  <c r="J777" i="6"/>
  <c r="K777" i="6"/>
  <c r="L777" i="6"/>
  <c r="M777" i="6"/>
  <c r="N777" i="6"/>
  <c r="O777" i="6"/>
  <c r="P777" i="6"/>
  <c r="Q777" i="6"/>
  <c r="R777" i="6"/>
  <c r="S777" i="6"/>
  <c r="T777" i="6"/>
  <c r="U777" i="6"/>
  <c r="V777" i="6"/>
  <c r="W777" i="6"/>
  <c r="X777" i="6"/>
  <c r="I778" i="6"/>
  <c r="J778" i="6"/>
  <c r="K778" i="6"/>
  <c r="L778" i="6"/>
  <c r="M778" i="6"/>
  <c r="N778" i="6"/>
  <c r="O778" i="6"/>
  <c r="P778" i="6"/>
  <c r="Q778" i="6"/>
  <c r="R778" i="6"/>
  <c r="S778" i="6"/>
  <c r="T778" i="6"/>
  <c r="U778" i="6"/>
  <c r="V778" i="6"/>
  <c r="W778" i="6"/>
  <c r="X778" i="6"/>
  <c r="I779" i="6"/>
  <c r="J779" i="6"/>
  <c r="K779" i="6"/>
  <c r="L779" i="6"/>
  <c r="M779" i="6"/>
  <c r="N779" i="6"/>
  <c r="O779" i="6"/>
  <c r="P779" i="6"/>
  <c r="Q779" i="6"/>
  <c r="R779" i="6"/>
  <c r="S779" i="6"/>
  <c r="T779" i="6"/>
  <c r="U779" i="6"/>
  <c r="V779" i="6"/>
  <c r="W779" i="6"/>
  <c r="X779" i="6"/>
  <c r="E787" i="6"/>
  <c r="F787" i="6"/>
  <c r="G787" i="6"/>
  <c r="L787" i="6"/>
  <c r="M787" i="6"/>
  <c r="N787" i="6"/>
  <c r="S787" i="6"/>
  <c r="T787" i="6"/>
  <c r="U787" i="6"/>
  <c r="A788" i="6"/>
  <c r="E788" i="6"/>
  <c r="F788" i="6"/>
  <c r="G788" i="6"/>
  <c r="A789" i="6"/>
  <c r="E789" i="6"/>
  <c r="F789" i="6"/>
  <c r="G789" i="6"/>
  <c r="L789" i="6"/>
  <c r="M789" i="6"/>
  <c r="N789" i="6"/>
  <c r="S789" i="6"/>
  <c r="T789" i="6"/>
  <c r="U789" i="6"/>
  <c r="A790" i="6"/>
  <c r="E790" i="6"/>
  <c r="F790" i="6"/>
  <c r="G790" i="6"/>
  <c r="A791" i="6"/>
  <c r="E791" i="6"/>
  <c r="F791" i="6"/>
  <c r="G791" i="6"/>
  <c r="L791" i="6"/>
  <c r="M791" i="6"/>
  <c r="N791" i="6"/>
  <c r="S791" i="6"/>
  <c r="T791" i="6"/>
  <c r="U791" i="6"/>
  <c r="A792" i="6"/>
  <c r="C792" i="6"/>
  <c r="E792" i="6"/>
  <c r="F792" i="6"/>
  <c r="G792" i="6"/>
  <c r="C793" i="6"/>
  <c r="L793" i="6"/>
  <c r="M793" i="6"/>
  <c r="N793" i="6"/>
  <c r="S793" i="6"/>
  <c r="T793" i="6"/>
  <c r="U793" i="6"/>
  <c r="L794" i="6"/>
  <c r="M794" i="6"/>
  <c r="N794" i="6"/>
  <c r="S794" i="6"/>
  <c r="T794" i="6"/>
  <c r="U794" i="6"/>
  <c r="O795" i="6"/>
  <c r="L796" i="6"/>
  <c r="M796" i="6"/>
  <c r="N796" i="6"/>
  <c r="S796" i="6"/>
  <c r="T796" i="6"/>
  <c r="U796" i="6"/>
  <c r="I801" i="6"/>
  <c r="J801" i="6"/>
  <c r="K801" i="6"/>
  <c r="L801" i="6"/>
  <c r="M801" i="6"/>
  <c r="N801" i="6"/>
  <c r="O801" i="6"/>
  <c r="P801" i="6"/>
  <c r="Q801" i="6"/>
  <c r="R801" i="6"/>
  <c r="S801" i="6"/>
  <c r="I802" i="6"/>
  <c r="J802" i="6"/>
  <c r="K802" i="6"/>
  <c r="L802" i="6"/>
  <c r="M802" i="6"/>
  <c r="N802" i="6"/>
  <c r="O802" i="6"/>
  <c r="P802" i="6"/>
  <c r="Q802" i="6"/>
  <c r="R802" i="6"/>
  <c r="S802" i="6"/>
  <c r="I804" i="6"/>
  <c r="J804" i="6"/>
  <c r="K804" i="6"/>
  <c r="L804" i="6"/>
  <c r="M804" i="6"/>
  <c r="N804" i="6"/>
  <c r="O804" i="6"/>
  <c r="P804" i="6"/>
  <c r="Q804" i="6"/>
  <c r="R804" i="6"/>
  <c r="S804" i="6"/>
  <c r="I805" i="6"/>
  <c r="J805" i="6"/>
  <c r="K805" i="6"/>
  <c r="L805" i="6"/>
  <c r="M805" i="6"/>
  <c r="N805" i="6"/>
  <c r="O805" i="6"/>
  <c r="P805" i="6"/>
  <c r="Q805" i="6"/>
  <c r="R805" i="6"/>
  <c r="S805" i="6"/>
  <c r="I806" i="6"/>
  <c r="J806" i="6"/>
  <c r="K806" i="6"/>
  <c r="L806" i="6"/>
  <c r="M806" i="6"/>
  <c r="N806" i="6"/>
  <c r="O806" i="6"/>
  <c r="P806" i="6"/>
  <c r="Q806" i="6"/>
  <c r="R806" i="6"/>
  <c r="S806" i="6"/>
  <c r="I807" i="6"/>
  <c r="J807" i="6"/>
  <c r="K807" i="6"/>
  <c r="L807" i="6"/>
  <c r="M807" i="6"/>
  <c r="N807" i="6"/>
  <c r="O807" i="6"/>
  <c r="P807" i="6"/>
  <c r="Q807" i="6"/>
  <c r="R807" i="6"/>
  <c r="S807" i="6"/>
  <c r="I808" i="6"/>
  <c r="J808" i="6"/>
  <c r="K808" i="6"/>
  <c r="L808" i="6"/>
  <c r="M808" i="6"/>
  <c r="N808" i="6"/>
  <c r="O808" i="6"/>
  <c r="P808" i="6"/>
  <c r="Q808" i="6"/>
  <c r="R808" i="6"/>
  <c r="S808" i="6"/>
  <c r="T808" i="6"/>
  <c r="J810" i="6"/>
  <c r="K810" i="6"/>
  <c r="L810" i="6"/>
  <c r="M810" i="6"/>
  <c r="N810" i="6"/>
  <c r="O810" i="6"/>
  <c r="P810" i="6"/>
  <c r="K811" i="6"/>
  <c r="L811" i="6"/>
  <c r="M811" i="6"/>
  <c r="N811" i="6"/>
  <c r="O811" i="6"/>
  <c r="P811" i="6"/>
  <c r="L812" i="6"/>
  <c r="M812" i="6"/>
  <c r="N812" i="6"/>
  <c r="O812" i="6"/>
  <c r="P812" i="6"/>
  <c r="M813" i="6"/>
  <c r="N813" i="6"/>
  <c r="O813" i="6"/>
  <c r="P813" i="6"/>
  <c r="N814" i="6"/>
  <c r="O814" i="6"/>
  <c r="P814" i="6"/>
  <c r="O815" i="6"/>
  <c r="P815" i="6"/>
  <c r="P816" i="6"/>
  <c r="J817" i="6"/>
  <c r="K817" i="6"/>
  <c r="L817" i="6"/>
  <c r="M817" i="6"/>
  <c r="N817" i="6"/>
  <c r="O817" i="6"/>
  <c r="P817" i="6"/>
  <c r="J818" i="6"/>
  <c r="K818" i="6"/>
  <c r="L818" i="6"/>
  <c r="M818" i="6"/>
  <c r="N818" i="6"/>
  <c r="O818" i="6"/>
  <c r="P818" i="6"/>
  <c r="J819" i="6"/>
  <c r="K819" i="6"/>
  <c r="L819" i="6"/>
  <c r="M819" i="6"/>
  <c r="N819" i="6"/>
  <c r="O819" i="6"/>
  <c r="P819" i="6"/>
  <c r="J825" i="6"/>
  <c r="K825" i="6"/>
  <c r="L825" i="6"/>
  <c r="M825" i="6"/>
  <c r="N825" i="6"/>
  <c r="O825" i="6"/>
  <c r="P825" i="6"/>
  <c r="J827" i="6"/>
  <c r="K827" i="6"/>
  <c r="L827" i="6"/>
  <c r="M827" i="6"/>
  <c r="N827" i="6"/>
  <c r="O827" i="6"/>
  <c r="P827" i="6"/>
  <c r="J829" i="6"/>
  <c r="K829" i="6"/>
  <c r="L829" i="6"/>
  <c r="M829" i="6"/>
  <c r="N829" i="6"/>
  <c r="O829" i="6"/>
  <c r="P829" i="6"/>
  <c r="J831" i="6"/>
  <c r="K831" i="6"/>
  <c r="L831" i="6"/>
  <c r="M831" i="6"/>
  <c r="N831" i="6"/>
  <c r="O831" i="6"/>
  <c r="P831" i="6"/>
  <c r="J832" i="6"/>
  <c r="K832" i="6"/>
  <c r="L832" i="6"/>
  <c r="M832" i="6"/>
  <c r="N832" i="6"/>
  <c r="O832" i="6"/>
  <c r="P832" i="6"/>
  <c r="J833" i="6"/>
  <c r="K833" i="6"/>
  <c r="L833" i="6"/>
  <c r="M833" i="6"/>
  <c r="N833" i="6"/>
  <c r="O833" i="6"/>
  <c r="P833" i="6"/>
  <c r="J834" i="6"/>
  <c r="K834" i="6"/>
  <c r="L834" i="6"/>
  <c r="M834" i="6"/>
  <c r="N834" i="6"/>
  <c r="O834" i="6"/>
  <c r="P834" i="6"/>
  <c r="I837" i="6"/>
  <c r="J837" i="6"/>
  <c r="K837" i="6"/>
  <c r="L837" i="6"/>
  <c r="M837" i="6"/>
  <c r="N837" i="6"/>
  <c r="O837" i="6"/>
  <c r="P837" i="6"/>
  <c r="J838" i="6"/>
  <c r="K838" i="6"/>
  <c r="L838" i="6"/>
  <c r="M838" i="6"/>
  <c r="N838" i="6"/>
  <c r="O838" i="6"/>
  <c r="P838" i="6"/>
  <c r="G845" i="6"/>
  <c r="H846" i="6"/>
  <c r="I846" i="6"/>
  <c r="J846" i="6"/>
  <c r="K846" i="6"/>
  <c r="L846" i="6"/>
  <c r="M846" i="6"/>
  <c r="N846" i="6"/>
  <c r="O846" i="6"/>
  <c r="P846" i="6"/>
  <c r="Q846" i="6"/>
  <c r="R846" i="6"/>
  <c r="S846" i="6"/>
  <c r="G847" i="6"/>
  <c r="H847" i="6"/>
  <c r="I847" i="6"/>
  <c r="J847" i="6"/>
  <c r="K847" i="6"/>
  <c r="L847" i="6"/>
  <c r="M847" i="6"/>
  <c r="N847" i="6"/>
  <c r="O847" i="6"/>
  <c r="P847" i="6"/>
  <c r="Q847" i="6"/>
  <c r="R847" i="6"/>
  <c r="S847" i="6"/>
  <c r="G848" i="6"/>
  <c r="H848" i="6"/>
  <c r="I848" i="6"/>
  <c r="J848" i="6"/>
  <c r="K848" i="6"/>
  <c r="L848" i="6"/>
  <c r="M848" i="6"/>
  <c r="N848" i="6"/>
  <c r="O848" i="6"/>
  <c r="P848" i="6"/>
  <c r="Q848" i="6"/>
  <c r="R848" i="6"/>
  <c r="S848" i="6"/>
  <c r="G849" i="6"/>
  <c r="H849" i="6"/>
  <c r="I849" i="6"/>
  <c r="J849" i="6"/>
  <c r="K849" i="6"/>
  <c r="L849" i="6"/>
  <c r="M849" i="6"/>
  <c r="N849" i="6"/>
  <c r="O849" i="6"/>
  <c r="P849" i="6"/>
  <c r="Q849" i="6"/>
  <c r="R849" i="6"/>
  <c r="S849" i="6"/>
  <c r="G850" i="6"/>
  <c r="H850" i="6"/>
  <c r="I850" i="6"/>
  <c r="J850" i="6"/>
  <c r="K850" i="6"/>
  <c r="L850" i="6"/>
  <c r="E851" i="6"/>
  <c r="G851" i="6"/>
  <c r="H851" i="6"/>
  <c r="I851" i="6"/>
  <c r="J851" i="6"/>
  <c r="K851" i="6"/>
  <c r="L851" i="6"/>
  <c r="G853" i="6"/>
  <c r="H854" i="6"/>
  <c r="I854" i="6"/>
  <c r="J854" i="6"/>
  <c r="K854" i="6"/>
  <c r="L854" i="6"/>
  <c r="M854" i="6"/>
  <c r="N854" i="6"/>
  <c r="O854" i="6"/>
  <c r="P854" i="6"/>
  <c r="Q854" i="6"/>
  <c r="R854" i="6"/>
  <c r="S854" i="6"/>
  <c r="G855" i="6"/>
  <c r="H855" i="6"/>
  <c r="I855" i="6"/>
  <c r="J855" i="6"/>
  <c r="K855" i="6"/>
  <c r="L855" i="6"/>
  <c r="M855" i="6"/>
  <c r="N855" i="6"/>
  <c r="O855" i="6"/>
  <c r="P855" i="6"/>
  <c r="Q855" i="6"/>
  <c r="R855" i="6"/>
  <c r="S855" i="6"/>
  <c r="G856" i="6"/>
  <c r="H856" i="6"/>
  <c r="I856" i="6"/>
  <c r="J856" i="6"/>
  <c r="K856" i="6"/>
  <c r="L856" i="6"/>
  <c r="M856" i="6"/>
  <c r="N856" i="6"/>
  <c r="O856" i="6"/>
  <c r="P856" i="6"/>
  <c r="Q856" i="6"/>
  <c r="R856" i="6"/>
  <c r="S856" i="6"/>
  <c r="G857" i="6"/>
  <c r="H857" i="6"/>
  <c r="I857" i="6"/>
  <c r="J857" i="6"/>
  <c r="K857" i="6"/>
  <c r="L857" i="6"/>
  <c r="M857" i="6"/>
  <c r="N857" i="6"/>
  <c r="O857" i="6"/>
  <c r="P857" i="6"/>
  <c r="Q857" i="6"/>
  <c r="R857" i="6"/>
  <c r="S857" i="6"/>
  <c r="G858" i="6"/>
  <c r="H858" i="6"/>
  <c r="I858" i="6"/>
  <c r="J858" i="6"/>
  <c r="K858" i="6"/>
  <c r="L858" i="6"/>
  <c r="M858" i="6"/>
  <c r="G859" i="6"/>
  <c r="H859" i="6"/>
  <c r="I859" i="6"/>
  <c r="J859" i="6"/>
  <c r="K859" i="6"/>
  <c r="L859" i="6"/>
  <c r="M859" i="6"/>
  <c r="G861" i="6"/>
  <c r="H862" i="6"/>
  <c r="I862" i="6"/>
  <c r="J862" i="6"/>
  <c r="K862" i="6"/>
  <c r="L862" i="6"/>
  <c r="M862" i="6"/>
  <c r="N862" i="6"/>
  <c r="O862" i="6"/>
  <c r="P862" i="6"/>
  <c r="Q862" i="6"/>
  <c r="R862" i="6"/>
  <c r="S862" i="6"/>
  <c r="G863" i="6"/>
  <c r="H863" i="6"/>
  <c r="I863" i="6"/>
  <c r="J863" i="6"/>
  <c r="K863" i="6"/>
  <c r="L863" i="6"/>
  <c r="M863" i="6"/>
  <c r="N863" i="6"/>
  <c r="O863" i="6"/>
  <c r="P863" i="6"/>
  <c r="Q863" i="6"/>
  <c r="R863" i="6"/>
  <c r="S863" i="6"/>
  <c r="G864" i="6"/>
  <c r="H864" i="6"/>
  <c r="I864" i="6"/>
  <c r="J864" i="6"/>
  <c r="K864" i="6"/>
  <c r="L864" i="6"/>
  <c r="M864" i="6"/>
  <c r="N864" i="6"/>
  <c r="O864" i="6"/>
  <c r="P864" i="6"/>
  <c r="Q864" i="6"/>
  <c r="R864" i="6"/>
  <c r="S864" i="6"/>
  <c r="G865" i="6"/>
  <c r="H865" i="6"/>
  <c r="I865" i="6"/>
  <c r="J865" i="6"/>
  <c r="K865" i="6"/>
  <c r="L865" i="6"/>
  <c r="M865" i="6"/>
  <c r="N865" i="6"/>
  <c r="O865" i="6"/>
  <c r="P865" i="6"/>
  <c r="Q865" i="6"/>
  <c r="R865" i="6"/>
  <c r="S865" i="6"/>
  <c r="G866" i="6"/>
  <c r="H866" i="6"/>
  <c r="I866" i="6"/>
  <c r="J866" i="6"/>
  <c r="K866" i="6"/>
  <c r="L866" i="6"/>
  <c r="M866" i="6"/>
  <c r="N866" i="6"/>
  <c r="G867" i="6"/>
  <c r="H867" i="6"/>
  <c r="I867" i="6"/>
  <c r="J867" i="6"/>
  <c r="K867" i="6"/>
  <c r="L867" i="6"/>
  <c r="M867" i="6"/>
  <c r="N867" i="6"/>
  <c r="G876" i="6"/>
  <c r="O876" i="6"/>
  <c r="E878" i="6"/>
  <c r="F878" i="6"/>
  <c r="G878" i="6"/>
  <c r="I878" i="6"/>
  <c r="J878" i="6"/>
  <c r="M878" i="6"/>
  <c r="N878" i="6"/>
  <c r="O878" i="6"/>
  <c r="Q878" i="6"/>
  <c r="R878" i="6"/>
  <c r="E880" i="6"/>
  <c r="M880" i="6"/>
  <c r="E881" i="6"/>
  <c r="M881" i="6"/>
  <c r="E882" i="6"/>
  <c r="M882" i="6"/>
  <c r="E883" i="6"/>
  <c r="M883" i="6"/>
  <c r="H888" i="6"/>
  <c r="I888" i="6"/>
  <c r="J888" i="6"/>
  <c r="K888" i="6"/>
  <c r="L888" i="6"/>
  <c r="M888" i="6"/>
  <c r="N888" i="6"/>
  <c r="O888" i="6"/>
  <c r="P888" i="6"/>
  <c r="Q888" i="6"/>
  <c r="R888" i="6"/>
  <c r="S888" i="6"/>
  <c r="T888" i="6"/>
  <c r="U888" i="6"/>
  <c r="V888" i="6"/>
  <c r="W888" i="6"/>
  <c r="X888" i="6"/>
  <c r="Y888" i="6"/>
  <c r="Z888" i="6"/>
  <c r="AA888" i="6"/>
  <c r="AB888" i="6"/>
  <c r="AC888" i="6"/>
  <c r="I890" i="6"/>
  <c r="J890" i="6"/>
  <c r="K890" i="6"/>
  <c r="L890" i="6"/>
  <c r="M890" i="6"/>
  <c r="N890" i="6"/>
  <c r="O890" i="6"/>
  <c r="P890" i="6"/>
  <c r="Q890" i="6"/>
  <c r="R890" i="6"/>
  <c r="S890" i="6"/>
  <c r="T890" i="6"/>
  <c r="U890" i="6"/>
  <c r="V890" i="6"/>
  <c r="W890" i="6"/>
  <c r="X890" i="6"/>
  <c r="Y890" i="6"/>
  <c r="Z890" i="6"/>
  <c r="AA890" i="6"/>
  <c r="AB890" i="6"/>
  <c r="AC890" i="6"/>
  <c r="I892" i="6"/>
  <c r="J892" i="6"/>
  <c r="K892" i="6"/>
  <c r="L892" i="6"/>
  <c r="M892" i="6"/>
  <c r="N892" i="6"/>
  <c r="O892" i="6"/>
  <c r="P892" i="6"/>
  <c r="Q892" i="6"/>
  <c r="R892" i="6"/>
  <c r="S892" i="6"/>
  <c r="T892" i="6"/>
  <c r="U892" i="6"/>
  <c r="V892" i="6"/>
  <c r="W892" i="6"/>
  <c r="X892" i="6"/>
  <c r="Y892" i="6"/>
  <c r="Z892" i="6"/>
  <c r="AA892" i="6"/>
  <c r="AB892" i="6"/>
  <c r="AC892" i="6"/>
  <c r="I893" i="6"/>
  <c r="J893" i="6"/>
  <c r="K893" i="6"/>
  <c r="L893" i="6"/>
  <c r="M893" i="6"/>
  <c r="N893" i="6"/>
  <c r="O893" i="6"/>
  <c r="P893" i="6"/>
  <c r="Q893" i="6"/>
  <c r="R893" i="6"/>
  <c r="S893" i="6"/>
  <c r="T893" i="6"/>
  <c r="U893" i="6"/>
  <c r="V893" i="6"/>
  <c r="W893" i="6"/>
  <c r="X893" i="6"/>
  <c r="Y893" i="6"/>
  <c r="Z893" i="6"/>
  <c r="AA893" i="6"/>
  <c r="AB893" i="6"/>
  <c r="AC893" i="6"/>
  <c r="I895" i="6"/>
  <c r="J895" i="6"/>
  <c r="K895" i="6"/>
  <c r="L895" i="6"/>
  <c r="M895" i="6"/>
  <c r="N895" i="6"/>
  <c r="O895" i="6"/>
  <c r="P895" i="6"/>
  <c r="Q895" i="6"/>
  <c r="R895" i="6"/>
  <c r="S895" i="6"/>
  <c r="T895" i="6"/>
  <c r="U895" i="6"/>
  <c r="V895" i="6"/>
  <c r="W895" i="6"/>
  <c r="X895" i="6"/>
  <c r="Y895" i="6"/>
  <c r="Z895" i="6"/>
  <c r="AA895" i="6"/>
  <c r="AB895" i="6"/>
  <c r="AC895" i="6"/>
  <c r="I896" i="6"/>
  <c r="J896" i="6"/>
  <c r="K896" i="6"/>
  <c r="L896" i="6"/>
  <c r="M896" i="6"/>
  <c r="N896" i="6"/>
  <c r="O896" i="6"/>
  <c r="P896" i="6"/>
  <c r="Q896" i="6"/>
  <c r="R896" i="6"/>
  <c r="S896" i="6"/>
  <c r="T896" i="6"/>
  <c r="U896" i="6"/>
  <c r="V896" i="6"/>
  <c r="W896" i="6"/>
  <c r="X896" i="6"/>
  <c r="Y896" i="6"/>
  <c r="Z896" i="6"/>
  <c r="AA896" i="6"/>
  <c r="AB896" i="6"/>
  <c r="AC896" i="6"/>
  <c r="I897" i="6"/>
  <c r="J897" i="6"/>
  <c r="K897" i="6"/>
  <c r="L897" i="6"/>
  <c r="M897" i="6"/>
  <c r="N897" i="6"/>
  <c r="O897" i="6"/>
  <c r="P897" i="6"/>
  <c r="Q897" i="6"/>
  <c r="R897" i="6"/>
  <c r="S897" i="6"/>
  <c r="T897" i="6"/>
  <c r="U897" i="6"/>
  <c r="V897" i="6"/>
  <c r="W897" i="6"/>
  <c r="X897" i="6"/>
  <c r="Y897" i="6"/>
  <c r="Z897" i="6"/>
  <c r="AA897" i="6"/>
  <c r="AB897" i="6"/>
  <c r="AC897" i="6"/>
  <c r="I898" i="6"/>
  <c r="J898" i="6"/>
  <c r="K898" i="6"/>
  <c r="L898" i="6"/>
  <c r="M898" i="6"/>
  <c r="N898" i="6"/>
  <c r="O898" i="6"/>
  <c r="P898" i="6"/>
  <c r="Q898" i="6"/>
  <c r="R898" i="6"/>
  <c r="S898" i="6"/>
  <c r="T898" i="6"/>
  <c r="U898" i="6"/>
  <c r="V898" i="6"/>
  <c r="W898" i="6"/>
  <c r="X898" i="6"/>
  <c r="Y898" i="6"/>
  <c r="Z898" i="6"/>
  <c r="AA898" i="6"/>
  <c r="AB898" i="6"/>
  <c r="AC898" i="6"/>
  <c r="I899" i="6"/>
  <c r="J899" i="6"/>
  <c r="K899" i="6"/>
  <c r="L899" i="6"/>
  <c r="M899" i="6"/>
  <c r="N899" i="6"/>
  <c r="O899" i="6"/>
  <c r="P899" i="6"/>
  <c r="Q899" i="6"/>
  <c r="R899" i="6"/>
  <c r="S899" i="6"/>
  <c r="T899" i="6"/>
  <c r="U899" i="6"/>
  <c r="V899" i="6"/>
  <c r="W899" i="6"/>
  <c r="X899" i="6"/>
  <c r="Y899" i="6"/>
  <c r="Z899" i="6"/>
  <c r="AA899" i="6"/>
  <c r="AB899" i="6"/>
  <c r="AC899" i="6"/>
  <c r="I900" i="6"/>
  <c r="J900" i="6"/>
  <c r="K900" i="6"/>
  <c r="L900" i="6"/>
  <c r="M900" i="6"/>
  <c r="N900" i="6"/>
  <c r="O900" i="6"/>
  <c r="P900" i="6"/>
  <c r="Q900" i="6"/>
  <c r="R900" i="6"/>
  <c r="S900" i="6"/>
  <c r="T900" i="6"/>
  <c r="U900" i="6"/>
  <c r="V900" i="6"/>
  <c r="W900" i="6"/>
  <c r="X900" i="6"/>
  <c r="Y900" i="6"/>
  <c r="Z900" i="6"/>
  <c r="AA900" i="6"/>
  <c r="AB900" i="6"/>
  <c r="AC900" i="6"/>
  <c r="I906" i="6"/>
  <c r="J906" i="6"/>
  <c r="K906" i="6"/>
  <c r="L906" i="6"/>
  <c r="M906" i="6"/>
  <c r="N906" i="6"/>
  <c r="O906" i="6"/>
  <c r="P906" i="6"/>
  <c r="Q906" i="6"/>
  <c r="R906" i="6"/>
  <c r="S906" i="6"/>
  <c r="T906" i="6"/>
  <c r="U906" i="6"/>
  <c r="V906" i="6"/>
  <c r="W906" i="6"/>
  <c r="X906" i="6"/>
  <c r="Y906" i="6"/>
  <c r="Z906" i="6"/>
  <c r="AA906" i="6"/>
  <c r="AB906" i="6"/>
  <c r="AC906" i="6"/>
  <c r="I912" i="6"/>
  <c r="Q912" i="6"/>
  <c r="E913" i="6"/>
  <c r="G913" i="6"/>
  <c r="Q913" i="6"/>
  <c r="E915" i="6"/>
  <c r="G915" i="6"/>
  <c r="G916" i="6"/>
  <c r="I917" i="6"/>
  <c r="E918" i="6"/>
  <c r="G918" i="6"/>
  <c r="I918" i="6"/>
  <c r="A920" i="6"/>
  <c r="E921" i="6"/>
  <c r="G921" i="6"/>
  <c r="I921" i="6"/>
  <c r="Q921" i="6"/>
  <c r="E922" i="6"/>
  <c r="G922" i="6"/>
  <c r="I922" i="6"/>
  <c r="Q922" i="6"/>
  <c r="E923" i="6"/>
  <c r="G923" i="6"/>
  <c r="I923" i="6"/>
  <c r="R923" i="6"/>
  <c r="E924" i="6"/>
  <c r="G924" i="6"/>
  <c r="I924" i="6"/>
  <c r="R925" i="6"/>
  <c r="E926" i="6"/>
  <c r="G926" i="6"/>
  <c r="I926" i="6"/>
  <c r="R926" i="6"/>
  <c r="E927" i="6"/>
  <c r="G927" i="6"/>
  <c r="I927" i="6"/>
  <c r="A929" i="6"/>
  <c r="E929" i="6"/>
  <c r="G929" i="6"/>
  <c r="I929" i="6"/>
  <c r="E932" i="6"/>
  <c r="G932" i="6"/>
  <c r="I932" i="6"/>
  <c r="O932" i="6"/>
  <c r="B938" i="6"/>
  <c r="E938" i="6"/>
  <c r="F938" i="6"/>
  <c r="G938" i="6"/>
  <c r="H938" i="6"/>
  <c r="I938" i="6"/>
  <c r="J938" i="6"/>
  <c r="K938" i="6"/>
  <c r="L938" i="6"/>
  <c r="M938" i="6"/>
  <c r="N938" i="6"/>
  <c r="O938" i="6"/>
  <c r="P938" i="6"/>
  <c r="Q938" i="6"/>
  <c r="R938" i="6"/>
  <c r="S938" i="6"/>
  <c r="T938" i="6"/>
  <c r="U938" i="6"/>
  <c r="V938" i="6"/>
  <c r="W938" i="6"/>
  <c r="X938" i="6"/>
  <c r="Y938" i="6"/>
  <c r="Z938" i="6"/>
  <c r="AA938" i="6"/>
  <c r="AB938" i="6"/>
  <c r="AC938" i="6"/>
  <c r="B939" i="6"/>
  <c r="E939" i="6"/>
  <c r="F939" i="6"/>
  <c r="G939" i="6"/>
  <c r="H939" i="6"/>
  <c r="I939" i="6"/>
  <c r="J939" i="6"/>
  <c r="K939" i="6"/>
  <c r="L939" i="6"/>
  <c r="M939" i="6"/>
  <c r="N939" i="6"/>
  <c r="O939" i="6"/>
  <c r="P939" i="6"/>
  <c r="Q939" i="6"/>
  <c r="R939" i="6"/>
  <c r="S939" i="6"/>
  <c r="T939" i="6"/>
  <c r="U939" i="6"/>
  <c r="V939" i="6"/>
  <c r="W939" i="6"/>
  <c r="X939" i="6"/>
  <c r="Y939" i="6"/>
  <c r="Z939" i="6"/>
  <c r="AA939" i="6"/>
  <c r="AB939" i="6"/>
  <c r="AC939" i="6"/>
  <c r="B940" i="6"/>
  <c r="E940" i="6"/>
  <c r="F940" i="6"/>
  <c r="G940" i="6"/>
  <c r="H940" i="6"/>
  <c r="I940" i="6"/>
  <c r="J940" i="6"/>
  <c r="K940" i="6"/>
  <c r="L940" i="6"/>
  <c r="M940" i="6"/>
  <c r="N940" i="6"/>
  <c r="O940" i="6"/>
  <c r="P940" i="6"/>
  <c r="Q940" i="6"/>
  <c r="R940" i="6"/>
  <c r="S940" i="6"/>
  <c r="T940" i="6"/>
  <c r="U940" i="6"/>
  <c r="V940" i="6"/>
  <c r="W940" i="6"/>
  <c r="X940" i="6"/>
  <c r="Y940" i="6"/>
  <c r="Z940" i="6"/>
  <c r="AA940" i="6"/>
  <c r="AB940" i="6"/>
  <c r="AC940" i="6"/>
  <c r="B941" i="6"/>
  <c r="E941" i="6"/>
  <c r="F941" i="6"/>
  <c r="G941" i="6"/>
  <c r="H941" i="6"/>
  <c r="I941" i="6"/>
  <c r="J941" i="6"/>
  <c r="K941" i="6"/>
  <c r="L941" i="6"/>
  <c r="M941" i="6"/>
  <c r="N941" i="6"/>
  <c r="O941" i="6"/>
  <c r="P941" i="6"/>
  <c r="Q941" i="6"/>
  <c r="R941" i="6"/>
  <c r="S941" i="6"/>
  <c r="T941" i="6"/>
  <c r="U941" i="6"/>
  <c r="V941" i="6"/>
  <c r="W941" i="6"/>
  <c r="X941" i="6"/>
  <c r="Y941" i="6"/>
  <c r="Z941" i="6"/>
  <c r="AA941" i="6"/>
  <c r="AB941" i="6"/>
  <c r="AC941" i="6"/>
  <c r="B942" i="6"/>
  <c r="E942" i="6"/>
  <c r="F942" i="6"/>
  <c r="G942" i="6"/>
  <c r="H942" i="6"/>
  <c r="I942" i="6"/>
  <c r="J942" i="6"/>
  <c r="K942" i="6"/>
  <c r="L942" i="6"/>
  <c r="M942" i="6"/>
  <c r="N942" i="6"/>
  <c r="O942" i="6"/>
  <c r="P942" i="6"/>
  <c r="Q942" i="6"/>
  <c r="R942" i="6"/>
  <c r="S942" i="6"/>
  <c r="T942" i="6"/>
  <c r="U942" i="6"/>
  <c r="V942" i="6"/>
  <c r="W942" i="6"/>
  <c r="X942" i="6"/>
  <c r="Y942" i="6"/>
  <c r="Z942" i="6"/>
  <c r="AA942" i="6"/>
  <c r="AB942" i="6"/>
  <c r="AC942" i="6"/>
  <c r="E943" i="6"/>
  <c r="F943" i="6"/>
  <c r="G943" i="6"/>
  <c r="H943" i="6"/>
  <c r="I943" i="6"/>
  <c r="J943" i="6"/>
  <c r="K943" i="6"/>
  <c r="L943" i="6"/>
  <c r="M943" i="6"/>
  <c r="N943" i="6"/>
  <c r="O943" i="6"/>
  <c r="P943" i="6"/>
  <c r="Q943" i="6"/>
  <c r="R943" i="6"/>
  <c r="S943" i="6"/>
  <c r="T943" i="6"/>
  <c r="U943" i="6"/>
  <c r="V943" i="6"/>
  <c r="W943" i="6"/>
  <c r="X943" i="6"/>
  <c r="Y943" i="6"/>
  <c r="Z943" i="6"/>
  <c r="AA943" i="6"/>
  <c r="AB943" i="6"/>
  <c r="AC943" i="6"/>
  <c r="B944" i="6"/>
  <c r="E944" i="6"/>
  <c r="F944" i="6"/>
  <c r="G944" i="6"/>
  <c r="H944" i="6"/>
  <c r="I944" i="6"/>
  <c r="J944" i="6"/>
  <c r="K944" i="6"/>
  <c r="L944" i="6"/>
  <c r="M944" i="6"/>
  <c r="N944" i="6"/>
  <c r="O944" i="6"/>
  <c r="P944" i="6"/>
  <c r="Q944" i="6"/>
  <c r="R944" i="6"/>
  <c r="S944" i="6"/>
  <c r="T944" i="6"/>
  <c r="U944" i="6"/>
  <c r="V944" i="6"/>
  <c r="W944" i="6"/>
  <c r="X944" i="6"/>
  <c r="Y944" i="6"/>
  <c r="Z944" i="6"/>
  <c r="AA944" i="6"/>
  <c r="AB944" i="6"/>
  <c r="AC944" i="6"/>
  <c r="B945" i="6"/>
  <c r="E945" i="6"/>
  <c r="F945" i="6"/>
  <c r="G945" i="6"/>
  <c r="H945" i="6"/>
  <c r="I945" i="6"/>
  <c r="J945" i="6"/>
  <c r="K945" i="6"/>
  <c r="L945" i="6"/>
  <c r="M945" i="6"/>
  <c r="N945" i="6"/>
  <c r="O945" i="6"/>
  <c r="P945" i="6"/>
  <c r="Q945" i="6"/>
  <c r="R945" i="6"/>
  <c r="S945" i="6"/>
  <c r="T945" i="6"/>
  <c r="U945" i="6"/>
  <c r="V945" i="6"/>
  <c r="W945" i="6"/>
  <c r="X945" i="6"/>
  <c r="Y945" i="6"/>
  <c r="Z945" i="6"/>
  <c r="AA945" i="6"/>
  <c r="AB945" i="6"/>
  <c r="AC945" i="6"/>
  <c r="B946" i="6"/>
  <c r="E946" i="6"/>
  <c r="F946" i="6"/>
  <c r="G946" i="6"/>
  <c r="H946" i="6"/>
  <c r="I946" i="6"/>
  <c r="J946" i="6"/>
  <c r="K946" i="6"/>
  <c r="L946" i="6"/>
  <c r="M946" i="6"/>
  <c r="N946" i="6"/>
  <c r="O946" i="6"/>
  <c r="P946" i="6"/>
  <c r="Q946" i="6"/>
  <c r="R946" i="6"/>
  <c r="S946" i="6"/>
  <c r="T946" i="6"/>
  <c r="U946" i="6"/>
  <c r="V946" i="6"/>
  <c r="W946" i="6"/>
  <c r="X946" i="6"/>
  <c r="Y946" i="6"/>
  <c r="Z946" i="6"/>
  <c r="AA946" i="6"/>
  <c r="AB946" i="6"/>
  <c r="AC946" i="6"/>
  <c r="B947" i="6"/>
  <c r="E947" i="6"/>
  <c r="F947" i="6"/>
  <c r="G947" i="6"/>
  <c r="H947" i="6"/>
  <c r="I947" i="6"/>
  <c r="J947" i="6"/>
  <c r="K947" i="6"/>
  <c r="L947" i="6"/>
  <c r="M947" i="6"/>
  <c r="N947" i="6"/>
  <c r="O947" i="6"/>
  <c r="P947" i="6"/>
  <c r="Q947" i="6"/>
  <c r="R947" i="6"/>
  <c r="S947" i="6"/>
  <c r="T947" i="6"/>
  <c r="U947" i="6"/>
  <c r="V947" i="6"/>
  <c r="W947" i="6"/>
  <c r="X947" i="6"/>
  <c r="Y947" i="6"/>
  <c r="Z947" i="6"/>
  <c r="AA947" i="6"/>
  <c r="AB947" i="6"/>
  <c r="AC947" i="6"/>
  <c r="B948" i="6"/>
  <c r="E948" i="6"/>
  <c r="F948" i="6"/>
  <c r="G948" i="6"/>
  <c r="H948" i="6"/>
  <c r="I948" i="6"/>
  <c r="J948" i="6"/>
  <c r="K948" i="6"/>
  <c r="L948" i="6"/>
  <c r="M948" i="6"/>
  <c r="N948" i="6"/>
  <c r="O948" i="6"/>
  <c r="P948" i="6"/>
  <c r="Q948" i="6"/>
  <c r="R948" i="6"/>
  <c r="S948" i="6"/>
  <c r="T948" i="6"/>
  <c r="U948" i="6"/>
  <c r="V948" i="6"/>
  <c r="W948" i="6"/>
  <c r="X948" i="6"/>
  <c r="Y948" i="6"/>
  <c r="Z948" i="6"/>
  <c r="AA948" i="6"/>
  <c r="AB948" i="6"/>
  <c r="AC948" i="6"/>
  <c r="B949" i="6"/>
  <c r="E949" i="6"/>
  <c r="F949" i="6"/>
  <c r="G949" i="6"/>
  <c r="H949" i="6"/>
  <c r="I949" i="6"/>
  <c r="J949" i="6"/>
  <c r="K949" i="6"/>
  <c r="L949" i="6"/>
  <c r="M949" i="6"/>
  <c r="N949" i="6"/>
  <c r="O949" i="6"/>
  <c r="P949" i="6"/>
  <c r="Q949" i="6"/>
  <c r="R949" i="6"/>
  <c r="S949" i="6"/>
  <c r="T949" i="6"/>
  <c r="U949" i="6"/>
  <c r="V949" i="6"/>
  <c r="W949" i="6"/>
  <c r="X949" i="6"/>
  <c r="Y949" i="6"/>
  <c r="Z949" i="6"/>
  <c r="AA949" i="6"/>
  <c r="AB949" i="6"/>
  <c r="AC949" i="6"/>
  <c r="B952" i="6"/>
  <c r="E952" i="6"/>
  <c r="F952" i="6"/>
  <c r="G952" i="6"/>
  <c r="H952" i="6"/>
  <c r="I952" i="6"/>
  <c r="J952" i="6"/>
  <c r="K952" i="6"/>
  <c r="L952" i="6"/>
  <c r="M952" i="6"/>
  <c r="N952" i="6"/>
  <c r="O952" i="6"/>
  <c r="P952" i="6"/>
  <c r="Q952" i="6"/>
  <c r="R952" i="6"/>
  <c r="S952" i="6"/>
  <c r="T952" i="6"/>
  <c r="U952" i="6"/>
  <c r="V952" i="6"/>
  <c r="W952" i="6"/>
  <c r="X952" i="6"/>
  <c r="Y952" i="6"/>
  <c r="Z952" i="6"/>
  <c r="AA952" i="6"/>
  <c r="AB952" i="6"/>
  <c r="AC952" i="6"/>
  <c r="B953" i="6"/>
  <c r="E953" i="6"/>
  <c r="F953" i="6"/>
  <c r="G953" i="6"/>
  <c r="H953" i="6"/>
  <c r="I953" i="6"/>
  <c r="J953" i="6"/>
  <c r="K953" i="6"/>
  <c r="L953" i="6"/>
  <c r="M953" i="6"/>
  <c r="N953" i="6"/>
  <c r="O953" i="6"/>
  <c r="P953" i="6"/>
  <c r="Q953" i="6"/>
  <c r="R953" i="6"/>
  <c r="S953" i="6"/>
  <c r="T953" i="6"/>
  <c r="U953" i="6"/>
  <c r="V953" i="6"/>
  <c r="W953" i="6"/>
  <c r="X953" i="6"/>
  <c r="Y953" i="6"/>
  <c r="Z953" i="6"/>
  <c r="AA953" i="6"/>
  <c r="AB953" i="6"/>
  <c r="AC953" i="6"/>
  <c r="B954" i="6"/>
  <c r="E954" i="6"/>
  <c r="F954" i="6"/>
  <c r="G954" i="6"/>
  <c r="H954" i="6"/>
  <c r="I954" i="6"/>
  <c r="J954" i="6"/>
  <c r="K954" i="6"/>
  <c r="L954" i="6"/>
  <c r="M954" i="6"/>
  <c r="N954" i="6"/>
  <c r="O954" i="6"/>
  <c r="P954" i="6"/>
  <c r="Q954" i="6"/>
  <c r="R954" i="6"/>
  <c r="S954" i="6"/>
  <c r="T954" i="6"/>
  <c r="U954" i="6"/>
  <c r="V954" i="6"/>
  <c r="W954" i="6"/>
  <c r="X954" i="6"/>
  <c r="Y954" i="6"/>
  <c r="Z954" i="6"/>
  <c r="AA954" i="6"/>
  <c r="AB954" i="6"/>
  <c r="AC954" i="6"/>
  <c r="B955" i="6"/>
  <c r="E955" i="6"/>
  <c r="F955" i="6"/>
  <c r="G955" i="6"/>
  <c r="H955" i="6"/>
  <c r="I955" i="6"/>
  <c r="J955" i="6"/>
  <c r="K955" i="6"/>
  <c r="L955" i="6"/>
  <c r="M955" i="6"/>
  <c r="N955" i="6"/>
  <c r="O955" i="6"/>
  <c r="P955" i="6"/>
  <c r="Q955" i="6"/>
  <c r="R955" i="6"/>
  <c r="S955" i="6"/>
  <c r="T955" i="6"/>
  <c r="U955" i="6"/>
  <c r="V955" i="6"/>
  <c r="W955" i="6"/>
  <c r="X955" i="6"/>
  <c r="Y955" i="6"/>
  <c r="Z955" i="6"/>
  <c r="AA955" i="6"/>
  <c r="AB955" i="6"/>
  <c r="AC955" i="6"/>
  <c r="B956" i="6"/>
  <c r="E956" i="6"/>
  <c r="F956" i="6"/>
  <c r="G956" i="6"/>
  <c r="H956" i="6"/>
  <c r="I956" i="6"/>
  <c r="J956" i="6"/>
  <c r="K956" i="6"/>
  <c r="L956" i="6"/>
  <c r="M956" i="6"/>
  <c r="N956" i="6"/>
  <c r="O956" i="6"/>
  <c r="P956" i="6"/>
  <c r="Q956" i="6"/>
  <c r="R956" i="6"/>
  <c r="S956" i="6"/>
  <c r="T956" i="6"/>
  <c r="U956" i="6"/>
  <c r="V956" i="6"/>
  <c r="W956" i="6"/>
  <c r="X956" i="6"/>
  <c r="Y956" i="6"/>
  <c r="Z956" i="6"/>
  <c r="AA956" i="6"/>
  <c r="AB956" i="6"/>
  <c r="AC956" i="6"/>
  <c r="B957" i="6"/>
  <c r="E957" i="6"/>
  <c r="F957" i="6"/>
  <c r="G957" i="6"/>
  <c r="H957" i="6"/>
  <c r="I957" i="6"/>
  <c r="J957" i="6"/>
  <c r="K957" i="6"/>
  <c r="L957" i="6"/>
  <c r="M957" i="6"/>
  <c r="N957" i="6"/>
  <c r="O957" i="6"/>
  <c r="P957" i="6"/>
  <c r="Q957" i="6"/>
  <c r="R957" i="6"/>
  <c r="S957" i="6"/>
  <c r="T957" i="6"/>
  <c r="U957" i="6"/>
  <c r="V957" i="6"/>
  <c r="W957" i="6"/>
  <c r="X957" i="6"/>
  <c r="Y957" i="6"/>
  <c r="Z957" i="6"/>
  <c r="AA957" i="6"/>
  <c r="AB957" i="6"/>
  <c r="AC957" i="6"/>
  <c r="B958" i="6"/>
  <c r="E958" i="6"/>
  <c r="F958" i="6"/>
  <c r="G958" i="6"/>
  <c r="H958" i="6"/>
  <c r="I958" i="6"/>
  <c r="J958" i="6"/>
  <c r="K958" i="6"/>
  <c r="L958" i="6"/>
  <c r="M958" i="6"/>
  <c r="N958" i="6"/>
  <c r="O958" i="6"/>
  <c r="P958" i="6"/>
  <c r="Q958" i="6"/>
  <c r="R958" i="6"/>
  <c r="S958" i="6"/>
  <c r="T958" i="6"/>
  <c r="U958" i="6"/>
  <c r="V958" i="6"/>
  <c r="W958" i="6"/>
  <c r="X958" i="6"/>
  <c r="Y958" i="6"/>
  <c r="Z958" i="6"/>
  <c r="AA958" i="6"/>
  <c r="AB958" i="6"/>
  <c r="AC958" i="6"/>
  <c r="E959" i="6"/>
  <c r="F959" i="6"/>
  <c r="G959" i="6"/>
  <c r="H959" i="6"/>
  <c r="I959" i="6"/>
  <c r="J959" i="6"/>
  <c r="K959" i="6"/>
  <c r="L959" i="6"/>
  <c r="M959" i="6"/>
  <c r="N959" i="6"/>
  <c r="O959" i="6"/>
  <c r="P959" i="6"/>
  <c r="Q959" i="6"/>
  <c r="R959" i="6"/>
  <c r="S959" i="6"/>
  <c r="T959" i="6"/>
  <c r="U959" i="6"/>
  <c r="V959" i="6"/>
  <c r="W959" i="6"/>
  <c r="X959" i="6"/>
  <c r="Y959" i="6"/>
  <c r="Z959" i="6"/>
  <c r="AA959" i="6"/>
  <c r="AB959" i="6"/>
  <c r="AC959" i="6"/>
  <c r="E960" i="6"/>
  <c r="F960" i="6"/>
  <c r="G960" i="6"/>
  <c r="H960" i="6"/>
  <c r="I960" i="6"/>
  <c r="J960" i="6"/>
  <c r="K960" i="6"/>
  <c r="L960" i="6"/>
  <c r="M960" i="6"/>
  <c r="N960" i="6"/>
  <c r="O960" i="6"/>
  <c r="P960" i="6"/>
  <c r="Q960" i="6"/>
  <c r="R960" i="6"/>
  <c r="S960" i="6"/>
  <c r="T960" i="6"/>
  <c r="U960" i="6"/>
  <c r="V960" i="6"/>
  <c r="W960" i="6"/>
  <c r="X960" i="6"/>
  <c r="Y960" i="6"/>
  <c r="Z960" i="6"/>
  <c r="AA960" i="6"/>
  <c r="AB960" i="6"/>
  <c r="AC960" i="6"/>
  <c r="B961" i="6"/>
  <c r="E961" i="6"/>
  <c r="F961" i="6"/>
  <c r="G961" i="6"/>
  <c r="H961" i="6"/>
  <c r="I961" i="6"/>
  <c r="J961" i="6"/>
  <c r="K961" i="6"/>
  <c r="L961" i="6"/>
  <c r="M961" i="6"/>
  <c r="N961" i="6"/>
  <c r="O961" i="6"/>
  <c r="P961" i="6"/>
  <c r="Q961" i="6"/>
  <c r="R961" i="6"/>
  <c r="S961" i="6"/>
  <c r="T961" i="6"/>
  <c r="U961" i="6"/>
  <c r="V961" i="6"/>
  <c r="W961" i="6"/>
  <c r="X961" i="6"/>
  <c r="Y961" i="6"/>
  <c r="Z961" i="6"/>
  <c r="AA961" i="6"/>
  <c r="AB961" i="6"/>
  <c r="AC961" i="6"/>
  <c r="B962" i="6"/>
  <c r="E962" i="6"/>
  <c r="F962" i="6"/>
  <c r="G962" i="6"/>
  <c r="H962" i="6"/>
  <c r="I962" i="6"/>
  <c r="J962" i="6"/>
  <c r="K962" i="6"/>
  <c r="L962" i="6"/>
  <c r="M962" i="6"/>
  <c r="N962" i="6"/>
  <c r="O962" i="6"/>
  <c r="P962" i="6"/>
  <c r="Q962" i="6"/>
  <c r="R962" i="6"/>
  <c r="S962" i="6"/>
  <c r="T962" i="6"/>
  <c r="U962" i="6"/>
  <c r="V962" i="6"/>
  <c r="W962" i="6"/>
  <c r="X962" i="6"/>
  <c r="Y962" i="6"/>
  <c r="Z962" i="6"/>
  <c r="AA962" i="6"/>
  <c r="AB962" i="6"/>
  <c r="AC962" i="6"/>
  <c r="H966" i="6"/>
  <c r="H967" i="6"/>
  <c r="I968" i="6"/>
  <c r="J968" i="6"/>
  <c r="K968" i="6"/>
  <c r="L968" i="6"/>
  <c r="M968" i="6"/>
  <c r="N968" i="6"/>
  <c r="O968" i="6"/>
  <c r="P968" i="6"/>
  <c r="Q968" i="6"/>
  <c r="R968" i="6"/>
  <c r="S968" i="6"/>
  <c r="T968" i="6"/>
  <c r="U968" i="6"/>
  <c r="V968" i="6"/>
  <c r="W968" i="6"/>
  <c r="X968" i="6"/>
  <c r="Y968" i="6"/>
  <c r="Z968" i="6"/>
  <c r="AA968" i="6"/>
  <c r="AB968" i="6"/>
  <c r="AC968" i="6"/>
  <c r="I969" i="6"/>
  <c r="J969" i="6"/>
  <c r="K969" i="6"/>
  <c r="L969" i="6"/>
  <c r="M969" i="6"/>
  <c r="N969" i="6"/>
  <c r="O969" i="6"/>
  <c r="P969" i="6"/>
  <c r="Q969" i="6"/>
  <c r="R969" i="6"/>
  <c r="S969" i="6"/>
  <c r="T969" i="6"/>
  <c r="U969" i="6"/>
  <c r="V969" i="6"/>
  <c r="W969" i="6"/>
  <c r="X969" i="6"/>
  <c r="Y969" i="6"/>
  <c r="Z969" i="6"/>
  <c r="AA969" i="6"/>
  <c r="AB969" i="6"/>
  <c r="AC969" i="6"/>
  <c r="I970" i="6"/>
  <c r="J970" i="6"/>
  <c r="K970" i="6"/>
  <c r="L970" i="6"/>
  <c r="M970" i="6"/>
  <c r="N970" i="6"/>
  <c r="O970" i="6"/>
  <c r="P970" i="6"/>
  <c r="Q970" i="6"/>
  <c r="R970" i="6"/>
  <c r="S970" i="6"/>
  <c r="T970" i="6"/>
  <c r="U970" i="6"/>
  <c r="V970" i="6"/>
  <c r="W970" i="6"/>
  <c r="X970" i="6"/>
  <c r="Y970" i="6"/>
  <c r="Z970" i="6"/>
  <c r="AA970" i="6"/>
  <c r="AB970" i="6"/>
  <c r="AC970" i="6"/>
  <c r="I971" i="6"/>
  <c r="J971" i="6"/>
  <c r="K971" i="6"/>
  <c r="L971" i="6"/>
  <c r="M971" i="6"/>
  <c r="N971" i="6"/>
  <c r="O971" i="6"/>
  <c r="P971" i="6"/>
  <c r="Q971" i="6"/>
  <c r="R971" i="6"/>
  <c r="S971" i="6"/>
  <c r="T971" i="6"/>
  <c r="U971" i="6"/>
  <c r="V971" i="6"/>
  <c r="W971" i="6"/>
  <c r="X971" i="6"/>
  <c r="Y971" i="6"/>
  <c r="Z971" i="6"/>
  <c r="AA971" i="6"/>
  <c r="AB971" i="6"/>
  <c r="AC971" i="6"/>
  <c r="I972" i="6"/>
  <c r="J972" i="6"/>
  <c r="K972" i="6"/>
  <c r="L972" i="6"/>
  <c r="M972" i="6"/>
  <c r="N972" i="6"/>
  <c r="O972" i="6"/>
  <c r="P972" i="6"/>
  <c r="Q972" i="6"/>
  <c r="R972" i="6"/>
  <c r="S972" i="6"/>
  <c r="T972" i="6"/>
  <c r="U972" i="6"/>
  <c r="V972" i="6"/>
  <c r="W972" i="6"/>
  <c r="X972" i="6"/>
  <c r="Y972" i="6"/>
  <c r="Z972" i="6"/>
  <c r="AA972" i="6"/>
  <c r="AB972" i="6"/>
  <c r="AC972" i="6"/>
  <c r="E975" i="6"/>
  <c r="F975" i="6"/>
  <c r="G975" i="6"/>
  <c r="H975" i="6"/>
  <c r="I975" i="6"/>
  <c r="J975" i="6"/>
  <c r="K975" i="6"/>
  <c r="L975" i="6"/>
  <c r="M975" i="6"/>
  <c r="N975" i="6"/>
  <c r="O975" i="6"/>
  <c r="P975" i="6"/>
  <c r="Q975" i="6"/>
  <c r="R975" i="6"/>
  <c r="S975" i="6"/>
  <c r="T975" i="6"/>
  <c r="U975" i="6"/>
  <c r="V975" i="6"/>
  <c r="W975" i="6"/>
  <c r="X975" i="6"/>
  <c r="Y975" i="6"/>
  <c r="Z975" i="6"/>
  <c r="AA975" i="6"/>
  <c r="AB975" i="6"/>
  <c r="AC975" i="6"/>
  <c r="A977" i="6"/>
  <c r="E977" i="6"/>
  <c r="F977" i="6"/>
  <c r="G977" i="6"/>
  <c r="H977" i="6"/>
  <c r="I977" i="6"/>
  <c r="J977" i="6"/>
  <c r="K977" i="6"/>
  <c r="L977" i="6"/>
  <c r="M977" i="6"/>
  <c r="N977" i="6"/>
  <c r="O977" i="6"/>
  <c r="P977" i="6"/>
  <c r="Q977" i="6"/>
  <c r="R977" i="6"/>
  <c r="S977" i="6"/>
  <c r="T977" i="6"/>
  <c r="U977" i="6"/>
  <c r="V977" i="6"/>
  <c r="W977" i="6"/>
  <c r="X977" i="6"/>
  <c r="Y977" i="6"/>
  <c r="Z977" i="6"/>
  <c r="AA977" i="6"/>
  <c r="AB977" i="6"/>
  <c r="AC977" i="6"/>
  <c r="A978" i="6"/>
  <c r="E978" i="6"/>
  <c r="F978" i="6"/>
  <c r="G978" i="6"/>
  <c r="H978" i="6"/>
  <c r="I978" i="6"/>
  <c r="J978" i="6"/>
  <c r="K978" i="6"/>
  <c r="L978" i="6"/>
  <c r="M978" i="6"/>
  <c r="N978" i="6"/>
  <c r="O978" i="6"/>
  <c r="P978" i="6"/>
  <c r="Q978" i="6"/>
  <c r="R978" i="6"/>
  <c r="S978" i="6"/>
  <c r="T978" i="6"/>
  <c r="U978" i="6"/>
  <c r="V978" i="6"/>
  <c r="W978" i="6"/>
  <c r="X978" i="6"/>
  <c r="Y978" i="6"/>
  <c r="Z978" i="6"/>
  <c r="AA978" i="6"/>
  <c r="AB978" i="6"/>
  <c r="AC978" i="6"/>
  <c r="A979" i="6"/>
  <c r="E979" i="6"/>
  <c r="F979" i="6"/>
  <c r="G979" i="6"/>
  <c r="H979" i="6"/>
  <c r="I979" i="6"/>
  <c r="J979" i="6"/>
  <c r="K979" i="6"/>
  <c r="L979" i="6"/>
  <c r="M979" i="6"/>
  <c r="N979" i="6"/>
  <c r="O979" i="6"/>
  <c r="P979" i="6"/>
  <c r="Q979" i="6"/>
  <c r="R979" i="6"/>
  <c r="S979" i="6"/>
  <c r="T979" i="6"/>
  <c r="U979" i="6"/>
  <c r="V979" i="6"/>
  <c r="W979" i="6"/>
  <c r="X979" i="6"/>
  <c r="Y979" i="6"/>
  <c r="Z979" i="6"/>
  <c r="AA979" i="6"/>
  <c r="AB979" i="6"/>
  <c r="AC979" i="6"/>
  <c r="A981" i="6"/>
  <c r="E981" i="6"/>
  <c r="F981" i="6"/>
  <c r="G981" i="6"/>
  <c r="H981" i="6"/>
  <c r="I981" i="6"/>
  <c r="J981" i="6"/>
  <c r="K981" i="6"/>
  <c r="L981" i="6"/>
  <c r="M981" i="6"/>
  <c r="N981" i="6"/>
  <c r="O981" i="6"/>
  <c r="P981" i="6"/>
  <c r="Q981" i="6"/>
  <c r="R981" i="6"/>
  <c r="S981" i="6"/>
  <c r="T981" i="6"/>
  <c r="U981" i="6"/>
  <c r="V981" i="6"/>
  <c r="W981" i="6"/>
  <c r="X981" i="6"/>
  <c r="Y981" i="6"/>
  <c r="Z981" i="6"/>
  <c r="AA981" i="6"/>
  <c r="AB981" i="6"/>
  <c r="AC981" i="6"/>
  <c r="A982" i="6"/>
  <c r="E982" i="6"/>
  <c r="F982" i="6"/>
  <c r="G982" i="6"/>
  <c r="H982" i="6"/>
  <c r="I982" i="6"/>
  <c r="J982" i="6"/>
  <c r="K982" i="6"/>
  <c r="L982" i="6"/>
  <c r="M982" i="6"/>
  <c r="N982" i="6"/>
  <c r="O982" i="6"/>
  <c r="P982" i="6"/>
  <c r="Q982" i="6"/>
  <c r="R982" i="6"/>
  <c r="S982" i="6"/>
  <c r="T982" i="6"/>
  <c r="U982" i="6"/>
  <c r="V982" i="6"/>
  <c r="W982" i="6"/>
  <c r="X982" i="6"/>
  <c r="Y982" i="6"/>
  <c r="Z982" i="6"/>
  <c r="AA982" i="6"/>
  <c r="AB982" i="6"/>
  <c r="AC982" i="6"/>
  <c r="A984" i="6"/>
  <c r="E984" i="6"/>
  <c r="F984" i="6"/>
  <c r="G984" i="6"/>
  <c r="H984" i="6"/>
  <c r="I984" i="6"/>
  <c r="J984" i="6"/>
  <c r="K984" i="6"/>
  <c r="L984" i="6"/>
  <c r="M984" i="6"/>
  <c r="N984" i="6"/>
  <c r="O984" i="6"/>
  <c r="P984" i="6"/>
  <c r="Q984" i="6"/>
  <c r="R984" i="6"/>
  <c r="S984" i="6"/>
  <c r="T984" i="6"/>
  <c r="U984" i="6"/>
  <c r="V984" i="6"/>
  <c r="W984" i="6"/>
  <c r="X984" i="6"/>
  <c r="Y984" i="6"/>
  <c r="Z984" i="6"/>
  <c r="AA984" i="6"/>
  <c r="AB984" i="6"/>
  <c r="AC984" i="6"/>
  <c r="A985" i="6"/>
  <c r="E985" i="6"/>
  <c r="F985" i="6"/>
  <c r="G985" i="6"/>
  <c r="H985" i="6"/>
  <c r="I985" i="6"/>
  <c r="J985" i="6"/>
  <c r="K985" i="6"/>
  <c r="L985" i="6"/>
  <c r="M985" i="6"/>
  <c r="N985" i="6"/>
  <c r="O985" i="6"/>
  <c r="P985" i="6"/>
  <c r="Q985" i="6"/>
  <c r="R985" i="6"/>
  <c r="S985" i="6"/>
  <c r="T985" i="6"/>
  <c r="U985" i="6"/>
  <c r="V985" i="6"/>
  <c r="W985" i="6"/>
  <c r="X985" i="6"/>
  <c r="Y985" i="6"/>
  <c r="Z985" i="6"/>
  <c r="AA985" i="6"/>
  <c r="AB985" i="6"/>
  <c r="AC985" i="6"/>
  <c r="A986" i="6"/>
  <c r="E986" i="6"/>
  <c r="F986" i="6"/>
  <c r="G986" i="6"/>
  <c r="H986" i="6"/>
  <c r="I986" i="6"/>
  <c r="J986" i="6"/>
  <c r="K986" i="6"/>
  <c r="L986" i="6"/>
  <c r="M986" i="6"/>
  <c r="N986" i="6"/>
  <c r="O986" i="6"/>
  <c r="P986" i="6"/>
  <c r="Q986" i="6"/>
  <c r="R986" i="6"/>
  <c r="S986" i="6"/>
  <c r="T986" i="6"/>
  <c r="U986" i="6"/>
  <c r="V986" i="6"/>
  <c r="W986" i="6"/>
  <c r="X986" i="6"/>
  <c r="Y986" i="6"/>
  <c r="Z986" i="6"/>
  <c r="AA986" i="6"/>
  <c r="AB986" i="6"/>
  <c r="AC986" i="6"/>
  <c r="A987" i="6"/>
  <c r="E987" i="6"/>
  <c r="F987" i="6"/>
  <c r="G987" i="6"/>
  <c r="H987" i="6"/>
  <c r="I987" i="6"/>
  <c r="J987" i="6"/>
  <c r="K987" i="6"/>
  <c r="L987" i="6"/>
  <c r="M987" i="6"/>
  <c r="N987" i="6"/>
  <c r="O987" i="6"/>
  <c r="P987" i="6"/>
  <c r="Q987" i="6"/>
  <c r="R987" i="6"/>
  <c r="S987" i="6"/>
  <c r="T987" i="6"/>
  <c r="U987" i="6"/>
  <c r="V987" i="6"/>
  <c r="W987" i="6"/>
  <c r="X987" i="6"/>
  <c r="Y987" i="6"/>
  <c r="Z987" i="6"/>
  <c r="AA987" i="6"/>
  <c r="AB987" i="6"/>
  <c r="AC987" i="6"/>
  <c r="A988" i="6"/>
  <c r="I988" i="6"/>
  <c r="J988" i="6"/>
  <c r="K988" i="6"/>
  <c r="L988" i="6"/>
  <c r="M988" i="6"/>
  <c r="N988" i="6"/>
  <c r="O988" i="6"/>
  <c r="P988" i="6"/>
  <c r="Q988" i="6"/>
  <c r="R988" i="6"/>
  <c r="S988" i="6"/>
  <c r="T988" i="6"/>
  <c r="U988" i="6"/>
  <c r="V988" i="6"/>
  <c r="W988" i="6"/>
  <c r="X988" i="6"/>
  <c r="Y988" i="6"/>
  <c r="Z988" i="6"/>
  <c r="AA988" i="6"/>
  <c r="AB988" i="6"/>
  <c r="AC988" i="6"/>
  <c r="E989" i="6"/>
  <c r="F989" i="6"/>
  <c r="G989" i="6"/>
  <c r="H989" i="6"/>
  <c r="I989" i="6"/>
  <c r="J989" i="6"/>
  <c r="K989" i="6"/>
  <c r="L989" i="6"/>
  <c r="M989" i="6"/>
  <c r="N989" i="6"/>
  <c r="O989" i="6"/>
  <c r="P989" i="6"/>
  <c r="Q989" i="6"/>
  <c r="R989" i="6"/>
  <c r="S989" i="6"/>
  <c r="T989" i="6"/>
  <c r="U989" i="6"/>
  <c r="V989" i="6"/>
  <c r="W989" i="6"/>
  <c r="X989" i="6"/>
  <c r="Y989" i="6"/>
  <c r="Z989" i="6"/>
  <c r="AA989" i="6"/>
  <c r="AB989" i="6"/>
  <c r="AC989" i="6"/>
  <c r="A991" i="6"/>
  <c r="E991" i="6"/>
  <c r="F991" i="6"/>
  <c r="G991" i="6"/>
  <c r="H991" i="6"/>
  <c r="I991" i="6"/>
  <c r="J991" i="6"/>
  <c r="K991" i="6"/>
  <c r="L991" i="6"/>
  <c r="M991" i="6"/>
  <c r="N991" i="6"/>
  <c r="O991" i="6"/>
  <c r="P991" i="6"/>
  <c r="Q991" i="6"/>
  <c r="R991" i="6"/>
  <c r="S991" i="6"/>
  <c r="T991" i="6"/>
  <c r="U991" i="6"/>
  <c r="V991" i="6"/>
  <c r="W991" i="6"/>
  <c r="X991" i="6"/>
  <c r="Y991" i="6"/>
  <c r="Z991" i="6"/>
  <c r="AA991" i="6"/>
  <c r="AB991" i="6"/>
  <c r="AC991" i="6"/>
  <c r="A993" i="6"/>
  <c r="A994" i="6"/>
  <c r="E994" i="6"/>
  <c r="F994" i="6"/>
  <c r="G994" i="6"/>
  <c r="H994" i="6"/>
  <c r="I994" i="6"/>
  <c r="J994" i="6"/>
  <c r="K994" i="6"/>
  <c r="L994" i="6"/>
  <c r="M994" i="6"/>
  <c r="N994" i="6"/>
  <c r="O994" i="6"/>
  <c r="P994" i="6"/>
  <c r="Q994" i="6"/>
  <c r="R994" i="6"/>
  <c r="S994" i="6"/>
  <c r="T994" i="6"/>
  <c r="U994" i="6"/>
  <c r="V994" i="6"/>
  <c r="W994" i="6"/>
  <c r="X994" i="6"/>
  <c r="Y994" i="6"/>
  <c r="Z994" i="6"/>
  <c r="AA994" i="6"/>
  <c r="AB994" i="6"/>
  <c r="AC994" i="6"/>
  <c r="A995" i="6"/>
  <c r="E995" i="6"/>
  <c r="F995" i="6"/>
  <c r="G995" i="6"/>
  <c r="H995" i="6"/>
  <c r="I995" i="6"/>
  <c r="J995" i="6"/>
  <c r="K995" i="6"/>
  <c r="L995" i="6"/>
  <c r="M995" i="6"/>
  <c r="N995" i="6"/>
  <c r="O995" i="6"/>
  <c r="P995" i="6"/>
  <c r="Q995" i="6"/>
  <c r="R995" i="6"/>
  <c r="S995" i="6"/>
  <c r="T995" i="6"/>
  <c r="U995" i="6"/>
  <c r="V995" i="6"/>
  <c r="W995" i="6"/>
  <c r="X995" i="6"/>
  <c r="Y995" i="6"/>
  <c r="Z995" i="6"/>
  <c r="AA995" i="6"/>
  <c r="AB995" i="6"/>
  <c r="AC995" i="6"/>
  <c r="A996" i="6"/>
  <c r="I996" i="6"/>
  <c r="J996" i="6"/>
  <c r="K996" i="6"/>
  <c r="L996" i="6"/>
  <c r="M996" i="6"/>
  <c r="N996" i="6"/>
  <c r="O996" i="6"/>
  <c r="P996" i="6"/>
  <c r="Q996" i="6"/>
  <c r="R996" i="6"/>
  <c r="S996" i="6"/>
  <c r="T996" i="6"/>
  <c r="U996" i="6"/>
  <c r="V996" i="6"/>
  <c r="W996" i="6"/>
  <c r="X996" i="6"/>
  <c r="Y996" i="6"/>
  <c r="Z996" i="6"/>
  <c r="AA996" i="6"/>
  <c r="AB996" i="6"/>
  <c r="AC996" i="6"/>
  <c r="A997" i="6"/>
  <c r="E997" i="6"/>
  <c r="F997" i="6"/>
  <c r="G997" i="6"/>
  <c r="H997" i="6"/>
  <c r="I997" i="6"/>
  <c r="J997" i="6"/>
  <c r="K997" i="6"/>
  <c r="L997" i="6"/>
  <c r="M997" i="6"/>
  <c r="N997" i="6"/>
  <c r="O997" i="6"/>
  <c r="P997" i="6"/>
  <c r="Q997" i="6"/>
  <c r="R997" i="6"/>
  <c r="S997" i="6"/>
  <c r="T997" i="6"/>
  <c r="U997" i="6"/>
  <c r="V997" i="6"/>
  <c r="W997" i="6"/>
  <c r="X997" i="6"/>
  <c r="Y997" i="6"/>
  <c r="Z997" i="6"/>
  <c r="AA997" i="6"/>
  <c r="AB997" i="6"/>
  <c r="AC997" i="6"/>
  <c r="A999" i="6"/>
  <c r="A1000" i="6"/>
  <c r="E1000" i="6"/>
  <c r="F1000" i="6"/>
  <c r="G1000" i="6"/>
  <c r="H1000" i="6"/>
  <c r="I1000" i="6"/>
  <c r="J1000" i="6"/>
  <c r="K1000" i="6"/>
  <c r="L1000" i="6"/>
  <c r="M1000" i="6"/>
  <c r="N1000" i="6"/>
  <c r="O1000" i="6"/>
  <c r="P1000" i="6"/>
  <c r="Q1000" i="6"/>
  <c r="R1000" i="6"/>
  <c r="S1000" i="6"/>
  <c r="T1000" i="6"/>
  <c r="U1000" i="6"/>
  <c r="V1000" i="6"/>
  <c r="W1000" i="6"/>
  <c r="X1000" i="6"/>
  <c r="Y1000" i="6"/>
  <c r="Z1000" i="6"/>
  <c r="AA1000" i="6"/>
  <c r="AB1000" i="6"/>
  <c r="AC1000" i="6"/>
  <c r="A1001" i="6"/>
  <c r="E1001" i="6"/>
  <c r="F1001" i="6"/>
  <c r="G1001" i="6"/>
  <c r="H1001" i="6"/>
  <c r="I1001" i="6"/>
  <c r="J1001" i="6"/>
  <c r="K1001" i="6"/>
  <c r="L1001" i="6"/>
  <c r="M1001" i="6"/>
  <c r="N1001" i="6"/>
  <c r="O1001" i="6"/>
  <c r="P1001" i="6"/>
  <c r="Q1001" i="6"/>
  <c r="R1001" i="6"/>
  <c r="S1001" i="6"/>
  <c r="T1001" i="6"/>
  <c r="U1001" i="6"/>
  <c r="V1001" i="6"/>
  <c r="W1001" i="6"/>
  <c r="X1001" i="6"/>
  <c r="Y1001" i="6"/>
  <c r="Z1001" i="6"/>
  <c r="AA1001" i="6"/>
  <c r="AB1001" i="6"/>
  <c r="AC1001" i="6"/>
  <c r="A1002" i="6"/>
  <c r="E1002" i="6"/>
  <c r="F1002" i="6"/>
  <c r="G1002" i="6"/>
  <c r="H1002" i="6"/>
  <c r="I1002" i="6"/>
  <c r="J1002" i="6"/>
  <c r="K1002" i="6"/>
  <c r="L1002" i="6"/>
  <c r="M1002" i="6"/>
  <c r="N1002" i="6"/>
  <c r="O1002" i="6"/>
  <c r="P1002" i="6"/>
  <c r="Q1002" i="6"/>
  <c r="R1002" i="6"/>
  <c r="S1002" i="6"/>
  <c r="T1002" i="6"/>
  <c r="U1002" i="6"/>
  <c r="V1002" i="6"/>
  <c r="W1002" i="6"/>
  <c r="X1002" i="6"/>
  <c r="Y1002" i="6"/>
  <c r="Z1002" i="6"/>
  <c r="AA1002" i="6"/>
  <c r="AB1002" i="6"/>
  <c r="AC1002" i="6"/>
  <c r="A1003" i="6"/>
  <c r="E1003" i="6"/>
  <c r="F1003" i="6"/>
  <c r="G1003" i="6"/>
  <c r="H1003" i="6"/>
  <c r="I1003" i="6"/>
  <c r="J1003" i="6"/>
  <c r="K1003" i="6"/>
  <c r="L1003" i="6"/>
  <c r="M1003" i="6"/>
  <c r="N1003" i="6"/>
  <c r="O1003" i="6"/>
  <c r="P1003" i="6"/>
  <c r="Q1003" i="6"/>
  <c r="R1003" i="6"/>
  <c r="S1003" i="6"/>
  <c r="T1003" i="6"/>
  <c r="U1003" i="6"/>
  <c r="V1003" i="6"/>
  <c r="W1003" i="6"/>
  <c r="X1003" i="6"/>
  <c r="Y1003" i="6"/>
  <c r="Z1003" i="6"/>
  <c r="AA1003" i="6"/>
  <c r="AB1003" i="6"/>
  <c r="AC1003" i="6"/>
  <c r="A1004" i="6"/>
  <c r="E1004" i="6"/>
  <c r="F1004" i="6"/>
  <c r="G1004" i="6"/>
  <c r="H1004" i="6"/>
  <c r="I1004" i="6"/>
  <c r="J1004" i="6"/>
  <c r="K1004" i="6"/>
  <c r="L1004" i="6"/>
  <c r="M1004" i="6"/>
  <c r="N1004" i="6"/>
  <c r="O1004" i="6"/>
  <c r="P1004" i="6"/>
  <c r="Q1004" i="6"/>
  <c r="R1004" i="6"/>
  <c r="S1004" i="6"/>
  <c r="T1004" i="6"/>
  <c r="U1004" i="6"/>
  <c r="V1004" i="6"/>
  <c r="W1004" i="6"/>
  <c r="X1004" i="6"/>
  <c r="Y1004" i="6"/>
  <c r="Z1004" i="6"/>
  <c r="AA1004" i="6"/>
  <c r="AB1004" i="6"/>
  <c r="AC1004" i="6"/>
  <c r="A1005" i="6"/>
  <c r="E1005" i="6"/>
  <c r="F1005" i="6"/>
  <c r="G1005" i="6"/>
  <c r="H1005" i="6"/>
  <c r="I1005" i="6"/>
  <c r="J1005" i="6"/>
  <c r="K1005" i="6"/>
  <c r="L1005" i="6"/>
  <c r="M1005" i="6"/>
  <c r="N1005" i="6"/>
  <c r="O1005" i="6"/>
  <c r="P1005" i="6"/>
  <c r="Q1005" i="6"/>
  <c r="R1005" i="6"/>
  <c r="S1005" i="6"/>
  <c r="T1005" i="6"/>
  <c r="U1005" i="6"/>
  <c r="V1005" i="6"/>
  <c r="W1005" i="6"/>
  <c r="X1005" i="6"/>
  <c r="Y1005" i="6"/>
  <c r="Z1005" i="6"/>
  <c r="AA1005" i="6"/>
  <c r="AB1005" i="6"/>
  <c r="AC1005" i="6"/>
  <c r="A1006" i="6"/>
  <c r="E1006" i="6"/>
  <c r="F1006" i="6"/>
  <c r="G1006" i="6"/>
  <c r="H1006" i="6"/>
  <c r="I1006" i="6"/>
  <c r="J1006" i="6"/>
  <c r="K1006" i="6"/>
  <c r="L1006" i="6"/>
  <c r="M1006" i="6"/>
  <c r="N1006" i="6"/>
  <c r="O1006" i="6"/>
  <c r="P1006" i="6"/>
  <c r="Q1006" i="6"/>
  <c r="R1006" i="6"/>
  <c r="S1006" i="6"/>
  <c r="T1006" i="6"/>
  <c r="U1006" i="6"/>
  <c r="V1006" i="6"/>
  <c r="W1006" i="6"/>
  <c r="X1006" i="6"/>
  <c r="Y1006" i="6"/>
  <c r="Z1006" i="6"/>
  <c r="AA1006" i="6"/>
  <c r="AB1006" i="6"/>
  <c r="AC1006" i="6"/>
  <c r="A1007" i="6"/>
  <c r="E1007" i="6"/>
  <c r="F1007" i="6"/>
  <c r="G1007" i="6"/>
  <c r="H1007" i="6"/>
  <c r="I1007" i="6"/>
  <c r="J1007" i="6"/>
  <c r="K1007" i="6"/>
  <c r="L1007" i="6"/>
  <c r="M1007" i="6"/>
  <c r="N1007" i="6"/>
  <c r="O1007" i="6"/>
  <c r="P1007" i="6"/>
  <c r="Q1007" i="6"/>
  <c r="R1007" i="6"/>
  <c r="S1007" i="6"/>
  <c r="T1007" i="6"/>
  <c r="U1007" i="6"/>
  <c r="V1007" i="6"/>
  <c r="W1007" i="6"/>
  <c r="X1007" i="6"/>
  <c r="Y1007" i="6"/>
  <c r="Z1007" i="6"/>
  <c r="AA1007" i="6"/>
  <c r="AB1007" i="6"/>
  <c r="AC1007" i="6"/>
  <c r="A1009" i="6"/>
  <c r="E1009" i="6"/>
  <c r="F1009" i="6"/>
  <c r="G1009" i="6"/>
  <c r="H1009" i="6"/>
  <c r="I1009" i="6"/>
  <c r="J1009" i="6"/>
  <c r="K1009" i="6"/>
  <c r="L1009" i="6"/>
  <c r="M1009" i="6"/>
  <c r="N1009" i="6"/>
  <c r="O1009" i="6"/>
  <c r="P1009" i="6"/>
  <c r="Q1009" i="6"/>
  <c r="R1009" i="6"/>
  <c r="S1009" i="6"/>
  <c r="T1009" i="6"/>
  <c r="U1009" i="6"/>
  <c r="V1009" i="6"/>
  <c r="W1009" i="6"/>
  <c r="X1009" i="6"/>
  <c r="Y1009" i="6"/>
  <c r="Z1009" i="6"/>
  <c r="AA1009" i="6"/>
  <c r="AB1009" i="6"/>
  <c r="AC1009" i="6"/>
  <c r="A1011" i="6"/>
  <c r="E1011" i="6"/>
  <c r="F1011" i="6"/>
  <c r="G1011" i="6"/>
  <c r="H1011" i="6"/>
  <c r="I1011" i="6"/>
  <c r="J1011" i="6"/>
  <c r="K1011" i="6"/>
  <c r="L1011" i="6"/>
  <c r="M1011" i="6"/>
  <c r="N1011" i="6"/>
  <c r="O1011" i="6"/>
  <c r="P1011" i="6"/>
  <c r="Q1011" i="6"/>
  <c r="R1011" i="6"/>
  <c r="S1011" i="6"/>
  <c r="T1011" i="6"/>
  <c r="U1011" i="6"/>
  <c r="V1011" i="6"/>
  <c r="W1011" i="6"/>
  <c r="X1011" i="6"/>
  <c r="Y1011" i="6"/>
  <c r="Z1011" i="6"/>
  <c r="AA1011" i="6"/>
  <c r="AB1011" i="6"/>
  <c r="AC1011" i="6"/>
  <c r="A1012" i="6"/>
  <c r="E1012" i="6"/>
  <c r="F1012" i="6"/>
  <c r="G1012" i="6"/>
  <c r="H1012" i="6"/>
  <c r="I1012" i="6"/>
  <c r="J1012" i="6"/>
  <c r="K1012" i="6"/>
  <c r="L1012" i="6"/>
  <c r="M1012" i="6"/>
  <c r="N1012" i="6"/>
  <c r="O1012" i="6"/>
  <c r="P1012" i="6"/>
  <c r="Q1012" i="6"/>
  <c r="R1012" i="6"/>
  <c r="S1012" i="6"/>
  <c r="T1012" i="6"/>
  <c r="U1012" i="6"/>
  <c r="V1012" i="6"/>
  <c r="W1012" i="6"/>
  <c r="X1012" i="6"/>
  <c r="Y1012" i="6"/>
  <c r="Z1012" i="6"/>
  <c r="AA1012" i="6"/>
  <c r="AB1012" i="6"/>
  <c r="AC1012" i="6"/>
  <c r="A1014" i="6"/>
  <c r="E1014" i="6"/>
  <c r="F1014" i="6"/>
  <c r="G1014" i="6"/>
  <c r="H1014" i="6"/>
  <c r="I1014" i="6"/>
  <c r="J1014" i="6"/>
  <c r="K1014" i="6"/>
  <c r="L1014" i="6"/>
  <c r="M1014" i="6"/>
  <c r="N1014" i="6"/>
  <c r="O1014" i="6"/>
  <c r="P1014" i="6"/>
  <c r="Q1014" i="6"/>
  <c r="R1014" i="6"/>
  <c r="S1014" i="6"/>
  <c r="T1014" i="6"/>
  <c r="U1014" i="6"/>
  <c r="V1014" i="6"/>
  <c r="W1014" i="6"/>
  <c r="X1014" i="6"/>
  <c r="Y1014" i="6"/>
  <c r="Z1014" i="6"/>
  <c r="AA1014" i="6"/>
  <c r="AB1014" i="6"/>
  <c r="AC1014" i="6"/>
  <c r="A1015" i="6"/>
  <c r="E1015" i="6"/>
  <c r="F1015" i="6"/>
  <c r="G1015" i="6"/>
  <c r="H1015" i="6"/>
  <c r="I1015" i="6"/>
  <c r="J1015" i="6"/>
  <c r="K1015" i="6"/>
  <c r="L1015" i="6"/>
  <c r="M1015" i="6"/>
  <c r="N1015" i="6"/>
  <c r="O1015" i="6"/>
  <c r="P1015" i="6"/>
  <c r="Q1015" i="6"/>
  <c r="R1015" i="6"/>
  <c r="S1015" i="6"/>
  <c r="T1015" i="6"/>
  <c r="U1015" i="6"/>
  <c r="V1015" i="6"/>
  <c r="W1015" i="6"/>
  <c r="X1015" i="6"/>
  <c r="Y1015" i="6"/>
  <c r="Z1015" i="6"/>
  <c r="AA1015" i="6"/>
  <c r="AB1015" i="6"/>
  <c r="AC1015" i="6"/>
  <c r="A1017" i="6"/>
  <c r="E1017" i="6"/>
  <c r="F1017" i="6"/>
  <c r="G1017" i="6"/>
  <c r="H1017" i="6"/>
  <c r="I1017" i="6"/>
  <c r="J1017" i="6"/>
  <c r="K1017" i="6"/>
  <c r="L1017" i="6"/>
  <c r="M1017" i="6"/>
  <c r="N1017" i="6"/>
  <c r="O1017" i="6"/>
  <c r="P1017" i="6"/>
  <c r="Q1017" i="6"/>
  <c r="R1017" i="6"/>
  <c r="S1017" i="6"/>
  <c r="T1017" i="6"/>
  <c r="U1017" i="6"/>
  <c r="V1017" i="6"/>
  <c r="W1017" i="6"/>
  <c r="X1017" i="6"/>
  <c r="Y1017" i="6"/>
  <c r="Z1017" i="6"/>
  <c r="AA1017" i="6"/>
  <c r="AB1017" i="6"/>
  <c r="AC1017" i="6"/>
  <c r="A1018" i="6"/>
  <c r="E1018" i="6"/>
  <c r="F1018" i="6"/>
  <c r="G1018" i="6"/>
  <c r="H1018" i="6"/>
  <c r="I1018" i="6"/>
  <c r="J1018" i="6"/>
  <c r="K1018" i="6"/>
  <c r="L1018" i="6"/>
  <c r="M1018" i="6"/>
  <c r="N1018" i="6"/>
  <c r="O1018" i="6"/>
  <c r="P1018" i="6"/>
  <c r="Q1018" i="6"/>
  <c r="R1018" i="6"/>
  <c r="S1018" i="6"/>
  <c r="T1018" i="6"/>
  <c r="U1018" i="6"/>
  <c r="V1018" i="6"/>
  <c r="W1018" i="6"/>
  <c r="X1018" i="6"/>
  <c r="Y1018" i="6"/>
  <c r="Z1018" i="6"/>
  <c r="AA1018" i="6"/>
  <c r="AB1018" i="6"/>
  <c r="AC1018" i="6"/>
  <c r="A1020" i="6"/>
  <c r="E1020" i="6"/>
  <c r="F1020" i="6"/>
  <c r="G1020" i="6"/>
  <c r="H1020" i="6"/>
  <c r="I1020" i="6"/>
  <c r="J1020" i="6"/>
  <c r="K1020" i="6"/>
  <c r="L1020" i="6"/>
  <c r="M1020" i="6"/>
  <c r="N1020" i="6"/>
  <c r="O1020" i="6"/>
  <c r="P1020" i="6"/>
  <c r="Q1020" i="6"/>
  <c r="R1020" i="6"/>
  <c r="S1020" i="6"/>
  <c r="T1020" i="6"/>
  <c r="U1020" i="6"/>
  <c r="V1020" i="6"/>
  <c r="W1020" i="6"/>
  <c r="X1020" i="6"/>
  <c r="Y1020" i="6"/>
  <c r="Z1020" i="6"/>
  <c r="AA1020" i="6"/>
  <c r="AB1020" i="6"/>
  <c r="AC1020" i="6"/>
  <c r="E1023" i="6"/>
  <c r="F1023" i="6"/>
  <c r="G1023" i="6"/>
  <c r="H1023" i="6"/>
  <c r="I1023" i="6"/>
  <c r="J1023" i="6"/>
  <c r="K1023" i="6"/>
  <c r="L1023" i="6"/>
  <c r="M1023" i="6"/>
  <c r="N1023" i="6"/>
  <c r="O1023" i="6"/>
  <c r="P1023" i="6"/>
  <c r="Q1023" i="6"/>
  <c r="R1023" i="6"/>
  <c r="S1023" i="6"/>
  <c r="T1023" i="6"/>
  <c r="U1023" i="6"/>
  <c r="V1023" i="6"/>
  <c r="W1023" i="6"/>
  <c r="X1023" i="6"/>
  <c r="Y1023" i="6"/>
  <c r="Z1023" i="6"/>
  <c r="AA1023" i="6"/>
  <c r="AB1023" i="6"/>
  <c r="AC1023" i="6"/>
  <c r="I1025" i="6"/>
  <c r="J1025" i="6"/>
  <c r="K1025" i="6"/>
  <c r="L1025" i="6"/>
  <c r="M1025" i="6"/>
  <c r="N1025" i="6"/>
  <c r="O1025" i="6"/>
  <c r="P1025" i="6"/>
  <c r="Q1025" i="6"/>
  <c r="R1025" i="6"/>
  <c r="S1025" i="6"/>
  <c r="T1025" i="6"/>
  <c r="U1025" i="6"/>
  <c r="V1025" i="6"/>
  <c r="W1025" i="6"/>
  <c r="X1025" i="6"/>
  <c r="Y1025" i="6"/>
  <c r="Z1025" i="6"/>
  <c r="AA1025" i="6"/>
  <c r="AB1025" i="6"/>
  <c r="AC1025" i="6"/>
  <c r="B1027" i="6"/>
  <c r="I1027" i="6"/>
  <c r="J1027" i="6"/>
  <c r="K1027" i="6"/>
  <c r="L1027" i="6"/>
  <c r="M1027" i="6"/>
  <c r="N1027" i="6"/>
  <c r="O1027" i="6"/>
  <c r="P1027" i="6"/>
  <c r="Q1027" i="6"/>
  <c r="R1027" i="6"/>
  <c r="S1027" i="6"/>
  <c r="T1027" i="6"/>
  <c r="U1027" i="6"/>
  <c r="V1027" i="6"/>
  <c r="W1027" i="6"/>
  <c r="X1027" i="6"/>
  <c r="Y1027" i="6"/>
  <c r="Z1027" i="6"/>
  <c r="AA1027" i="6"/>
  <c r="AB1027" i="6"/>
  <c r="AC1027" i="6"/>
  <c r="I1028" i="6"/>
  <c r="J1028" i="6"/>
  <c r="K1028" i="6"/>
  <c r="L1028" i="6"/>
  <c r="M1028" i="6"/>
  <c r="N1028" i="6"/>
  <c r="O1028" i="6"/>
  <c r="P1028" i="6"/>
  <c r="Q1028" i="6"/>
  <c r="R1028" i="6"/>
  <c r="S1028" i="6"/>
  <c r="T1028" i="6"/>
  <c r="U1028" i="6"/>
  <c r="V1028" i="6"/>
  <c r="W1028" i="6"/>
  <c r="X1028" i="6"/>
  <c r="Y1028" i="6"/>
  <c r="Z1028" i="6"/>
  <c r="AA1028" i="6"/>
  <c r="AB1028" i="6"/>
  <c r="AC1028" i="6"/>
  <c r="B1029" i="6"/>
  <c r="I1029" i="6"/>
  <c r="J1029" i="6"/>
  <c r="K1029" i="6"/>
  <c r="L1029" i="6"/>
  <c r="M1029" i="6"/>
  <c r="N1029" i="6"/>
  <c r="O1029" i="6"/>
  <c r="P1029" i="6"/>
  <c r="Q1029" i="6"/>
  <c r="R1029" i="6"/>
  <c r="S1029" i="6"/>
  <c r="T1029" i="6"/>
  <c r="U1029" i="6"/>
  <c r="V1029" i="6"/>
  <c r="W1029" i="6"/>
  <c r="X1029" i="6"/>
  <c r="Y1029" i="6"/>
  <c r="Z1029" i="6"/>
  <c r="AA1029" i="6"/>
  <c r="AB1029" i="6"/>
  <c r="AC1029" i="6"/>
  <c r="B1030" i="6"/>
  <c r="I1030" i="6"/>
  <c r="J1030" i="6"/>
  <c r="K1030" i="6"/>
  <c r="L1030" i="6"/>
  <c r="M1030" i="6"/>
  <c r="N1030" i="6"/>
  <c r="O1030" i="6"/>
  <c r="P1030" i="6"/>
  <c r="Q1030" i="6"/>
  <c r="R1030" i="6"/>
  <c r="S1030" i="6"/>
  <c r="T1030" i="6"/>
  <c r="U1030" i="6"/>
  <c r="V1030" i="6"/>
  <c r="W1030" i="6"/>
  <c r="X1030" i="6"/>
  <c r="Y1030" i="6"/>
  <c r="Z1030" i="6"/>
  <c r="AA1030" i="6"/>
  <c r="AB1030" i="6"/>
  <c r="AC1030" i="6"/>
  <c r="B1031" i="6"/>
  <c r="I1031" i="6"/>
  <c r="J1031" i="6"/>
  <c r="K1031" i="6"/>
  <c r="L1031" i="6"/>
  <c r="M1031" i="6"/>
  <c r="N1031" i="6"/>
  <c r="O1031" i="6"/>
  <c r="P1031" i="6"/>
  <c r="Q1031" i="6"/>
  <c r="R1031" i="6"/>
  <c r="S1031" i="6"/>
  <c r="T1031" i="6"/>
  <c r="U1031" i="6"/>
  <c r="V1031" i="6"/>
  <c r="W1031" i="6"/>
  <c r="X1031" i="6"/>
  <c r="Y1031" i="6"/>
  <c r="Z1031" i="6"/>
  <c r="AA1031" i="6"/>
  <c r="AB1031" i="6"/>
  <c r="AC1031" i="6"/>
  <c r="I1032" i="6"/>
  <c r="J1032" i="6"/>
  <c r="K1032" i="6"/>
  <c r="L1032" i="6"/>
  <c r="M1032" i="6"/>
  <c r="N1032" i="6"/>
  <c r="O1032" i="6"/>
  <c r="P1032" i="6"/>
  <c r="Q1032" i="6"/>
  <c r="R1032" i="6"/>
  <c r="S1032" i="6"/>
  <c r="T1032" i="6"/>
  <c r="U1032" i="6"/>
  <c r="V1032" i="6"/>
  <c r="W1032" i="6"/>
  <c r="X1032" i="6"/>
  <c r="Y1032" i="6"/>
  <c r="Z1032" i="6"/>
  <c r="AA1032" i="6"/>
  <c r="AB1032" i="6"/>
  <c r="AC1032" i="6"/>
  <c r="B1034" i="6"/>
  <c r="I1034" i="6"/>
  <c r="J1034" i="6"/>
  <c r="K1034" i="6"/>
  <c r="L1034" i="6"/>
  <c r="M1034" i="6"/>
  <c r="N1034" i="6"/>
  <c r="O1034" i="6"/>
  <c r="P1034" i="6"/>
  <c r="Q1034" i="6"/>
  <c r="R1034" i="6"/>
  <c r="S1034" i="6"/>
  <c r="T1034" i="6"/>
  <c r="U1034" i="6"/>
  <c r="V1034" i="6"/>
  <c r="W1034" i="6"/>
  <c r="X1034" i="6"/>
  <c r="Y1034" i="6"/>
  <c r="Z1034" i="6"/>
  <c r="AA1034" i="6"/>
  <c r="AB1034" i="6"/>
  <c r="AC1034" i="6"/>
  <c r="B1035" i="6"/>
  <c r="I1035" i="6"/>
  <c r="J1035" i="6"/>
  <c r="K1035" i="6"/>
  <c r="L1035" i="6"/>
  <c r="M1035" i="6"/>
  <c r="N1035" i="6"/>
  <c r="O1035" i="6"/>
  <c r="P1035" i="6"/>
  <c r="Q1035" i="6"/>
  <c r="R1035" i="6"/>
  <c r="S1035" i="6"/>
  <c r="T1035" i="6"/>
  <c r="U1035" i="6"/>
  <c r="V1035" i="6"/>
  <c r="W1035" i="6"/>
  <c r="X1035" i="6"/>
  <c r="Y1035" i="6"/>
  <c r="Z1035" i="6"/>
  <c r="AA1035" i="6"/>
  <c r="AB1035" i="6"/>
  <c r="AC1035" i="6"/>
  <c r="B1036" i="6"/>
  <c r="I1036" i="6"/>
  <c r="J1036" i="6"/>
  <c r="K1036" i="6"/>
  <c r="L1036" i="6"/>
  <c r="M1036" i="6"/>
  <c r="N1036" i="6"/>
  <c r="O1036" i="6"/>
  <c r="P1036" i="6"/>
  <c r="Q1036" i="6"/>
  <c r="R1036" i="6"/>
  <c r="S1036" i="6"/>
  <c r="T1036" i="6"/>
  <c r="U1036" i="6"/>
  <c r="V1036" i="6"/>
  <c r="W1036" i="6"/>
  <c r="X1036" i="6"/>
  <c r="Y1036" i="6"/>
  <c r="Z1036" i="6"/>
  <c r="AA1036" i="6"/>
  <c r="AB1036" i="6"/>
  <c r="AC1036" i="6"/>
  <c r="B1037" i="6"/>
  <c r="I1037" i="6"/>
  <c r="J1037" i="6"/>
  <c r="K1037" i="6"/>
  <c r="L1037" i="6"/>
  <c r="M1037" i="6"/>
  <c r="N1037" i="6"/>
  <c r="O1037" i="6"/>
  <c r="P1037" i="6"/>
  <c r="Q1037" i="6"/>
  <c r="R1037" i="6"/>
  <c r="S1037" i="6"/>
  <c r="T1037" i="6"/>
  <c r="U1037" i="6"/>
  <c r="V1037" i="6"/>
  <c r="W1037" i="6"/>
  <c r="X1037" i="6"/>
  <c r="Y1037" i="6"/>
  <c r="Z1037" i="6"/>
  <c r="AA1037" i="6"/>
  <c r="AB1037" i="6"/>
  <c r="AC1037" i="6"/>
  <c r="B1038" i="6"/>
  <c r="I1038" i="6"/>
  <c r="J1038" i="6"/>
  <c r="K1038" i="6"/>
  <c r="L1038" i="6"/>
  <c r="M1038" i="6"/>
  <c r="N1038" i="6"/>
  <c r="O1038" i="6"/>
  <c r="P1038" i="6"/>
  <c r="Q1038" i="6"/>
  <c r="R1038" i="6"/>
  <c r="S1038" i="6"/>
  <c r="T1038" i="6"/>
  <c r="U1038" i="6"/>
  <c r="V1038" i="6"/>
  <c r="W1038" i="6"/>
  <c r="X1038" i="6"/>
  <c r="Y1038" i="6"/>
  <c r="Z1038" i="6"/>
  <c r="AA1038" i="6"/>
  <c r="AB1038" i="6"/>
  <c r="AC1038" i="6"/>
  <c r="B1039" i="6"/>
  <c r="I1039" i="6"/>
  <c r="J1039" i="6"/>
  <c r="K1039" i="6"/>
  <c r="L1039" i="6"/>
  <c r="M1039" i="6"/>
  <c r="N1039" i="6"/>
  <c r="O1039" i="6"/>
  <c r="P1039" i="6"/>
  <c r="Q1039" i="6"/>
  <c r="R1039" i="6"/>
  <c r="S1039" i="6"/>
  <c r="T1039" i="6"/>
  <c r="U1039" i="6"/>
  <c r="V1039" i="6"/>
  <c r="W1039" i="6"/>
  <c r="X1039" i="6"/>
  <c r="Y1039" i="6"/>
  <c r="Z1039" i="6"/>
  <c r="AA1039" i="6"/>
  <c r="AB1039" i="6"/>
  <c r="AC1039" i="6"/>
  <c r="A1040" i="6"/>
  <c r="I1040" i="6"/>
  <c r="J1040" i="6"/>
  <c r="K1040" i="6"/>
  <c r="L1040" i="6"/>
  <c r="M1040" i="6"/>
  <c r="N1040" i="6"/>
  <c r="O1040" i="6"/>
  <c r="P1040" i="6"/>
  <c r="Q1040" i="6"/>
  <c r="R1040" i="6"/>
  <c r="S1040" i="6"/>
  <c r="T1040" i="6"/>
  <c r="U1040" i="6"/>
  <c r="V1040" i="6"/>
  <c r="W1040" i="6"/>
  <c r="X1040" i="6"/>
  <c r="Y1040" i="6"/>
  <c r="Z1040" i="6"/>
  <c r="AA1040" i="6"/>
  <c r="AB1040" i="6"/>
  <c r="AC1040" i="6"/>
  <c r="B1044" i="6"/>
  <c r="I1044" i="6"/>
  <c r="J1044" i="6"/>
  <c r="K1044" i="6"/>
  <c r="L1044" i="6"/>
  <c r="M1044" i="6"/>
  <c r="N1044" i="6"/>
  <c r="O1044" i="6"/>
  <c r="P1044" i="6"/>
  <c r="Q1044" i="6"/>
  <c r="R1044" i="6"/>
  <c r="S1044" i="6"/>
  <c r="T1044" i="6"/>
  <c r="U1044" i="6"/>
  <c r="V1044" i="6"/>
  <c r="W1044" i="6"/>
  <c r="X1044" i="6"/>
  <c r="Y1044" i="6"/>
  <c r="Z1044" i="6"/>
  <c r="AA1044" i="6"/>
  <c r="AB1044" i="6"/>
  <c r="AC1044" i="6"/>
  <c r="B1045" i="6"/>
  <c r="I1045" i="6"/>
  <c r="J1045" i="6"/>
  <c r="K1045" i="6"/>
  <c r="L1045" i="6"/>
  <c r="M1045" i="6"/>
  <c r="N1045" i="6"/>
  <c r="O1045" i="6"/>
  <c r="P1045" i="6"/>
  <c r="Q1045" i="6"/>
  <c r="R1045" i="6"/>
  <c r="S1045" i="6"/>
  <c r="T1045" i="6"/>
  <c r="U1045" i="6"/>
  <c r="V1045" i="6"/>
  <c r="W1045" i="6"/>
  <c r="X1045" i="6"/>
  <c r="Y1045" i="6"/>
  <c r="Z1045" i="6"/>
  <c r="AA1045" i="6"/>
  <c r="AB1045" i="6"/>
  <c r="AC1045" i="6"/>
  <c r="B1046" i="6"/>
  <c r="I1046" i="6"/>
  <c r="J1046" i="6"/>
  <c r="K1046" i="6"/>
  <c r="L1046" i="6"/>
  <c r="M1046" i="6"/>
  <c r="N1046" i="6"/>
  <c r="O1046" i="6"/>
  <c r="P1046" i="6"/>
  <c r="Q1046" i="6"/>
  <c r="R1046" i="6"/>
  <c r="S1046" i="6"/>
  <c r="T1046" i="6"/>
  <c r="U1046" i="6"/>
  <c r="V1046" i="6"/>
  <c r="W1046" i="6"/>
  <c r="X1046" i="6"/>
  <c r="Y1046" i="6"/>
  <c r="Z1046" i="6"/>
  <c r="AA1046" i="6"/>
  <c r="AB1046" i="6"/>
  <c r="AC1046" i="6"/>
  <c r="B1047" i="6"/>
  <c r="I1047" i="6"/>
  <c r="J1047" i="6"/>
  <c r="K1047" i="6"/>
  <c r="L1047" i="6"/>
  <c r="M1047" i="6"/>
  <c r="N1047" i="6"/>
  <c r="O1047" i="6"/>
  <c r="P1047" i="6"/>
  <c r="Q1047" i="6"/>
  <c r="R1047" i="6"/>
  <c r="S1047" i="6"/>
  <c r="T1047" i="6"/>
  <c r="U1047" i="6"/>
  <c r="V1047" i="6"/>
  <c r="W1047" i="6"/>
  <c r="X1047" i="6"/>
  <c r="Y1047" i="6"/>
  <c r="Z1047" i="6"/>
  <c r="AA1047" i="6"/>
  <c r="AB1047" i="6"/>
  <c r="AC1047" i="6"/>
  <c r="A1048" i="6"/>
  <c r="I1048" i="6"/>
  <c r="J1048" i="6"/>
  <c r="K1048" i="6"/>
  <c r="L1048" i="6"/>
  <c r="M1048" i="6"/>
  <c r="N1048" i="6"/>
  <c r="O1048" i="6"/>
  <c r="P1048" i="6"/>
  <c r="Q1048" i="6"/>
  <c r="R1048" i="6"/>
  <c r="S1048" i="6"/>
  <c r="T1048" i="6"/>
  <c r="U1048" i="6"/>
  <c r="V1048" i="6"/>
  <c r="W1048" i="6"/>
  <c r="X1048" i="6"/>
  <c r="Y1048" i="6"/>
  <c r="Z1048" i="6"/>
  <c r="AA1048" i="6"/>
  <c r="AB1048" i="6"/>
  <c r="AC1048" i="6"/>
  <c r="I1051" i="6"/>
  <c r="J1051" i="6"/>
  <c r="K1051" i="6"/>
  <c r="L1051" i="6"/>
  <c r="M1051" i="6"/>
  <c r="N1051" i="6"/>
  <c r="O1051" i="6"/>
  <c r="P1051" i="6"/>
  <c r="Q1051" i="6"/>
  <c r="R1051" i="6"/>
  <c r="S1051" i="6"/>
  <c r="T1051" i="6"/>
  <c r="U1051" i="6"/>
  <c r="V1051" i="6"/>
  <c r="W1051" i="6"/>
  <c r="X1051" i="6"/>
  <c r="Y1051" i="6"/>
  <c r="Z1051" i="6"/>
  <c r="AA1051" i="6"/>
  <c r="AB1051" i="6"/>
  <c r="AC1051" i="6"/>
  <c r="I1052" i="6"/>
  <c r="J1052" i="6"/>
  <c r="K1052" i="6"/>
  <c r="L1052" i="6"/>
  <c r="M1052" i="6"/>
  <c r="N1052" i="6"/>
  <c r="O1052" i="6"/>
  <c r="P1052" i="6"/>
  <c r="Q1052" i="6"/>
  <c r="R1052" i="6"/>
  <c r="S1052" i="6"/>
  <c r="T1052" i="6"/>
  <c r="U1052" i="6"/>
  <c r="V1052" i="6"/>
  <c r="W1052" i="6"/>
  <c r="X1052" i="6"/>
  <c r="Y1052" i="6"/>
  <c r="Z1052" i="6"/>
  <c r="AA1052" i="6"/>
  <c r="AB1052" i="6"/>
  <c r="AC1052" i="6"/>
  <c r="I1053" i="6"/>
  <c r="J1053" i="6"/>
  <c r="K1053" i="6"/>
  <c r="L1053" i="6"/>
  <c r="M1053" i="6"/>
  <c r="N1053" i="6"/>
  <c r="O1053" i="6"/>
  <c r="P1053" i="6"/>
  <c r="Q1053" i="6"/>
  <c r="R1053" i="6"/>
  <c r="S1053" i="6"/>
  <c r="T1053" i="6"/>
  <c r="U1053" i="6"/>
  <c r="V1053" i="6"/>
  <c r="W1053" i="6"/>
  <c r="X1053" i="6"/>
  <c r="Y1053" i="6"/>
  <c r="Z1053" i="6"/>
  <c r="AA1053" i="6"/>
  <c r="AB1053" i="6"/>
  <c r="AC1053" i="6"/>
  <c r="I1054" i="6"/>
  <c r="J1054" i="6"/>
  <c r="K1054" i="6"/>
  <c r="L1054" i="6"/>
  <c r="M1054" i="6"/>
  <c r="N1054" i="6"/>
  <c r="O1054" i="6"/>
  <c r="P1054" i="6"/>
  <c r="Q1054" i="6"/>
  <c r="R1054" i="6"/>
  <c r="S1054" i="6"/>
  <c r="T1054" i="6"/>
  <c r="U1054" i="6"/>
  <c r="V1054" i="6"/>
  <c r="W1054" i="6"/>
  <c r="X1054" i="6"/>
  <c r="Y1054" i="6"/>
  <c r="Z1054" i="6"/>
  <c r="AA1054" i="6"/>
  <c r="AB1054" i="6"/>
  <c r="AC1054" i="6"/>
  <c r="I1055" i="6"/>
  <c r="J1055" i="6"/>
  <c r="K1055" i="6"/>
  <c r="L1055" i="6"/>
  <c r="M1055" i="6"/>
  <c r="N1055" i="6"/>
  <c r="O1055" i="6"/>
  <c r="P1055" i="6"/>
  <c r="Q1055" i="6"/>
  <c r="R1055" i="6"/>
  <c r="S1055" i="6"/>
  <c r="T1055" i="6"/>
  <c r="U1055" i="6"/>
  <c r="V1055" i="6"/>
  <c r="W1055" i="6"/>
  <c r="X1055" i="6"/>
  <c r="Y1055" i="6"/>
  <c r="Z1055" i="6"/>
  <c r="AA1055" i="6"/>
  <c r="AB1055" i="6"/>
  <c r="AC1055" i="6"/>
  <c r="A1056" i="6"/>
  <c r="I1056" i="6"/>
  <c r="J1056" i="6"/>
  <c r="K1056" i="6"/>
  <c r="L1056" i="6"/>
  <c r="M1056" i="6"/>
  <c r="N1056" i="6"/>
  <c r="O1056" i="6"/>
  <c r="P1056" i="6"/>
  <c r="Q1056" i="6"/>
  <c r="R1056" i="6"/>
  <c r="S1056" i="6"/>
  <c r="T1056" i="6"/>
  <c r="U1056" i="6"/>
  <c r="V1056" i="6"/>
  <c r="W1056" i="6"/>
  <c r="X1056" i="6"/>
  <c r="Y1056" i="6"/>
  <c r="Z1056" i="6"/>
  <c r="AA1056" i="6"/>
  <c r="AB1056" i="6"/>
  <c r="AC1056" i="6"/>
  <c r="I1058" i="6"/>
  <c r="J1058" i="6"/>
  <c r="K1058" i="6"/>
  <c r="L1058" i="6"/>
  <c r="M1058" i="6"/>
  <c r="N1058" i="6"/>
  <c r="O1058" i="6"/>
  <c r="P1058" i="6"/>
  <c r="Q1058" i="6"/>
  <c r="R1058" i="6"/>
  <c r="S1058" i="6"/>
  <c r="T1058" i="6"/>
  <c r="U1058" i="6"/>
  <c r="V1058" i="6"/>
  <c r="W1058" i="6"/>
  <c r="X1058" i="6"/>
  <c r="Y1058" i="6"/>
  <c r="Z1058" i="6"/>
  <c r="AA1058" i="6"/>
  <c r="AB1058" i="6"/>
  <c r="AC1058" i="6"/>
  <c r="H2" i="5"/>
  <c r="I2" i="5"/>
  <c r="S2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4" i="5"/>
  <c r="A5" i="5"/>
  <c r="C5" i="5"/>
  <c r="E5" i="5"/>
  <c r="F5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E9" i="5"/>
  <c r="D10" i="5"/>
  <c r="G10" i="5"/>
  <c r="AE10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D12" i="5"/>
  <c r="G12" i="5"/>
  <c r="AE12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D14" i="5"/>
  <c r="G14" i="5"/>
  <c r="AE14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D16" i="5"/>
  <c r="E16" i="5"/>
  <c r="AE16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D18" i="5"/>
  <c r="E18" i="5"/>
  <c r="G18" i="5"/>
  <c r="AE18" i="5"/>
  <c r="D19" i="5"/>
  <c r="D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D22" i="5"/>
  <c r="D23" i="5"/>
  <c r="D24" i="5"/>
  <c r="D25" i="5"/>
  <c r="D26" i="5"/>
  <c r="D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D30" i="5"/>
  <c r="D31" i="5"/>
  <c r="D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D34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F48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F50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F52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F54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F56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F60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F62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C81" i="5"/>
  <c r="D81" i="5"/>
  <c r="M81" i="5"/>
  <c r="N81" i="5"/>
  <c r="C82" i="5"/>
  <c r="D82" i="5"/>
  <c r="M82" i="5"/>
  <c r="N82" i="5"/>
  <c r="C83" i="5"/>
  <c r="D83" i="5"/>
  <c r="M83" i="5"/>
  <c r="N83" i="5"/>
  <c r="C84" i="5"/>
  <c r="D84" i="5"/>
  <c r="M84" i="5"/>
  <c r="N84" i="5"/>
  <c r="C85" i="5"/>
  <c r="D85" i="5"/>
  <c r="M85" i="5"/>
  <c r="N85" i="5"/>
  <c r="D86" i="5"/>
  <c r="E86" i="5"/>
  <c r="M86" i="5"/>
  <c r="N86" i="5"/>
  <c r="C89" i="5"/>
  <c r="D89" i="5"/>
  <c r="L89" i="5"/>
  <c r="M89" i="5"/>
  <c r="N89" i="5"/>
  <c r="C90" i="5"/>
  <c r="D90" i="5"/>
  <c r="L90" i="5"/>
  <c r="M90" i="5"/>
  <c r="N90" i="5"/>
  <c r="D91" i="5"/>
  <c r="E91" i="5"/>
  <c r="M91" i="5"/>
  <c r="N91" i="5"/>
  <c r="M92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C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C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C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C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C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C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C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C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C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C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C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C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C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C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AC140" i="5"/>
  <c r="I141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AC146" i="5"/>
  <c r="B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AC147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B152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AC157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AC164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AC165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AC166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AC167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AC171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AC172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AC178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AB183" i="5"/>
  <c r="AC183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AC184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AC185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AB187" i="5"/>
  <c r="AC187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U188" i="5"/>
  <c r="V188" i="5"/>
  <c r="W188" i="5"/>
  <c r="X188" i="5"/>
  <c r="Y188" i="5"/>
  <c r="Z188" i="5"/>
  <c r="AA188" i="5"/>
  <c r="AB188" i="5"/>
  <c r="AC188" i="5"/>
  <c r="H190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U191" i="5"/>
  <c r="V191" i="5"/>
  <c r="W191" i="5"/>
  <c r="X191" i="5"/>
  <c r="Y191" i="5"/>
  <c r="Z191" i="5"/>
  <c r="AA191" i="5"/>
  <c r="AB191" i="5"/>
  <c r="AC191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AB195" i="5"/>
  <c r="AC195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AB197" i="5"/>
  <c r="AC197" i="5"/>
  <c r="H200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U202" i="5"/>
  <c r="V202" i="5"/>
  <c r="W202" i="5"/>
  <c r="X202" i="5"/>
  <c r="Y202" i="5"/>
  <c r="Z202" i="5"/>
  <c r="AA202" i="5"/>
  <c r="AB202" i="5"/>
  <c r="AC202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U204" i="5"/>
  <c r="V204" i="5"/>
  <c r="W204" i="5"/>
  <c r="X204" i="5"/>
  <c r="Y204" i="5"/>
  <c r="Z204" i="5"/>
  <c r="AA204" i="5"/>
  <c r="AB204" i="5"/>
  <c r="AC204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U206" i="5"/>
  <c r="V206" i="5"/>
  <c r="W206" i="5"/>
  <c r="X206" i="5"/>
  <c r="Y206" i="5"/>
  <c r="Z206" i="5"/>
  <c r="AA206" i="5"/>
  <c r="AB206" i="5"/>
  <c r="AC206" i="5"/>
  <c r="J212" i="5"/>
  <c r="K212" i="5"/>
  <c r="L212" i="5"/>
  <c r="M212" i="5"/>
  <c r="N212" i="5"/>
  <c r="O212" i="5"/>
  <c r="P212" i="5"/>
  <c r="Q212" i="5"/>
  <c r="R212" i="5"/>
  <c r="S212" i="5"/>
  <c r="T212" i="5"/>
  <c r="U212" i="5"/>
  <c r="V212" i="5"/>
  <c r="W212" i="5"/>
  <c r="X212" i="5"/>
  <c r="Y212" i="5"/>
  <c r="Z212" i="5"/>
  <c r="AA212" i="5"/>
  <c r="AB212" i="5"/>
  <c r="AC212" i="5"/>
  <c r="F215" i="5"/>
  <c r="G215" i="5"/>
  <c r="H215" i="5"/>
  <c r="H217" i="5"/>
  <c r="I217" i="5"/>
  <c r="J217" i="5"/>
  <c r="K217" i="5"/>
  <c r="L217" i="5"/>
  <c r="M217" i="5"/>
  <c r="N217" i="5"/>
  <c r="O217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AC217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AC219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AC221" i="5"/>
  <c r="B223" i="5"/>
  <c r="I227" i="5"/>
  <c r="J227" i="5"/>
  <c r="K227" i="5"/>
  <c r="L227" i="5"/>
  <c r="M227" i="5"/>
  <c r="N227" i="5"/>
  <c r="O22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AC227" i="5"/>
  <c r="F230" i="5"/>
  <c r="G230" i="5"/>
  <c r="H230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T232" i="5"/>
  <c r="U232" i="5"/>
  <c r="V232" i="5"/>
  <c r="W232" i="5"/>
  <c r="X232" i="5"/>
  <c r="Y232" i="5"/>
  <c r="Z232" i="5"/>
  <c r="AA232" i="5"/>
  <c r="AB232" i="5"/>
  <c r="AC232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T234" i="5"/>
  <c r="U234" i="5"/>
  <c r="V234" i="5"/>
  <c r="W234" i="5"/>
  <c r="X234" i="5"/>
  <c r="Y234" i="5"/>
  <c r="Z234" i="5"/>
  <c r="AA234" i="5"/>
  <c r="AB234" i="5"/>
  <c r="AC234" i="5"/>
  <c r="H236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T240" i="5"/>
  <c r="U240" i="5"/>
  <c r="V240" i="5"/>
  <c r="W240" i="5"/>
  <c r="X240" i="5"/>
  <c r="Y240" i="5"/>
  <c r="Z240" i="5"/>
  <c r="AA240" i="5"/>
  <c r="AB240" i="5"/>
  <c r="AC240" i="5"/>
  <c r="A242" i="5"/>
  <c r="I243" i="5"/>
  <c r="J243" i="5"/>
  <c r="K243" i="5"/>
  <c r="L243" i="5"/>
  <c r="M243" i="5"/>
  <c r="N243" i="5"/>
  <c r="O243" i="5"/>
  <c r="P243" i="5"/>
  <c r="Q243" i="5"/>
  <c r="R243" i="5"/>
  <c r="S243" i="5"/>
  <c r="T243" i="5"/>
  <c r="U243" i="5"/>
  <c r="V243" i="5"/>
  <c r="W243" i="5"/>
  <c r="X243" i="5"/>
  <c r="Y243" i="5"/>
  <c r="Z243" i="5"/>
  <c r="AA243" i="5"/>
  <c r="AB243" i="5"/>
  <c r="AC243" i="5"/>
  <c r="J244" i="5"/>
  <c r="K244" i="5"/>
  <c r="L244" i="5"/>
  <c r="M244" i="5"/>
  <c r="N244" i="5"/>
  <c r="O244" i="5"/>
  <c r="P244" i="5"/>
  <c r="Q244" i="5"/>
  <c r="R244" i="5"/>
  <c r="S244" i="5"/>
  <c r="T244" i="5"/>
  <c r="U244" i="5"/>
  <c r="V244" i="5"/>
  <c r="W244" i="5"/>
  <c r="X244" i="5"/>
  <c r="Y244" i="5"/>
  <c r="Z244" i="5"/>
  <c r="AA244" i="5"/>
  <c r="AB244" i="5"/>
  <c r="AC244" i="5"/>
  <c r="I245" i="5"/>
  <c r="J245" i="5"/>
  <c r="K245" i="5"/>
  <c r="L245" i="5"/>
  <c r="M245" i="5"/>
  <c r="N245" i="5"/>
  <c r="O245" i="5"/>
  <c r="P245" i="5"/>
  <c r="Q245" i="5"/>
  <c r="R245" i="5"/>
  <c r="S245" i="5"/>
  <c r="T245" i="5"/>
  <c r="U245" i="5"/>
  <c r="V245" i="5"/>
  <c r="W245" i="5"/>
  <c r="X245" i="5"/>
  <c r="Y245" i="5"/>
  <c r="Z245" i="5"/>
  <c r="AA245" i="5"/>
  <c r="AB245" i="5"/>
  <c r="AC245" i="5"/>
  <c r="J246" i="5"/>
  <c r="K246" i="5"/>
  <c r="L246" i="5"/>
  <c r="M246" i="5"/>
  <c r="N246" i="5"/>
  <c r="O246" i="5"/>
  <c r="P246" i="5"/>
  <c r="Q246" i="5"/>
  <c r="R246" i="5"/>
  <c r="S246" i="5"/>
  <c r="T246" i="5"/>
  <c r="U246" i="5"/>
  <c r="V246" i="5"/>
  <c r="W246" i="5"/>
  <c r="X246" i="5"/>
  <c r="Y246" i="5"/>
  <c r="Z246" i="5"/>
  <c r="AA246" i="5"/>
  <c r="AB246" i="5"/>
  <c r="AC246" i="5"/>
  <c r="I247" i="5"/>
  <c r="J247" i="5"/>
  <c r="K247" i="5"/>
  <c r="L247" i="5"/>
  <c r="M247" i="5"/>
  <c r="N247" i="5"/>
  <c r="O247" i="5"/>
  <c r="P247" i="5"/>
  <c r="Q247" i="5"/>
  <c r="R247" i="5"/>
  <c r="S247" i="5"/>
  <c r="T247" i="5"/>
  <c r="U247" i="5"/>
  <c r="V247" i="5"/>
  <c r="W247" i="5"/>
  <c r="X247" i="5"/>
  <c r="Y247" i="5"/>
  <c r="Z247" i="5"/>
  <c r="AA247" i="5"/>
  <c r="AB247" i="5"/>
  <c r="AC247" i="5"/>
  <c r="AD247" i="5"/>
  <c r="I249" i="5"/>
  <c r="J249" i="5"/>
  <c r="K249" i="5"/>
  <c r="L249" i="5"/>
  <c r="M249" i="5"/>
  <c r="N249" i="5"/>
  <c r="O249" i="5"/>
  <c r="P249" i="5"/>
  <c r="Q249" i="5"/>
  <c r="R249" i="5"/>
  <c r="S249" i="5"/>
  <c r="T249" i="5"/>
  <c r="U249" i="5"/>
  <c r="V249" i="5"/>
  <c r="W249" i="5"/>
  <c r="X249" i="5"/>
  <c r="Y249" i="5"/>
  <c r="Z249" i="5"/>
  <c r="AA249" i="5"/>
  <c r="AB249" i="5"/>
  <c r="AC249" i="5"/>
  <c r="J250" i="5"/>
  <c r="K250" i="5"/>
  <c r="L250" i="5"/>
  <c r="M250" i="5"/>
  <c r="N250" i="5"/>
  <c r="O250" i="5"/>
  <c r="P250" i="5"/>
  <c r="Q250" i="5"/>
  <c r="R250" i="5"/>
  <c r="S250" i="5"/>
  <c r="T250" i="5"/>
  <c r="U250" i="5"/>
  <c r="V250" i="5"/>
  <c r="W250" i="5"/>
  <c r="X250" i="5"/>
  <c r="Y250" i="5"/>
  <c r="Z250" i="5"/>
  <c r="AA250" i="5"/>
  <c r="AB250" i="5"/>
  <c r="AC250" i="5"/>
  <c r="I251" i="5"/>
  <c r="J251" i="5"/>
  <c r="K251" i="5"/>
  <c r="L251" i="5"/>
  <c r="M251" i="5"/>
  <c r="N251" i="5"/>
  <c r="O251" i="5"/>
  <c r="P251" i="5"/>
  <c r="Q251" i="5"/>
  <c r="R251" i="5"/>
  <c r="S251" i="5"/>
  <c r="T251" i="5"/>
  <c r="U251" i="5"/>
  <c r="V251" i="5"/>
  <c r="W251" i="5"/>
  <c r="X251" i="5"/>
  <c r="Y251" i="5"/>
  <c r="Z251" i="5"/>
  <c r="AA251" i="5"/>
  <c r="AB251" i="5"/>
  <c r="AC251" i="5"/>
  <c r="B252" i="5"/>
  <c r="E252" i="5"/>
  <c r="F252" i="5"/>
  <c r="G252" i="5"/>
  <c r="H252" i="5"/>
  <c r="I252" i="5"/>
  <c r="J252" i="5"/>
  <c r="K252" i="5"/>
  <c r="L252" i="5"/>
  <c r="M252" i="5"/>
  <c r="N252" i="5"/>
  <c r="O252" i="5"/>
  <c r="P252" i="5"/>
  <c r="Q252" i="5"/>
  <c r="R252" i="5"/>
  <c r="S252" i="5"/>
  <c r="T252" i="5"/>
  <c r="U252" i="5"/>
  <c r="V252" i="5"/>
  <c r="W252" i="5"/>
  <c r="X252" i="5"/>
  <c r="Y252" i="5"/>
  <c r="Z252" i="5"/>
  <c r="AA252" i="5"/>
  <c r="AB252" i="5"/>
  <c r="AC252" i="5"/>
  <c r="I256" i="5"/>
  <c r="J256" i="5"/>
  <c r="K256" i="5"/>
  <c r="L256" i="5"/>
  <c r="M256" i="5"/>
  <c r="N256" i="5"/>
  <c r="O256" i="5"/>
  <c r="P256" i="5"/>
  <c r="Q256" i="5"/>
  <c r="R256" i="5"/>
  <c r="S256" i="5"/>
  <c r="T256" i="5"/>
  <c r="U256" i="5"/>
  <c r="V256" i="5"/>
  <c r="W256" i="5"/>
  <c r="X256" i="5"/>
  <c r="Y256" i="5"/>
  <c r="Z256" i="5"/>
  <c r="AA256" i="5"/>
  <c r="AB256" i="5"/>
  <c r="AC256" i="5"/>
  <c r="J257" i="5"/>
  <c r="K257" i="5"/>
  <c r="L257" i="5"/>
  <c r="M257" i="5"/>
  <c r="N257" i="5"/>
  <c r="O257" i="5"/>
  <c r="P257" i="5"/>
  <c r="Q257" i="5"/>
  <c r="R257" i="5"/>
  <c r="S257" i="5"/>
  <c r="T257" i="5"/>
  <c r="U257" i="5"/>
  <c r="V257" i="5"/>
  <c r="W257" i="5"/>
  <c r="X257" i="5"/>
  <c r="Y257" i="5"/>
  <c r="Z257" i="5"/>
  <c r="AA257" i="5"/>
  <c r="AB257" i="5"/>
  <c r="AC257" i="5"/>
  <c r="I258" i="5"/>
  <c r="J258" i="5"/>
  <c r="K258" i="5"/>
  <c r="L258" i="5"/>
  <c r="M258" i="5"/>
  <c r="N258" i="5"/>
  <c r="O258" i="5"/>
  <c r="P258" i="5"/>
  <c r="Q258" i="5"/>
  <c r="R258" i="5"/>
  <c r="S258" i="5"/>
  <c r="T258" i="5"/>
  <c r="U258" i="5"/>
  <c r="V258" i="5"/>
  <c r="W258" i="5"/>
  <c r="X258" i="5"/>
  <c r="Y258" i="5"/>
  <c r="Z258" i="5"/>
  <c r="AA258" i="5"/>
  <c r="AB258" i="5"/>
  <c r="AC258" i="5"/>
  <c r="J259" i="5"/>
  <c r="K259" i="5"/>
  <c r="L259" i="5"/>
  <c r="M259" i="5"/>
  <c r="N259" i="5"/>
  <c r="O259" i="5"/>
  <c r="P259" i="5"/>
  <c r="Q259" i="5"/>
  <c r="R259" i="5"/>
  <c r="S259" i="5"/>
  <c r="T259" i="5"/>
  <c r="U259" i="5"/>
  <c r="V259" i="5"/>
  <c r="W259" i="5"/>
  <c r="X259" i="5"/>
  <c r="Y259" i="5"/>
  <c r="Z259" i="5"/>
  <c r="AA259" i="5"/>
  <c r="AB259" i="5"/>
  <c r="AC259" i="5"/>
  <c r="I260" i="5"/>
  <c r="J260" i="5"/>
  <c r="K260" i="5"/>
  <c r="L260" i="5"/>
  <c r="M260" i="5"/>
  <c r="N260" i="5"/>
  <c r="O260" i="5"/>
  <c r="P260" i="5"/>
  <c r="Q260" i="5"/>
  <c r="R260" i="5"/>
  <c r="S260" i="5"/>
  <c r="T260" i="5"/>
  <c r="U260" i="5"/>
  <c r="V260" i="5"/>
  <c r="W260" i="5"/>
  <c r="X260" i="5"/>
  <c r="Y260" i="5"/>
  <c r="Z260" i="5"/>
  <c r="AA260" i="5"/>
  <c r="AB260" i="5"/>
  <c r="AC260" i="5"/>
  <c r="AD260" i="5"/>
  <c r="I263" i="5"/>
  <c r="J263" i="5"/>
  <c r="K263" i="5"/>
  <c r="L263" i="5"/>
  <c r="M263" i="5"/>
  <c r="N263" i="5"/>
  <c r="O263" i="5"/>
  <c r="P263" i="5"/>
  <c r="Q263" i="5"/>
  <c r="R263" i="5"/>
  <c r="S263" i="5"/>
  <c r="T263" i="5"/>
  <c r="U263" i="5"/>
  <c r="V263" i="5"/>
  <c r="W263" i="5"/>
  <c r="X263" i="5"/>
  <c r="Y263" i="5"/>
  <c r="Z263" i="5"/>
  <c r="AA263" i="5"/>
  <c r="AB263" i="5"/>
  <c r="AC263" i="5"/>
  <c r="I265" i="5"/>
  <c r="J265" i="5"/>
  <c r="K265" i="5"/>
  <c r="L265" i="5"/>
  <c r="M265" i="5"/>
  <c r="N265" i="5"/>
  <c r="O265" i="5"/>
  <c r="P265" i="5"/>
  <c r="Q265" i="5"/>
  <c r="R265" i="5"/>
  <c r="S265" i="5"/>
  <c r="T265" i="5"/>
  <c r="U265" i="5"/>
  <c r="V265" i="5"/>
  <c r="W265" i="5"/>
  <c r="X265" i="5"/>
  <c r="Y265" i="5"/>
  <c r="Z265" i="5"/>
  <c r="AA265" i="5"/>
  <c r="AB265" i="5"/>
  <c r="AC265" i="5"/>
  <c r="J266" i="5"/>
  <c r="K266" i="5"/>
  <c r="L266" i="5"/>
  <c r="M266" i="5"/>
  <c r="N266" i="5"/>
  <c r="O266" i="5"/>
  <c r="P266" i="5"/>
  <c r="Q266" i="5"/>
  <c r="R266" i="5"/>
  <c r="S266" i="5"/>
  <c r="T266" i="5"/>
  <c r="U266" i="5"/>
  <c r="V266" i="5"/>
  <c r="W266" i="5"/>
  <c r="X266" i="5"/>
  <c r="Y266" i="5"/>
  <c r="Z266" i="5"/>
  <c r="AA266" i="5"/>
  <c r="AB266" i="5"/>
  <c r="AC266" i="5"/>
  <c r="I267" i="5"/>
  <c r="J267" i="5"/>
  <c r="K267" i="5"/>
  <c r="L267" i="5"/>
  <c r="M267" i="5"/>
  <c r="N267" i="5"/>
  <c r="O267" i="5"/>
  <c r="P267" i="5"/>
  <c r="Q267" i="5"/>
  <c r="R267" i="5"/>
  <c r="S267" i="5"/>
  <c r="T267" i="5"/>
  <c r="U267" i="5"/>
  <c r="V267" i="5"/>
  <c r="W267" i="5"/>
  <c r="X267" i="5"/>
  <c r="Y267" i="5"/>
  <c r="Z267" i="5"/>
  <c r="AA267" i="5"/>
  <c r="AB267" i="5"/>
  <c r="AC267" i="5"/>
  <c r="B268" i="5"/>
  <c r="E268" i="5"/>
  <c r="F268" i="5"/>
  <c r="G268" i="5"/>
  <c r="H268" i="5"/>
  <c r="I268" i="5"/>
  <c r="J268" i="5"/>
  <c r="K268" i="5"/>
  <c r="L268" i="5"/>
  <c r="M268" i="5"/>
  <c r="N268" i="5"/>
  <c r="O268" i="5"/>
  <c r="P268" i="5"/>
  <c r="Q268" i="5"/>
  <c r="R268" i="5"/>
  <c r="S268" i="5"/>
  <c r="T268" i="5"/>
  <c r="U268" i="5"/>
  <c r="V268" i="5"/>
  <c r="W268" i="5"/>
  <c r="X268" i="5"/>
  <c r="Y268" i="5"/>
  <c r="Z268" i="5"/>
  <c r="AA268" i="5"/>
  <c r="AB268" i="5"/>
  <c r="AC268" i="5"/>
  <c r="J271" i="5"/>
  <c r="K271" i="5"/>
  <c r="L271" i="5"/>
  <c r="M271" i="5"/>
  <c r="N271" i="5"/>
  <c r="O271" i="5"/>
  <c r="P271" i="5"/>
  <c r="Q271" i="5"/>
  <c r="R271" i="5"/>
  <c r="S271" i="5"/>
  <c r="T271" i="5"/>
  <c r="U271" i="5"/>
  <c r="V271" i="5"/>
  <c r="W271" i="5"/>
  <c r="X271" i="5"/>
  <c r="Y271" i="5"/>
  <c r="Z271" i="5"/>
  <c r="AA271" i="5"/>
  <c r="AB271" i="5"/>
  <c r="AC271" i="5"/>
  <c r="I272" i="5"/>
  <c r="J272" i="5"/>
  <c r="K272" i="5"/>
  <c r="L272" i="5"/>
  <c r="M272" i="5"/>
  <c r="N272" i="5"/>
  <c r="O272" i="5"/>
  <c r="P272" i="5"/>
  <c r="Q272" i="5"/>
  <c r="R272" i="5"/>
  <c r="S272" i="5"/>
  <c r="T272" i="5"/>
  <c r="U272" i="5"/>
  <c r="V272" i="5"/>
  <c r="W272" i="5"/>
  <c r="X272" i="5"/>
  <c r="Y272" i="5"/>
  <c r="Z272" i="5"/>
  <c r="AA272" i="5"/>
  <c r="AB272" i="5"/>
  <c r="AC272" i="5"/>
  <c r="J273" i="5"/>
  <c r="K273" i="5"/>
  <c r="L273" i="5"/>
  <c r="M273" i="5"/>
  <c r="N273" i="5"/>
  <c r="O273" i="5"/>
  <c r="P273" i="5"/>
  <c r="Q273" i="5"/>
  <c r="R273" i="5"/>
  <c r="S273" i="5"/>
  <c r="T273" i="5"/>
  <c r="U273" i="5"/>
  <c r="V273" i="5"/>
  <c r="W273" i="5"/>
  <c r="X273" i="5"/>
  <c r="Y273" i="5"/>
  <c r="Z273" i="5"/>
  <c r="AA273" i="5"/>
  <c r="AB273" i="5"/>
  <c r="AC273" i="5"/>
  <c r="I274" i="5"/>
  <c r="J274" i="5"/>
  <c r="K274" i="5"/>
  <c r="L274" i="5"/>
  <c r="M274" i="5"/>
  <c r="N274" i="5"/>
  <c r="O274" i="5"/>
  <c r="P274" i="5"/>
  <c r="Q274" i="5"/>
  <c r="R274" i="5"/>
  <c r="S274" i="5"/>
  <c r="T274" i="5"/>
  <c r="U274" i="5"/>
  <c r="V274" i="5"/>
  <c r="W274" i="5"/>
  <c r="X274" i="5"/>
  <c r="Y274" i="5"/>
  <c r="Z274" i="5"/>
  <c r="AA274" i="5"/>
  <c r="AB274" i="5"/>
  <c r="AC274" i="5"/>
  <c r="I276" i="5"/>
  <c r="J276" i="5"/>
  <c r="K276" i="5"/>
  <c r="L276" i="5"/>
  <c r="M276" i="5"/>
  <c r="N276" i="5"/>
  <c r="O276" i="5"/>
  <c r="P276" i="5"/>
  <c r="Q276" i="5"/>
  <c r="R276" i="5"/>
  <c r="S276" i="5"/>
  <c r="T276" i="5"/>
  <c r="U276" i="5"/>
  <c r="V276" i="5"/>
  <c r="W276" i="5"/>
  <c r="X276" i="5"/>
  <c r="Y276" i="5"/>
  <c r="Z276" i="5"/>
  <c r="AA276" i="5"/>
  <c r="AB276" i="5"/>
  <c r="AC276" i="5"/>
  <c r="I278" i="5"/>
  <c r="J278" i="5"/>
  <c r="K278" i="5"/>
  <c r="L278" i="5"/>
  <c r="M278" i="5"/>
  <c r="N278" i="5"/>
  <c r="O278" i="5"/>
  <c r="P278" i="5"/>
  <c r="Q278" i="5"/>
  <c r="R278" i="5"/>
  <c r="S278" i="5"/>
  <c r="T278" i="5"/>
  <c r="U278" i="5"/>
  <c r="V278" i="5"/>
  <c r="W278" i="5"/>
  <c r="X278" i="5"/>
  <c r="Y278" i="5"/>
  <c r="Z278" i="5"/>
  <c r="AA278" i="5"/>
  <c r="AB278" i="5"/>
  <c r="AC278" i="5"/>
  <c r="B279" i="5"/>
  <c r="E279" i="5"/>
  <c r="F279" i="5"/>
  <c r="G279" i="5"/>
  <c r="H279" i="5"/>
  <c r="I279" i="5"/>
  <c r="J279" i="5"/>
  <c r="K279" i="5"/>
  <c r="L279" i="5"/>
  <c r="M279" i="5"/>
  <c r="N279" i="5"/>
  <c r="O279" i="5"/>
  <c r="P279" i="5"/>
  <c r="Q279" i="5"/>
  <c r="R279" i="5"/>
  <c r="S279" i="5"/>
  <c r="T279" i="5"/>
  <c r="U279" i="5"/>
  <c r="V279" i="5"/>
  <c r="W279" i="5"/>
  <c r="X279" i="5"/>
  <c r="Y279" i="5"/>
  <c r="Z279" i="5"/>
  <c r="AA279" i="5"/>
  <c r="AB279" i="5"/>
  <c r="AC279" i="5"/>
  <c r="A281" i="5"/>
  <c r="E281" i="5"/>
  <c r="F281" i="5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T281" i="5"/>
  <c r="U281" i="5"/>
  <c r="V281" i="5"/>
  <c r="W281" i="5"/>
  <c r="X281" i="5"/>
  <c r="Y281" i="5"/>
  <c r="Z281" i="5"/>
  <c r="AA281" i="5"/>
  <c r="AB281" i="5"/>
  <c r="AC281" i="5"/>
  <c r="I285" i="5"/>
  <c r="J285" i="5"/>
  <c r="K285" i="5"/>
  <c r="L285" i="5"/>
  <c r="M285" i="5"/>
  <c r="N285" i="5"/>
  <c r="O285" i="5"/>
  <c r="P285" i="5"/>
  <c r="Q285" i="5"/>
  <c r="R285" i="5"/>
  <c r="S285" i="5"/>
  <c r="T285" i="5"/>
  <c r="U285" i="5"/>
  <c r="V285" i="5"/>
  <c r="W285" i="5"/>
  <c r="X285" i="5"/>
  <c r="Y285" i="5"/>
  <c r="Z285" i="5"/>
  <c r="AA285" i="5"/>
  <c r="AB285" i="5"/>
  <c r="AC285" i="5"/>
  <c r="H289" i="5"/>
  <c r="I291" i="5"/>
  <c r="J291" i="5"/>
  <c r="K291" i="5"/>
  <c r="L291" i="5"/>
  <c r="M291" i="5"/>
  <c r="N291" i="5"/>
  <c r="O291" i="5"/>
  <c r="P291" i="5"/>
  <c r="Q291" i="5"/>
  <c r="R291" i="5"/>
  <c r="S291" i="5"/>
  <c r="T291" i="5"/>
  <c r="U291" i="5"/>
  <c r="V291" i="5"/>
  <c r="W291" i="5"/>
  <c r="X291" i="5"/>
  <c r="Y291" i="5"/>
  <c r="Z291" i="5"/>
  <c r="AA291" i="5"/>
  <c r="AB291" i="5"/>
  <c r="AC291" i="5"/>
  <c r="I293" i="5"/>
  <c r="J293" i="5"/>
  <c r="K293" i="5"/>
  <c r="L293" i="5"/>
  <c r="M293" i="5"/>
  <c r="N293" i="5"/>
  <c r="O293" i="5"/>
  <c r="P293" i="5"/>
  <c r="Q293" i="5"/>
  <c r="R293" i="5"/>
  <c r="S293" i="5"/>
  <c r="T293" i="5"/>
  <c r="U293" i="5"/>
  <c r="V293" i="5"/>
  <c r="W293" i="5"/>
  <c r="X293" i="5"/>
  <c r="Y293" i="5"/>
  <c r="Z293" i="5"/>
  <c r="AA293" i="5"/>
  <c r="AB293" i="5"/>
  <c r="AC293" i="5"/>
  <c r="H298" i="5"/>
  <c r="I300" i="5"/>
  <c r="J300" i="5"/>
  <c r="K300" i="5"/>
  <c r="L300" i="5"/>
  <c r="M300" i="5"/>
  <c r="N300" i="5"/>
  <c r="O300" i="5"/>
  <c r="P300" i="5"/>
  <c r="Q300" i="5"/>
  <c r="R300" i="5"/>
  <c r="S300" i="5"/>
  <c r="T300" i="5"/>
  <c r="U300" i="5"/>
  <c r="V300" i="5"/>
  <c r="W300" i="5"/>
  <c r="X300" i="5"/>
  <c r="Y300" i="5"/>
  <c r="Z300" i="5"/>
  <c r="AA300" i="5"/>
  <c r="AB300" i="5"/>
  <c r="AC300" i="5"/>
  <c r="A303" i="5"/>
  <c r="I303" i="5"/>
  <c r="J303" i="5"/>
  <c r="K303" i="5"/>
  <c r="L303" i="5"/>
  <c r="M303" i="5"/>
  <c r="N303" i="5"/>
  <c r="O303" i="5"/>
  <c r="P303" i="5"/>
  <c r="Q303" i="5"/>
  <c r="R303" i="5"/>
  <c r="S303" i="5"/>
  <c r="T303" i="5"/>
  <c r="U303" i="5"/>
  <c r="V303" i="5"/>
  <c r="W303" i="5"/>
  <c r="X303" i="5"/>
  <c r="Y303" i="5"/>
  <c r="Z303" i="5"/>
  <c r="AA303" i="5"/>
  <c r="AB303" i="5"/>
  <c r="AC303" i="5"/>
  <c r="A304" i="5"/>
  <c r="E304" i="5"/>
  <c r="F304" i="5"/>
  <c r="G304" i="5"/>
  <c r="H304" i="5"/>
  <c r="I304" i="5"/>
  <c r="J304" i="5"/>
  <c r="K304" i="5"/>
  <c r="L304" i="5"/>
  <c r="M304" i="5"/>
  <c r="N304" i="5"/>
  <c r="O304" i="5"/>
  <c r="P304" i="5"/>
  <c r="Q304" i="5"/>
  <c r="R304" i="5"/>
  <c r="S304" i="5"/>
  <c r="T304" i="5"/>
  <c r="U304" i="5"/>
  <c r="V304" i="5"/>
  <c r="W304" i="5"/>
  <c r="X304" i="5"/>
  <c r="Y304" i="5"/>
  <c r="Z304" i="5"/>
  <c r="AA304" i="5"/>
  <c r="AB304" i="5"/>
  <c r="AC304" i="5"/>
  <c r="E309" i="5"/>
  <c r="F309" i="5"/>
  <c r="G309" i="5"/>
  <c r="H309" i="5"/>
  <c r="I309" i="5"/>
  <c r="J309" i="5"/>
  <c r="K309" i="5"/>
  <c r="L309" i="5"/>
  <c r="M309" i="5"/>
  <c r="N309" i="5"/>
  <c r="O309" i="5"/>
  <c r="P309" i="5"/>
  <c r="Q309" i="5"/>
  <c r="R309" i="5"/>
  <c r="S309" i="5"/>
  <c r="T309" i="5"/>
  <c r="U309" i="5"/>
  <c r="V309" i="5"/>
  <c r="W309" i="5"/>
  <c r="X309" i="5"/>
  <c r="Y309" i="5"/>
  <c r="Z309" i="5"/>
  <c r="AA309" i="5"/>
  <c r="AB309" i="5"/>
  <c r="AC309" i="5"/>
  <c r="A310" i="5"/>
  <c r="I313" i="5"/>
  <c r="J313" i="5"/>
  <c r="K313" i="5"/>
  <c r="L313" i="5"/>
  <c r="M313" i="5"/>
  <c r="N313" i="5"/>
  <c r="O313" i="5"/>
  <c r="P313" i="5"/>
  <c r="Q313" i="5"/>
  <c r="R313" i="5"/>
  <c r="S313" i="5"/>
  <c r="T313" i="5"/>
  <c r="U313" i="5"/>
  <c r="V313" i="5"/>
  <c r="W313" i="5"/>
  <c r="X313" i="5"/>
  <c r="Y313" i="5"/>
  <c r="Z313" i="5"/>
  <c r="AA313" i="5"/>
  <c r="AB313" i="5"/>
  <c r="AC313" i="5"/>
  <c r="J314" i="5"/>
  <c r="K314" i="5"/>
  <c r="L314" i="5"/>
  <c r="M314" i="5"/>
  <c r="N314" i="5"/>
  <c r="O314" i="5"/>
  <c r="P314" i="5"/>
  <c r="Q314" i="5"/>
  <c r="R314" i="5"/>
  <c r="S314" i="5"/>
  <c r="T314" i="5"/>
  <c r="U314" i="5"/>
  <c r="V314" i="5"/>
  <c r="W314" i="5"/>
  <c r="X314" i="5"/>
  <c r="Y314" i="5"/>
  <c r="Z314" i="5"/>
  <c r="AA314" i="5"/>
  <c r="AB314" i="5"/>
  <c r="AC314" i="5"/>
  <c r="I315" i="5"/>
  <c r="J315" i="5"/>
  <c r="K315" i="5"/>
  <c r="L315" i="5"/>
  <c r="M315" i="5"/>
  <c r="N315" i="5"/>
  <c r="O315" i="5"/>
  <c r="P315" i="5"/>
  <c r="Q315" i="5"/>
  <c r="R315" i="5"/>
  <c r="S315" i="5"/>
  <c r="T315" i="5"/>
  <c r="U315" i="5"/>
  <c r="V315" i="5"/>
  <c r="W315" i="5"/>
  <c r="X315" i="5"/>
  <c r="Y315" i="5"/>
  <c r="Z315" i="5"/>
  <c r="AA315" i="5"/>
  <c r="AB315" i="5"/>
  <c r="AC315" i="5"/>
  <c r="J316" i="5"/>
  <c r="K316" i="5"/>
  <c r="L316" i="5"/>
  <c r="M316" i="5"/>
  <c r="N316" i="5"/>
  <c r="O316" i="5"/>
  <c r="P316" i="5"/>
  <c r="Q316" i="5"/>
  <c r="R316" i="5"/>
  <c r="S316" i="5"/>
  <c r="T316" i="5"/>
  <c r="U316" i="5"/>
  <c r="V316" i="5"/>
  <c r="W316" i="5"/>
  <c r="X316" i="5"/>
  <c r="Y316" i="5"/>
  <c r="Z316" i="5"/>
  <c r="AA316" i="5"/>
  <c r="AB316" i="5"/>
  <c r="AC316" i="5"/>
  <c r="I317" i="5"/>
  <c r="J317" i="5"/>
  <c r="K317" i="5"/>
  <c r="L317" i="5"/>
  <c r="M317" i="5"/>
  <c r="N317" i="5"/>
  <c r="O317" i="5"/>
  <c r="P317" i="5"/>
  <c r="Q317" i="5"/>
  <c r="R317" i="5"/>
  <c r="S317" i="5"/>
  <c r="T317" i="5"/>
  <c r="U317" i="5"/>
  <c r="V317" i="5"/>
  <c r="W317" i="5"/>
  <c r="X317" i="5"/>
  <c r="Y317" i="5"/>
  <c r="Z317" i="5"/>
  <c r="AA317" i="5"/>
  <c r="AB317" i="5"/>
  <c r="AC317" i="5"/>
  <c r="AD317" i="5"/>
  <c r="I319" i="5"/>
  <c r="J319" i="5"/>
  <c r="K319" i="5"/>
  <c r="L319" i="5"/>
  <c r="M319" i="5"/>
  <c r="N319" i="5"/>
  <c r="O319" i="5"/>
  <c r="P319" i="5"/>
  <c r="Q319" i="5"/>
  <c r="R319" i="5"/>
  <c r="S319" i="5"/>
  <c r="T319" i="5"/>
  <c r="U319" i="5"/>
  <c r="V319" i="5"/>
  <c r="W319" i="5"/>
  <c r="X319" i="5"/>
  <c r="Y319" i="5"/>
  <c r="Z319" i="5"/>
  <c r="AA319" i="5"/>
  <c r="AB319" i="5"/>
  <c r="AC319" i="5"/>
  <c r="J320" i="5"/>
  <c r="K320" i="5"/>
  <c r="L320" i="5"/>
  <c r="M320" i="5"/>
  <c r="N320" i="5"/>
  <c r="O320" i="5"/>
  <c r="P320" i="5"/>
  <c r="Q320" i="5"/>
  <c r="R320" i="5"/>
  <c r="S320" i="5"/>
  <c r="T320" i="5"/>
  <c r="U320" i="5"/>
  <c r="V320" i="5"/>
  <c r="W320" i="5"/>
  <c r="X320" i="5"/>
  <c r="Y320" i="5"/>
  <c r="Z320" i="5"/>
  <c r="AA320" i="5"/>
  <c r="AB320" i="5"/>
  <c r="AC320" i="5"/>
  <c r="I321" i="5"/>
  <c r="J321" i="5"/>
  <c r="K321" i="5"/>
  <c r="L321" i="5"/>
  <c r="M321" i="5"/>
  <c r="N321" i="5"/>
  <c r="O321" i="5"/>
  <c r="P321" i="5"/>
  <c r="Q321" i="5"/>
  <c r="R321" i="5"/>
  <c r="S321" i="5"/>
  <c r="T321" i="5"/>
  <c r="U321" i="5"/>
  <c r="V321" i="5"/>
  <c r="W321" i="5"/>
  <c r="X321" i="5"/>
  <c r="Y321" i="5"/>
  <c r="Z321" i="5"/>
  <c r="AA321" i="5"/>
  <c r="AB321" i="5"/>
  <c r="AC321" i="5"/>
  <c r="B322" i="5"/>
  <c r="I322" i="5"/>
  <c r="J322" i="5"/>
  <c r="K322" i="5"/>
  <c r="L322" i="5"/>
  <c r="M322" i="5"/>
  <c r="N322" i="5"/>
  <c r="O322" i="5"/>
  <c r="P322" i="5"/>
  <c r="Q322" i="5"/>
  <c r="R322" i="5"/>
  <c r="S322" i="5"/>
  <c r="T322" i="5"/>
  <c r="U322" i="5"/>
  <c r="V322" i="5"/>
  <c r="W322" i="5"/>
  <c r="X322" i="5"/>
  <c r="Y322" i="5"/>
  <c r="Z322" i="5"/>
  <c r="AA322" i="5"/>
  <c r="AB322" i="5"/>
  <c r="AC322" i="5"/>
  <c r="I326" i="5"/>
  <c r="J326" i="5"/>
  <c r="K326" i="5"/>
  <c r="L326" i="5"/>
  <c r="M326" i="5"/>
  <c r="N326" i="5"/>
  <c r="O326" i="5"/>
  <c r="P326" i="5"/>
  <c r="Q326" i="5"/>
  <c r="R326" i="5"/>
  <c r="S326" i="5"/>
  <c r="T326" i="5"/>
  <c r="U326" i="5"/>
  <c r="V326" i="5"/>
  <c r="W326" i="5"/>
  <c r="X326" i="5"/>
  <c r="Y326" i="5"/>
  <c r="Z326" i="5"/>
  <c r="AA326" i="5"/>
  <c r="AB326" i="5"/>
  <c r="AC326" i="5"/>
  <c r="J327" i="5"/>
  <c r="K327" i="5"/>
  <c r="L327" i="5"/>
  <c r="M327" i="5"/>
  <c r="N327" i="5"/>
  <c r="O327" i="5"/>
  <c r="P327" i="5"/>
  <c r="Q327" i="5"/>
  <c r="R327" i="5"/>
  <c r="S327" i="5"/>
  <c r="T327" i="5"/>
  <c r="U327" i="5"/>
  <c r="V327" i="5"/>
  <c r="W327" i="5"/>
  <c r="X327" i="5"/>
  <c r="Y327" i="5"/>
  <c r="Z327" i="5"/>
  <c r="AA327" i="5"/>
  <c r="AB327" i="5"/>
  <c r="AC327" i="5"/>
  <c r="I328" i="5"/>
  <c r="J328" i="5"/>
  <c r="K328" i="5"/>
  <c r="L328" i="5"/>
  <c r="M328" i="5"/>
  <c r="N328" i="5"/>
  <c r="O328" i="5"/>
  <c r="P328" i="5"/>
  <c r="Q328" i="5"/>
  <c r="R328" i="5"/>
  <c r="S328" i="5"/>
  <c r="T328" i="5"/>
  <c r="U328" i="5"/>
  <c r="V328" i="5"/>
  <c r="W328" i="5"/>
  <c r="X328" i="5"/>
  <c r="Y328" i="5"/>
  <c r="Z328" i="5"/>
  <c r="AA328" i="5"/>
  <c r="AB328" i="5"/>
  <c r="AC328" i="5"/>
  <c r="J329" i="5"/>
  <c r="K329" i="5"/>
  <c r="L329" i="5"/>
  <c r="M329" i="5"/>
  <c r="N329" i="5"/>
  <c r="O329" i="5"/>
  <c r="P329" i="5"/>
  <c r="Q329" i="5"/>
  <c r="R329" i="5"/>
  <c r="S329" i="5"/>
  <c r="T329" i="5"/>
  <c r="U329" i="5"/>
  <c r="V329" i="5"/>
  <c r="W329" i="5"/>
  <c r="X329" i="5"/>
  <c r="Y329" i="5"/>
  <c r="Z329" i="5"/>
  <c r="AA329" i="5"/>
  <c r="AB329" i="5"/>
  <c r="AC329" i="5"/>
  <c r="I330" i="5"/>
  <c r="J330" i="5"/>
  <c r="K330" i="5"/>
  <c r="L330" i="5"/>
  <c r="M330" i="5"/>
  <c r="N330" i="5"/>
  <c r="O330" i="5"/>
  <c r="P330" i="5"/>
  <c r="Q330" i="5"/>
  <c r="R330" i="5"/>
  <c r="S330" i="5"/>
  <c r="T330" i="5"/>
  <c r="U330" i="5"/>
  <c r="V330" i="5"/>
  <c r="W330" i="5"/>
  <c r="X330" i="5"/>
  <c r="Y330" i="5"/>
  <c r="Z330" i="5"/>
  <c r="AA330" i="5"/>
  <c r="AB330" i="5"/>
  <c r="AC330" i="5"/>
  <c r="AD330" i="5"/>
  <c r="I333" i="5"/>
  <c r="J333" i="5"/>
  <c r="K333" i="5"/>
  <c r="L333" i="5"/>
  <c r="M333" i="5"/>
  <c r="N333" i="5"/>
  <c r="O333" i="5"/>
  <c r="P333" i="5"/>
  <c r="Q333" i="5"/>
  <c r="R333" i="5"/>
  <c r="S333" i="5"/>
  <c r="T333" i="5"/>
  <c r="U333" i="5"/>
  <c r="V333" i="5"/>
  <c r="W333" i="5"/>
  <c r="X333" i="5"/>
  <c r="Y333" i="5"/>
  <c r="Z333" i="5"/>
  <c r="AA333" i="5"/>
  <c r="AB333" i="5"/>
  <c r="AC333" i="5"/>
  <c r="I335" i="5"/>
  <c r="J335" i="5"/>
  <c r="K335" i="5"/>
  <c r="L335" i="5"/>
  <c r="M335" i="5"/>
  <c r="N335" i="5"/>
  <c r="O335" i="5"/>
  <c r="P335" i="5"/>
  <c r="Q335" i="5"/>
  <c r="R335" i="5"/>
  <c r="S335" i="5"/>
  <c r="T335" i="5"/>
  <c r="U335" i="5"/>
  <c r="V335" i="5"/>
  <c r="W335" i="5"/>
  <c r="X335" i="5"/>
  <c r="Y335" i="5"/>
  <c r="Z335" i="5"/>
  <c r="AA335" i="5"/>
  <c r="AB335" i="5"/>
  <c r="AC335" i="5"/>
  <c r="J336" i="5"/>
  <c r="K336" i="5"/>
  <c r="L336" i="5"/>
  <c r="M336" i="5"/>
  <c r="N336" i="5"/>
  <c r="O336" i="5"/>
  <c r="P336" i="5"/>
  <c r="Q336" i="5"/>
  <c r="R336" i="5"/>
  <c r="S336" i="5"/>
  <c r="T336" i="5"/>
  <c r="U336" i="5"/>
  <c r="V336" i="5"/>
  <c r="W336" i="5"/>
  <c r="X336" i="5"/>
  <c r="Y336" i="5"/>
  <c r="Z336" i="5"/>
  <c r="AA336" i="5"/>
  <c r="AB336" i="5"/>
  <c r="AC336" i="5"/>
  <c r="I337" i="5"/>
  <c r="J337" i="5"/>
  <c r="K337" i="5"/>
  <c r="L337" i="5"/>
  <c r="M337" i="5"/>
  <c r="N337" i="5"/>
  <c r="O337" i="5"/>
  <c r="P337" i="5"/>
  <c r="Q337" i="5"/>
  <c r="R337" i="5"/>
  <c r="S337" i="5"/>
  <c r="T337" i="5"/>
  <c r="U337" i="5"/>
  <c r="V337" i="5"/>
  <c r="W337" i="5"/>
  <c r="X337" i="5"/>
  <c r="Y337" i="5"/>
  <c r="Z337" i="5"/>
  <c r="AA337" i="5"/>
  <c r="AB337" i="5"/>
  <c r="AC337" i="5"/>
  <c r="B338" i="5"/>
  <c r="I338" i="5"/>
  <c r="J338" i="5"/>
  <c r="K338" i="5"/>
  <c r="L338" i="5"/>
  <c r="M338" i="5"/>
  <c r="N338" i="5"/>
  <c r="O338" i="5"/>
  <c r="P338" i="5"/>
  <c r="Q338" i="5"/>
  <c r="R338" i="5"/>
  <c r="S338" i="5"/>
  <c r="T338" i="5"/>
  <c r="U338" i="5"/>
  <c r="V338" i="5"/>
  <c r="W338" i="5"/>
  <c r="X338" i="5"/>
  <c r="Y338" i="5"/>
  <c r="Z338" i="5"/>
  <c r="AA338" i="5"/>
  <c r="AB338" i="5"/>
  <c r="AC338" i="5"/>
  <c r="J341" i="5"/>
  <c r="K341" i="5"/>
  <c r="L341" i="5"/>
  <c r="M341" i="5"/>
  <c r="N341" i="5"/>
  <c r="O341" i="5"/>
  <c r="P341" i="5"/>
  <c r="Q341" i="5"/>
  <c r="R341" i="5"/>
  <c r="S341" i="5"/>
  <c r="T341" i="5"/>
  <c r="U341" i="5"/>
  <c r="V341" i="5"/>
  <c r="W341" i="5"/>
  <c r="X341" i="5"/>
  <c r="Y341" i="5"/>
  <c r="Z341" i="5"/>
  <c r="AA341" i="5"/>
  <c r="AB341" i="5"/>
  <c r="AC341" i="5"/>
  <c r="I342" i="5"/>
  <c r="J342" i="5"/>
  <c r="K342" i="5"/>
  <c r="L342" i="5"/>
  <c r="M342" i="5"/>
  <c r="N342" i="5"/>
  <c r="O342" i="5"/>
  <c r="P342" i="5"/>
  <c r="Q342" i="5"/>
  <c r="R342" i="5"/>
  <c r="S342" i="5"/>
  <c r="T342" i="5"/>
  <c r="U342" i="5"/>
  <c r="V342" i="5"/>
  <c r="W342" i="5"/>
  <c r="X342" i="5"/>
  <c r="Y342" i="5"/>
  <c r="Z342" i="5"/>
  <c r="AA342" i="5"/>
  <c r="AB342" i="5"/>
  <c r="AC342" i="5"/>
  <c r="J343" i="5"/>
  <c r="K343" i="5"/>
  <c r="L343" i="5"/>
  <c r="M343" i="5"/>
  <c r="N343" i="5"/>
  <c r="O343" i="5"/>
  <c r="P343" i="5"/>
  <c r="Q343" i="5"/>
  <c r="R343" i="5"/>
  <c r="S343" i="5"/>
  <c r="T343" i="5"/>
  <c r="U343" i="5"/>
  <c r="V343" i="5"/>
  <c r="W343" i="5"/>
  <c r="X343" i="5"/>
  <c r="Y343" i="5"/>
  <c r="Z343" i="5"/>
  <c r="AA343" i="5"/>
  <c r="AB343" i="5"/>
  <c r="AC343" i="5"/>
  <c r="I344" i="5"/>
  <c r="J344" i="5"/>
  <c r="K344" i="5"/>
  <c r="L344" i="5"/>
  <c r="M344" i="5"/>
  <c r="N344" i="5"/>
  <c r="O344" i="5"/>
  <c r="P344" i="5"/>
  <c r="Q344" i="5"/>
  <c r="R344" i="5"/>
  <c r="S344" i="5"/>
  <c r="T344" i="5"/>
  <c r="U344" i="5"/>
  <c r="V344" i="5"/>
  <c r="W344" i="5"/>
  <c r="X344" i="5"/>
  <c r="Y344" i="5"/>
  <c r="Z344" i="5"/>
  <c r="AA344" i="5"/>
  <c r="AB344" i="5"/>
  <c r="AC344" i="5"/>
  <c r="I346" i="5"/>
  <c r="J346" i="5"/>
  <c r="K346" i="5"/>
  <c r="L346" i="5"/>
  <c r="M346" i="5"/>
  <c r="N346" i="5"/>
  <c r="O346" i="5"/>
  <c r="P346" i="5"/>
  <c r="Q346" i="5"/>
  <c r="R346" i="5"/>
  <c r="S346" i="5"/>
  <c r="T346" i="5"/>
  <c r="U346" i="5"/>
  <c r="V346" i="5"/>
  <c r="W346" i="5"/>
  <c r="X346" i="5"/>
  <c r="Y346" i="5"/>
  <c r="Z346" i="5"/>
  <c r="AA346" i="5"/>
  <c r="AB346" i="5"/>
  <c r="AC346" i="5"/>
  <c r="I348" i="5"/>
  <c r="J348" i="5"/>
  <c r="K348" i="5"/>
  <c r="L348" i="5"/>
  <c r="M348" i="5"/>
  <c r="N348" i="5"/>
  <c r="O348" i="5"/>
  <c r="P348" i="5"/>
  <c r="Q348" i="5"/>
  <c r="R348" i="5"/>
  <c r="S348" i="5"/>
  <c r="T348" i="5"/>
  <c r="U348" i="5"/>
  <c r="V348" i="5"/>
  <c r="W348" i="5"/>
  <c r="X348" i="5"/>
  <c r="Y348" i="5"/>
  <c r="Z348" i="5"/>
  <c r="AA348" i="5"/>
  <c r="AB348" i="5"/>
  <c r="AC348" i="5"/>
  <c r="I349" i="5"/>
  <c r="J349" i="5"/>
  <c r="K349" i="5"/>
  <c r="L349" i="5"/>
  <c r="M349" i="5"/>
  <c r="N349" i="5"/>
  <c r="O349" i="5"/>
  <c r="P349" i="5"/>
  <c r="Q349" i="5"/>
  <c r="R349" i="5"/>
  <c r="S349" i="5"/>
  <c r="T349" i="5"/>
  <c r="U349" i="5"/>
  <c r="V349" i="5"/>
  <c r="W349" i="5"/>
  <c r="X349" i="5"/>
  <c r="Y349" i="5"/>
  <c r="Z349" i="5"/>
  <c r="AA349" i="5"/>
  <c r="AB349" i="5"/>
  <c r="AC349" i="5"/>
  <c r="A351" i="5"/>
  <c r="H351" i="5"/>
  <c r="I351" i="5"/>
  <c r="J351" i="5"/>
  <c r="K351" i="5"/>
  <c r="L351" i="5"/>
  <c r="M351" i="5"/>
  <c r="N351" i="5"/>
  <c r="O351" i="5"/>
  <c r="P351" i="5"/>
  <c r="Q351" i="5"/>
  <c r="R351" i="5"/>
  <c r="S351" i="5"/>
  <c r="T351" i="5"/>
  <c r="U351" i="5"/>
  <c r="V351" i="5"/>
  <c r="W351" i="5"/>
  <c r="X351" i="5"/>
  <c r="Y351" i="5"/>
  <c r="Z351" i="5"/>
  <c r="AA351" i="5"/>
  <c r="AB351" i="5"/>
  <c r="AC351" i="5"/>
  <c r="I355" i="5"/>
  <c r="J355" i="5"/>
  <c r="K355" i="5"/>
  <c r="L355" i="5"/>
  <c r="M355" i="5"/>
  <c r="N355" i="5"/>
  <c r="O355" i="5"/>
  <c r="P355" i="5"/>
  <c r="Q355" i="5"/>
  <c r="R355" i="5"/>
  <c r="S355" i="5"/>
  <c r="T355" i="5"/>
  <c r="U355" i="5"/>
  <c r="V355" i="5"/>
  <c r="W355" i="5"/>
  <c r="X355" i="5"/>
  <c r="Y355" i="5"/>
  <c r="Z355" i="5"/>
  <c r="AA355" i="5"/>
  <c r="AB355" i="5"/>
  <c r="AC355" i="5"/>
  <c r="H359" i="5"/>
  <c r="I361" i="5"/>
  <c r="J361" i="5"/>
  <c r="K361" i="5"/>
  <c r="L361" i="5"/>
  <c r="M361" i="5"/>
  <c r="N361" i="5"/>
  <c r="O361" i="5"/>
  <c r="P361" i="5"/>
  <c r="Q361" i="5"/>
  <c r="R361" i="5"/>
  <c r="S361" i="5"/>
  <c r="T361" i="5"/>
  <c r="U361" i="5"/>
  <c r="V361" i="5"/>
  <c r="W361" i="5"/>
  <c r="X361" i="5"/>
  <c r="Y361" i="5"/>
  <c r="Z361" i="5"/>
  <c r="AA361" i="5"/>
  <c r="AB361" i="5"/>
  <c r="AC361" i="5"/>
  <c r="I363" i="5"/>
  <c r="J363" i="5"/>
  <c r="K363" i="5"/>
  <c r="L363" i="5"/>
  <c r="M363" i="5"/>
  <c r="N363" i="5"/>
  <c r="O363" i="5"/>
  <c r="P363" i="5"/>
  <c r="Q363" i="5"/>
  <c r="R363" i="5"/>
  <c r="S363" i="5"/>
  <c r="T363" i="5"/>
  <c r="U363" i="5"/>
  <c r="V363" i="5"/>
  <c r="W363" i="5"/>
  <c r="X363" i="5"/>
  <c r="Y363" i="5"/>
  <c r="Z363" i="5"/>
  <c r="AA363" i="5"/>
  <c r="AB363" i="5"/>
  <c r="AC363" i="5"/>
  <c r="H368" i="5"/>
  <c r="I370" i="5"/>
  <c r="J370" i="5"/>
  <c r="K370" i="5"/>
  <c r="L370" i="5"/>
  <c r="M370" i="5"/>
  <c r="N370" i="5"/>
  <c r="O370" i="5"/>
  <c r="P370" i="5"/>
  <c r="Q370" i="5"/>
  <c r="R370" i="5"/>
  <c r="S370" i="5"/>
  <c r="T370" i="5"/>
  <c r="U370" i="5"/>
  <c r="V370" i="5"/>
  <c r="W370" i="5"/>
  <c r="X370" i="5"/>
  <c r="Y370" i="5"/>
  <c r="Z370" i="5"/>
  <c r="AA370" i="5"/>
  <c r="AB370" i="5"/>
  <c r="AC370" i="5"/>
  <c r="A373" i="5"/>
  <c r="I373" i="5"/>
  <c r="J373" i="5"/>
  <c r="K373" i="5"/>
  <c r="L373" i="5"/>
  <c r="M373" i="5"/>
  <c r="N373" i="5"/>
  <c r="O373" i="5"/>
  <c r="P373" i="5"/>
  <c r="Q373" i="5"/>
  <c r="R373" i="5"/>
  <c r="S373" i="5"/>
  <c r="T373" i="5"/>
  <c r="U373" i="5"/>
  <c r="V373" i="5"/>
  <c r="W373" i="5"/>
  <c r="X373" i="5"/>
  <c r="Y373" i="5"/>
  <c r="Z373" i="5"/>
  <c r="AA373" i="5"/>
  <c r="AB373" i="5"/>
  <c r="AC373" i="5"/>
  <c r="A374" i="5"/>
  <c r="E374" i="5"/>
  <c r="F374" i="5"/>
  <c r="G374" i="5"/>
  <c r="H374" i="5"/>
  <c r="I374" i="5"/>
  <c r="J374" i="5"/>
  <c r="K374" i="5"/>
  <c r="L374" i="5"/>
  <c r="M374" i="5"/>
  <c r="N374" i="5"/>
  <c r="O374" i="5"/>
  <c r="P374" i="5"/>
  <c r="Q374" i="5"/>
  <c r="R374" i="5"/>
  <c r="S374" i="5"/>
  <c r="T374" i="5"/>
  <c r="U374" i="5"/>
  <c r="V374" i="5"/>
  <c r="W374" i="5"/>
  <c r="X374" i="5"/>
  <c r="Y374" i="5"/>
  <c r="Z374" i="5"/>
  <c r="AA374" i="5"/>
  <c r="AB374" i="5"/>
  <c r="AC374" i="5"/>
  <c r="I377" i="5"/>
  <c r="J377" i="5"/>
  <c r="K377" i="5"/>
  <c r="L377" i="5"/>
  <c r="M377" i="5"/>
  <c r="N377" i="5"/>
  <c r="O377" i="5"/>
  <c r="P377" i="5"/>
  <c r="Q377" i="5"/>
  <c r="R377" i="5"/>
  <c r="S377" i="5"/>
  <c r="T377" i="5"/>
  <c r="U377" i="5"/>
  <c r="V377" i="5"/>
  <c r="W377" i="5"/>
  <c r="X377" i="5"/>
  <c r="Y377" i="5"/>
  <c r="Z377" i="5"/>
  <c r="AA377" i="5"/>
  <c r="AB377" i="5"/>
  <c r="AC377" i="5"/>
  <c r="A382" i="5"/>
  <c r="E382" i="5"/>
  <c r="F382" i="5"/>
  <c r="G382" i="5"/>
  <c r="H382" i="5"/>
  <c r="I382" i="5"/>
  <c r="J382" i="5"/>
  <c r="K382" i="5"/>
  <c r="L382" i="5"/>
  <c r="M382" i="5"/>
  <c r="N382" i="5"/>
  <c r="O382" i="5"/>
  <c r="P382" i="5"/>
  <c r="Q382" i="5"/>
  <c r="R382" i="5"/>
  <c r="S382" i="5"/>
  <c r="T382" i="5"/>
  <c r="U382" i="5"/>
  <c r="V382" i="5"/>
  <c r="W382" i="5"/>
  <c r="X382" i="5"/>
  <c r="Y382" i="5"/>
  <c r="Z382" i="5"/>
  <c r="AA382" i="5"/>
  <c r="AB382" i="5"/>
  <c r="AC382" i="5"/>
  <c r="A383" i="5"/>
  <c r="I386" i="5"/>
  <c r="J386" i="5"/>
  <c r="K386" i="5"/>
  <c r="L386" i="5"/>
  <c r="M386" i="5"/>
  <c r="N386" i="5"/>
  <c r="O386" i="5"/>
  <c r="P386" i="5"/>
  <c r="Q386" i="5"/>
  <c r="R386" i="5"/>
  <c r="S386" i="5"/>
  <c r="T386" i="5"/>
  <c r="U386" i="5"/>
  <c r="V386" i="5"/>
  <c r="W386" i="5"/>
  <c r="X386" i="5"/>
  <c r="Y386" i="5"/>
  <c r="Z386" i="5"/>
  <c r="AA386" i="5"/>
  <c r="AB386" i="5"/>
  <c r="AC386" i="5"/>
  <c r="J387" i="5"/>
  <c r="K387" i="5"/>
  <c r="L387" i="5"/>
  <c r="M387" i="5"/>
  <c r="N387" i="5"/>
  <c r="O387" i="5"/>
  <c r="P387" i="5"/>
  <c r="Q387" i="5"/>
  <c r="R387" i="5"/>
  <c r="S387" i="5"/>
  <c r="T387" i="5"/>
  <c r="U387" i="5"/>
  <c r="V387" i="5"/>
  <c r="W387" i="5"/>
  <c r="X387" i="5"/>
  <c r="Y387" i="5"/>
  <c r="Z387" i="5"/>
  <c r="AA387" i="5"/>
  <c r="AB387" i="5"/>
  <c r="AC387" i="5"/>
  <c r="I388" i="5"/>
  <c r="J388" i="5"/>
  <c r="K388" i="5"/>
  <c r="L388" i="5"/>
  <c r="M388" i="5"/>
  <c r="N388" i="5"/>
  <c r="O388" i="5"/>
  <c r="P388" i="5"/>
  <c r="Q388" i="5"/>
  <c r="R388" i="5"/>
  <c r="S388" i="5"/>
  <c r="T388" i="5"/>
  <c r="U388" i="5"/>
  <c r="V388" i="5"/>
  <c r="W388" i="5"/>
  <c r="X388" i="5"/>
  <c r="Y388" i="5"/>
  <c r="Z388" i="5"/>
  <c r="AA388" i="5"/>
  <c r="AB388" i="5"/>
  <c r="AC388" i="5"/>
  <c r="J389" i="5"/>
  <c r="K389" i="5"/>
  <c r="L389" i="5"/>
  <c r="M389" i="5"/>
  <c r="N389" i="5"/>
  <c r="O389" i="5"/>
  <c r="P389" i="5"/>
  <c r="Q389" i="5"/>
  <c r="R389" i="5"/>
  <c r="S389" i="5"/>
  <c r="T389" i="5"/>
  <c r="U389" i="5"/>
  <c r="V389" i="5"/>
  <c r="W389" i="5"/>
  <c r="X389" i="5"/>
  <c r="Y389" i="5"/>
  <c r="Z389" i="5"/>
  <c r="AA389" i="5"/>
  <c r="AB389" i="5"/>
  <c r="AC389" i="5"/>
  <c r="I390" i="5"/>
  <c r="J390" i="5"/>
  <c r="K390" i="5"/>
  <c r="L390" i="5"/>
  <c r="M390" i="5"/>
  <c r="N390" i="5"/>
  <c r="O390" i="5"/>
  <c r="P390" i="5"/>
  <c r="Q390" i="5"/>
  <c r="R390" i="5"/>
  <c r="S390" i="5"/>
  <c r="T390" i="5"/>
  <c r="U390" i="5"/>
  <c r="V390" i="5"/>
  <c r="W390" i="5"/>
  <c r="X390" i="5"/>
  <c r="Y390" i="5"/>
  <c r="Z390" i="5"/>
  <c r="AA390" i="5"/>
  <c r="AB390" i="5"/>
  <c r="AC390" i="5"/>
  <c r="AD390" i="5"/>
  <c r="I392" i="5"/>
  <c r="J392" i="5"/>
  <c r="K392" i="5"/>
  <c r="L392" i="5"/>
  <c r="M392" i="5"/>
  <c r="N392" i="5"/>
  <c r="O392" i="5"/>
  <c r="P392" i="5"/>
  <c r="Q392" i="5"/>
  <c r="R392" i="5"/>
  <c r="S392" i="5"/>
  <c r="T392" i="5"/>
  <c r="U392" i="5"/>
  <c r="V392" i="5"/>
  <c r="W392" i="5"/>
  <c r="X392" i="5"/>
  <c r="Y392" i="5"/>
  <c r="Z392" i="5"/>
  <c r="AA392" i="5"/>
  <c r="AB392" i="5"/>
  <c r="AC392" i="5"/>
  <c r="J393" i="5"/>
  <c r="K393" i="5"/>
  <c r="L393" i="5"/>
  <c r="M393" i="5"/>
  <c r="N393" i="5"/>
  <c r="O393" i="5"/>
  <c r="P393" i="5"/>
  <c r="Q393" i="5"/>
  <c r="R393" i="5"/>
  <c r="S393" i="5"/>
  <c r="T393" i="5"/>
  <c r="U393" i="5"/>
  <c r="V393" i="5"/>
  <c r="W393" i="5"/>
  <c r="X393" i="5"/>
  <c r="Y393" i="5"/>
  <c r="Z393" i="5"/>
  <c r="AA393" i="5"/>
  <c r="AB393" i="5"/>
  <c r="AC393" i="5"/>
  <c r="I394" i="5"/>
  <c r="J394" i="5"/>
  <c r="K394" i="5"/>
  <c r="L394" i="5"/>
  <c r="M394" i="5"/>
  <c r="N394" i="5"/>
  <c r="O394" i="5"/>
  <c r="P394" i="5"/>
  <c r="Q394" i="5"/>
  <c r="R394" i="5"/>
  <c r="S394" i="5"/>
  <c r="T394" i="5"/>
  <c r="U394" i="5"/>
  <c r="V394" i="5"/>
  <c r="W394" i="5"/>
  <c r="X394" i="5"/>
  <c r="Y394" i="5"/>
  <c r="Z394" i="5"/>
  <c r="AA394" i="5"/>
  <c r="AB394" i="5"/>
  <c r="AC394" i="5"/>
  <c r="B395" i="5"/>
  <c r="I395" i="5"/>
  <c r="J395" i="5"/>
  <c r="K395" i="5"/>
  <c r="L395" i="5"/>
  <c r="M395" i="5"/>
  <c r="N395" i="5"/>
  <c r="O395" i="5"/>
  <c r="P395" i="5"/>
  <c r="Q395" i="5"/>
  <c r="R395" i="5"/>
  <c r="S395" i="5"/>
  <c r="T395" i="5"/>
  <c r="U395" i="5"/>
  <c r="V395" i="5"/>
  <c r="W395" i="5"/>
  <c r="X395" i="5"/>
  <c r="Y395" i="5"/>
  <c r="Z395" i="5"/>
  <c r="AA395" i="5"/>
  <c r="AB395" i="5"/>
  <c r="AC395" i="5"/>
  <c r="I399" i="5"/>
  <c r="J399" i="5"/>
  <c r="K399" i="5"/>
  <c r="L399" i="5"/>
  <c r="M399" i="5"/>
  <c r="N399" i="5"/>
  <c r="O399" i="5"/>
  <c r="P399" i="5"/>
  <c r="Q399" i="5"/>
  <c r="R399" i="5"/>
  <c r="S399" i="5"/>
  <c r="T399" i="5"/>
  <c r="U399" i="5"/>
  <c r="V399" i="5"/>
  <c r="W399" i="5"/>
  <c r="X399" i="5"/>
  <c r="Y399" i="5"/>
  <c r="Z399" i="5"/>
  <c r="AA399" i="5"/>
  <c r="AB399" i="5"/>
  <c r="AC399" i="5"/>
  <c r="J400" i="5"/>
  <c r="K400" i="5"/>
  <c r="L400" i="5"/>
  <c r="M400" i="5"/>
  <c r="N400" i="5"/>
  <c r="O400" i="5"/>
  <c r="P400" i="5"/>
  <c r="Q400" i="5"/>
  <c r="R400" i="5"/>
  <c r="S400" i="5"/>
  <c r="T400" i="5"/>
  <c r="U400" i="5"/>
  <c r="V400" i="5"/>
  <c r="W400" i="5"/>
  <c r="X400" i="5"/>
  <c r="Y400" i="5"/>
  <c r="Z400" i="5"/>
  <c r="AA400" i="5"/>
  <c r="AB400" i="5"/>
  <c r="AC400" i="5"/>
  <c r="I401" i="5"/>
  <c r="J401" i="5"/>
  <c r="K401" i="5"/>
  <c r="L401" i="5"/>
  <c r="M401" i="5"/>
  <c r="N401" i="5"/>
  <c r="O401" i="5"/>
  <c r="P401" i="5"/>
  <c r="Q401" i="5"/>
  <c r="R401" i="5"/>
  <c r="S401" i="5"/>
  <c r="T401" i="5"/>
  <c r="U401" i="5"/>
  <c r="V401" i="5"/>
  <c r="W401" i="5"/>
  <c r="X401" i="5"/>
  <c r="Y401" i="5"/>
  <c r="Z401" i="5"/>
  <c r="AA401" i="5"/>
  <c r="AB401" i="5"/>
  <c r="AC401" i="5"/>
  <c r="J402" i="5"/>
  <c r="K402" i="5"/>
  <c r="L402" i="5"/>
  <c r="M402" i="5"/>
  <c r="N402" i="5"/>
  <c r="O402" i="5"/>
  <c r="P402" i="5"/>
  <c r="Q402" i="5"/>
  <c r="R402" i="5"/>
  <c r="S402" i="5"/>
  <c r="T402" i="5"/>
  <c r="U402" i="5"/>
  <c r="V402" i="5"/>
  <c r="W402" i="5"/>
  <c r="X402" i="5"/>
  <c r="Y402" i="5"/>
  <c r="Z402" i="5"/>
  <c r="AA402" i="5"/>
  <c r="AB402" i="5"/>
  <c r="AC402" i="5"/>
  <c r="I403" i="5"/>
  <c r="J403" i="5"/>
  <c r="K403" i="5"/>
  <c r="L403" i="5"/>
  <c r="M403" i="5"/>
  <c r="N403" i="5"/>
  <c r="O403" i="5"/>
  <c r="P403" i="5"/>
  <c r="Q403" i="5"/>
  <c r="R403" i="5"/>
  <c r="S403" i="5"/>
  <c r="T403" i="5"/>
  <c r="U403" i="5"/>
  <c r="V403" i="5"/>
  <c r="W403" i="5"/>
  <c r="X403" i="5"/>
  <c r="Y403" i="5"/>
  <c r="Z403" i="5"/>
  <c r="AA403" i="5"/>
  <c r="AB403" i="5"/>
  <c r="AC403" i="5"/>
  <c r="AD403" i="5"/>
  <c r="I406" i="5"/>
  <c r="J406" i="5"/>
  <c r="K406" i="5"/>
  <c r="L406" i="5"/>
  <c r="M406" i="5"/>
  <c r="N406" i="5"/>
  <c r="O406" i="5"/>
  <c r="P406" i="5"/>
  <c r="Q406" i="5"/>
  <c r="R406" i="5"/>
  <c r="S406" i="5"/>
  <c r="T406" i="5"/>
  <c r="U406" i="5"/>
  <c r="V406" i="5"/>
  <c r="W406" i="5"/>
  <c r="X406" i="5"/>
  <c r="Y406" i="5"/>
  <c r="Z406" i="5"/>
  <c r="AA406" i="5"/>
  <c r="AB406" i="5"/>
  <c r="AC406" i="5"/>
  <c r="I408" i="5"/>
  <c r="J408" i="5"/>
  <c r="K408" i="5"/>
  <c r="L408" i="5"/>
  <c r="M408" i="5"/>
  <c r="N408" i="5"/>
  <c r="O408" i="5"/>
  <c r="P408" i="5"/>
  <c r="Q408" i="5"/>
  <c r="R408" i="5"/>
  <c r="S408" i="5"/>
  <c r="T408" i="5"/>
  <c r="U408" i="5"/>
  <c r="V408" i="5"/>
  <c r="W408" i="5"/>
  <c r="X408" i="5"/>
  <c r="Y408" i="5"/>
  <c r="Z408" i="5"/>
  <c r="AA408" i="5"/>
  <c r="AB408" i="5"/>
  <c r="AC408" i="5"/>
  <c r="I409" i="5"/>
  <c r="J409" i="5"/>
  <c r="K409" i="5"/>
  <c r="L409" i="5"/>
  <c r="M409" i="5"/>
  <c r="N409" i="5"/>
  <c r="O409" i="5"/>
  <c r="P409" i="5"/>
  <c r="Q409" i="5"/>
  <c r="R409" i="5"/>
  <c r="S409" i="5"/>
  <c r="T409" i="5"/>
  <c r="U409" i="5"/>
  <c r="V409" i="5"/>
  <c r="W409" i="5"/>
  <c r="X409" i="5"/>
  <c r="Y409" i="5"/>
  <c r="Z409" i="5"/>
  <c r="AA409" i="5"/>
  <c r="AB409" i="5"/>
  <c r="AC409" i="5"/>
  <c r="I410" i="5"/>
  <c r="J410" i="5"/>
  <c r="K410" i="5"/>
  <c r="L410" i="5"/>
  <c r="M410" i="5"/>
  <c r="N410" i="5"/>
  <c r="O410" i="5"/>
  <c r="P410" i="5"/>
  <c r="Q410" i="5"/>
  <c r="R410" i="5"/>
  <c r="S410" i="5"/>
  <c r="T410" i="5"/>
  <c r="U410" i="5"/>
  <c r="V410" i="5"/>
  <c r="W410" i="5"/>
  <c r="X410" i="5"/>
  <c r="Y410" i="5"/>
  <c r="Z410" i="5"/>
  <c r="AA410" i="5"/>
  <c r="AB410" i="5"/>
  <c r="AC410" i="5"/>
  <c r="B411" i="5"/>
  <c r="I411" i="5"/>
  <c r="J411" i="5"/>
  <c r="K411" i="5"/>
  <c r="L411" i="5"/>
  <c r="M411" i="5"/>
  <c r="N411" i="5"/>
  <c r="O411" i="5"/>
  <c r="P411" i="5"/>
  <c r="Q411" i="5"/>
  <c r="R411" i="5"/>
  <c r="S411" i="5"/>
  <c r="T411" i="5"/>
  <c r="U411" i="5"/>
  <c r="V411" i="5"/>
  <c r="W411" i="5"/>
  <c r="X411" i="5"/>
  <c r="Y411" i="5"/>
  <c r="Z411" i="5"/>
  <c r="AA411" i="5"/>
  <c r="AB411" i="5"/>
  <c r="AC411" i="5"/>
  <c r="J414" i="5"/>
  <c r="K414" i="5"/>
  <c r="L414" i="5"/>
  <c r="M414" i="5"/>
  <c r="N414" i="5"/>
  <c r="O414" i="5"/>
  <c r="P414" i="5"/>
  <c r="Q414" i="5"/>
  <c r="R414" i="5"/>
  <c r="S414" i="5"/>
  <c r="T414" i="5"/>
  <c r="U414" i="5"/>
  <c r="V414" i="5"/>
  <c r="W414" i="5"/>
  <c r="X414" i="5"/>
  <c r="Y414" i="5"/>
  <c r="Z414" i="5"/>
  <c r="AA414" i="5"/>
  <c r="AB414" i="5"/>
  <c r="AC414" i="5"/>
  <c r="I415" i="5"/>
  <c r="J415" i="5"/>
  <c r="K415" i="5"/>
  <c r="L415" i="5"/>
  <c r="M415" i="5"/>
  <c r="N415" i="5"/>
  <c r="O415" i="5"/>
  <c r="P415" i="5"/>
  <c r="Q415" i="5"/>
  <c r="R415" i="5"/>
  <c r="S415" i="5"/>
  <c r="T415" i="5"/>
  <c r="U415" i="5"/>
  <c r="V415" i="5"/>
  <c r="W415" i="5"/>
  <c r="X415" i="5"/>
  <c r="Y415" i="5"/>
  <c r="Z415" i="5"/>
  <c r="AA415" i="5"/>
  <c r="AB415" i="5"/>
  <c r="AC415" i="5"/>
  <c r="J416" i="5"/>
  <c r="K416" i="5"/>
  <c r="L416" i="5"/>
  <c r="M416" i="5"/>
  <c r="N416" i="5"/>
  <c r="O416" i="5"/>
  <c r="P416" i="5"/>
  <c r="Q416" i="5"/>
  <c r="R416" i="5"/>
  <c r="S416" i="5"/>
  <c r="T416" i="5"/>
  <c r="U416" i="5"/>
  <c r="V416" i="5"/>
  <c r="W416" i="5"/>
  <c r="X416" i="5"/>
  <c r="Y416" i="5"/>
  <c r="Z416" i="5"/>
  <c r="AA416" i="5"/>
  <c r="AB416" i="5"/>
  <c r="AC416" i="5"/>
  <c r="I417" i="5"/>
  <c r="J417" i="5"/>
  <c r="K417" i="5"/>
  <c r="L417" i="5"/>
  <c r="M417" i="5"/>
  <c r="N417" i="5"/>
  <c r="O417" i="5"/>
  <c r="P417" i="5"/>
  <c r="Q417" i="5"/>
  <c r="R417" i="5"/>
  <c r="S417" i="5"/>
  <c r="T417" i="5"/>
  <c r="U417" i="5"/>
  <c r="V417" i="5"/>
  <c r="W417" i="5"/>
  <c r="X417" i="5"/>
  <c r="Y417" i="5"/>
  <c r="Z417" i="5"/>
  <c r="AA417" i="5"/>
  <c r="AB417" i="5"/>
  <c r="AC417" i="5"/>
  <c r="I419" i="5"/>
  <c r="J419" i="5"/>
  <c r="K419" i="5"/>
  <c r="L419" i="5"/>
  <c r="M419" i="5"/>
  <c r="N419" i="5"/>
  <c r="O419" i="5"/>
  <c r="P419" i="5"/>
  <c r="Q419" i="5"/>
  <c r="R419" i="5"/>
  <c r="S419" i="5"/>
  <c r="T419" i="5"/>
  <c r="U419" i="5"/>
  <c r="V419" i="5"/>
  <c r="W419" i="5"/>
  <c r="X419" i="5"/>
  <c r="Y419" i="5"/>
  <c r="Z419" i="5"/>
  <c r="AA419" i="5"/>
  <c r="AB419" i="5"/>
  <c r="AC419" i="5"/>
  <c r="I421" i="5"/>
  <c r="J421" i="5"/>
  <c r="K421" i="5"/>
  <c r="L421" i="5"/>
  <c r="M421" i="5"/>
  <c r="N421" i="5"/>
  <c r="O421" i="5"/>
  <c r="P421" i="5"/>
  <c r="Q421" i="5"/>
  <c r="R421" i="5"/>
  <c r="S421" i="5"/>
  <c r="T421" i="5"/>
  <c r="U421" i="5"/>
  <c r="V421" i="5"/>
  <c r="W421" i="5"/>
  <c r="X421" i="5"/>
  <c r="Y421" i="5"/>
  <c r="Z421" i="5"/>
  <c r="AA421" i="5"/>
  <c r="AB421" i="5"/>
  <c r="AC421" i="5"/>
  <c r="B422" i="5"/>
  <c r="I422" i="5"/>
  <c r="J422" i="5"/>
  <c r="K422" i="5"/>
  <c r="L422" i="5"/>
  <c r="M422" i="5"/>
  <c r="N422" i="5"/>
  <c r="O422" i="5"/>
  <c r="P422" i="5"/>
  <c r="Q422" i="5"/>
  <c r="R422" i="5"/>
  <c r="S422" i="5"/>
  <c r="T422" i="5"/>
  <c r="U422" i="5"/>
  <c r="V422" i="5"/>
  <c r="W422" i="5"/>
  <c r="X422" i="5"/>
  <c r="Y422" i="5"/>
  <c r="Z422" i="5"/>
  <c r="AA422" i="5"/>
  <c r="AB422" i="5"/>
  <c r="AC422" i="5"/>
  <c r="A424" i="5"/>
  <c r="I424" i="5"/>
  <c r="J424" i="5"/>
  <c r="K424" i="5"/>
  <c r="L424" i="5"/>
  <c r="M424" i="5"/>
  <c r="N424" i="5"/>
  <c r="O424" i="5"/>
  <c r="P424" i="5"/>
  <c r="Q424" i="5"/>
  <c r="R424" i="5"/>
  <c r="S424" i="5"/>
  <c r="T424" i="5"/>
  <c r="U424" i="5"/>
  <c r="V424" i="5"/>
  <c r="W424" i="5"/>
  <c r="X424" i="5"/>
  <c r="Y424" i="5"/>
  <c r="Z424" i="5"/>
  <c r="AA424" i="5"/>
  <c r="AB424" i="5"/>
  <c r="AC424" i="5"/>
  <c r="I428" i="5"/>
  <c r="J428" i="5"/>
  <c r="K428" i="5"/>
  <c r="L428" i="5"/>
  <c r="M428" i="5"/>
  <c r="N428" i="5"/>
  <c r="O428" i="5"/>
  <c r="P428" i="5"/>
  <c r="Q428" i="5"/>
  <c r="R428" i="5"/>
  <c r="S428" i="5"/>
  <c r="T428" i="5"/>
  <c r="U428" i="5"/>
  <c r="V428" i="5"/>
  <c r="W428" i="5"/>
  <c r="X428" i="5"/>
  <c r="Y428" i="5"/>
  <c r="Z428" i="5"/>
  <c r="AA428" i="5"/>
  <c r="AB428" i="5"/>
  <c r="AC428" i="5"/>
  <c r="H432" i="5"/>
  <c r="I434" i="5"/>
  <c r="J434" i="5"/>
  <c r="K434" i="5"/>
  <c r="L434" i="5"/>
  <c r="M434" i="5"/>
  <c r="N434" i="5"/>
  <c r="O434" i="5"/>
  <c r="P434" i="5"/>
  <c r="Q434" i="5"/>
  <c r="R434" i="5"/>
  <c r="S434" i="5"/>
  <c r="T434" i="5"/>
  <c r="U434" i="5"/>
  <c r="V434" i="5"/>
  <c r="W434" i="5"/>
  <c r="X434" i="5"/>
  <c r="Y434" i="5"/>
  <c r="Z434" i="5"/>
  <c r="AA434" i="5"/>
  <c r="AB434" i="5"/>
  <c r="AC434" i="5"/>
  <c r="I436" i="5"/>
  <c r="J436" i="5"/>
  <c r="K436" i="5"/>
  <c r="L436" i="5"/>
  <c r="M436" i="5"/>
  <c r="N436" i="5"/>
  <c r="O436" i="5"/>
  <c r="P436" i="5"/>
  <c r="Q436" i="5"/>
  <c r="R436" i="5"/>
  <c r="S436" i="5"/>
  <c r="T436" i="5"/>
  <c r="U436" i="5"/>
  <c r="V436" i="5"/>
  <c r="W436" i="5"/>
  <c r="X436" i="5"/>
  <c r="Y436" i="5"/>
  <c r="Z436" i="5"/>
  <c r="AA436" i="5"/>
  <c r="AB436" i="5"/>
  <c r="AC436" i="5"/>
  <c r="H441" i="5"/>
  <c r="I443" i="5"/>
  <c r="J443" i="5"/>
  <c r="K443" i="5"/>
  <c r="L443" i="5"/>
  <c r="M443" i="5"/>
  <c r="N443" i="5"/>
  <c r="O443" i="5"/>
  <c r="P443" i="5"/>
  <c r="Q443" i="5"/>
  <c r="R443" i="5"/>
  <c r="S443" i="5"/>
  <c r="T443" i="5"/>
  <c r="U443" i="5"/>
  <c r="V443" i="5"/>
  <c r="W443" i="5"/>
  <c r="X443" i="5"/>
  <c r="Y443" i="5"/>
  <c r="Z443" i="5"/>
  <c r="AA443" i="5"/>
  <c r="AB443" i="5"/>
  <c r="AC443" i="5"/>
  <c r="A446" i="5"/>
  <c r="I446" i="5"/>
  <c r="J446" i="5"/>
  <c r="K446" i="5"/>
  <c r="L446" i="5"/>
  <c r="M446" i="5"/>
  <c r="N446" i="5"/>
  <c r="O446" i="5"/>
  <c r="P446" i="5"/>
  <c r="Q446" i="5"/>
  <c r="R446" i="5"/>
  <c r="S446" i="5"/>
  <c r="T446" i="5"/>
  <c r="U446" i="5"/>
  <c r="V446" i="5"/>
  <c r="W446" i="5"/>
  <c r="X446" i="5"/>
  <c r="Y446" i="5"/>
  <c r="Z446" i="5"/>
  <c r="AA446" i="5"/>
  <c r="AB446" i="5"/>
  <c r="AC446" i="5"/>
  <c r="A447" i="5"/>
  <c r="E447" i="5"/>
  <c r="F447" i="5"/>
  <c r="G447" i="5"/>
  <c r="H447" i="5"/>
  <c r="I447" i="5"/>
  <c r="J447" i="5"/>
  <c r="K447" i="5"/>
  <c r="L447" i="5"/>
  <c r="M447" i="5"/>
  <c r="N447" i="5"/>
  <c r="O447" i="5"/>
  <c r="P447" i="5"/>
  <c r="Q447" i="5"/>
  <c r="R447" i="5"/>
  <c r="S447" i="5"/>
  <c r="T447" i="5"/>
  <c r="U447" i="5"/>
  <c r="V447" i="5"/>
  <c r="W447" i="5"/>
  <c r="X447" i="5"/>
  <c r="Y447" i="5"/>
  <c r="Z447" i="5"/>
  <c r="AA447" i="5"/>
  <c r="AB447" i="5"/>
  <c r="AC447" i="5"/>
  <c r="B449" i="5"/>
  <c r="E452" i="5"/>
  <c r="F452" i="5"/>
  <c r="G452" i="5"/>
  <c r="H452" i="5"/>
  <c r="I452" i="5"/>
  <c r="J452" i="5"/>
  <c r="K452" i="5"/>
  <c r="L452" i="5"/>
  <c r="M452" i="5"/>
  <c r="N452" i="5"/>
  <c r="O452" i="5"/>
  <c r="P452" i="5"/>
  <c r="Q452" i="5"/>
  <c r="R452" i="5"/>
  <c r="S452" i="5"/>
  <c r="T452" i="5"/>
  <c r="U452" i="5"/>
  <c r="V452" i="5"/>
  <c r="W452" i="5"/>
  <c r="X452" i="5"/>
  <c r="Y452" i="5"/>
  <c r="Z452" i="5"/>
  <c r="AA452" i="5"/>
  <c r="AB452" i="5"/>
  <c r="AC452" i="5"/>
  <c r="A453" i="5"/>
  <c r="I456" i="5"/>
  <c r="J456" i="5"/>
  <c r="K456" i="5"/>
  <c r="L456" i="5"/>
  <c r="M456" i="5"/>
  <c r="N456" i="5"/>
  <c r="O456" i="5"/>
  <c r="P456" i="5"/>
  <c r="Q456" i="5"/>
  <c r="R456" i="5"/>
  <c r="S456" i="5"/>
  <c r="T456" i="5"/>
  <c r="U456" i="5"/>
  <c r="V456" i="5"/>
  <c r="W456" i="5"/>
  <c r="X456" i="5"/>
  <c r="Y456" i="5"/>
  <c r="Z456" i="5"/>
  <c r="AA456" i="5"/>
  <c r="AB456" i="5"/>
  <c r="AC456" i="5"/>
  <c r="J457" i="5"/>
  <c r="K457" i="5"/>
  <c r="L457" i="5"/>
  <c r="M457" i="5"/>
  <c r="N457" i="5"/>
  <c r="O457" i="5"/>
  <c r="P457" i="5"/>
  <c r="Q457" i="5"/>
  <c r="R457" i="5"/>
  <c r="S457" i="5"/>
  <c r="T457" i="5"/>
  <c r="U457" i="5"/>
  <c r="V457" i="5"/>
  <c r="W457" i="5"/>
  <c r="X457" i="5"/>
  <c r="Y457" i="5"/>
  <c r="Z457" i="5"/>
  <c r="AA457" i="5"/>
  <c r="AB457" i="5"/>
  <c r="AC457" i="5"/>
  <c r="I458" i="5"/>
  <c r="J458" i="5"/>
  <c r="K458" i="5"/>
  <c r="L458" i="5"/>
  <c r="M458" i="5"/>
  <c r="N458" i="5"/>
  <c r="O458" i="5"/>
  <c r="P458" i="5"/>
  <c r="Q458" i="5"/>
  <c r="R458" i="5"/>
  <c r="S458" i="5"/>
  <c r="T458" i="5"/>
  <c r="U458" i="5"/>
  <c r="V458" i="5"/>
  <c r="W458" i="5"/>
  <c r="X458" i="5"/>
  <c r="Y458" i="5"/>
  <c r="Z458" i="5"/>
  <c r="AA458" i="5"/>
  <c r="AB458" i="5"/>
  <c r="AC458" i="5"/>
  <c r="J459" i="5"/>
  <c r="K459" i="5"/>
  <c r="L459" i="5"/>
  <c r="M459" i="5"/>
  <c r="N459" i="5"/>
  <c r="O459" i="5"/>
  <c r="P459" i="5"/>
  <c r="Q459" i="5"/>
  <c r="R459" i="5"/>
  <c r="S459" i="5"/>
  <c r="T459" i="5"/>
  <c r="U459" i="5"/>
  <c r="V459" i="5"/>
  <c r="W459" i="5"/>
  <c r="X459" i="5"/>
  <c r="Y459" i="5"/>
  <c r="Z459" i="5"/>
  <c r="AA459" i="5"/>
  <c r="AB459" i="5"/>
  <c r="AC459" i="5"/>
  <c r="I460" i="5"/>
  <c r="J460" i="5"/>
  <c r="K460" i="5"/>
  <c r="L460" i="5"/>
  <c r="M460" i="5"/>
  <c r="N460" i="5"/>
  <c r="O460" i="5"/>
  <c r="P460" i="5"/>
  <c r="Q460" i="5"/>
  <c r="R460" i="5"/>
  <c r="S460" i="5"/>
  <c r="T460" i="5"/>
  <c r="U460" i="5"/>
  <c r="V460" i="5"/>
  <c r="W460" i="5"/>
  <c r="X460" i="5"/>
  <c r="Y460" i="5"/>
  <c r="Z460" i="5"/>
  <c r="AA460" i="5"/>
  <c r="AB460" i="5"/>
  <c r="AC460" i="5"/>
  <c r="AD460" i="5"/>
  <c r="I462" i="5"/>
  <c r="J462" i="5"/>
  <c r="K462" i="5"/>
  <c r="L462" i="5"/>
  <c r="M462" i="5"/>
  <c r="N462" i="5"/>
  <c r="O462" i="5"/>
  <c r="P462" i="5"/>
  <c r="Q462" i="5"/>
  <c r="R462" i="5"/>
  <c r="S462" i="5"/>
  <c r="T462" i="5"/>
  <c r="U462" i="5"/>
  <c r="V462" i="5"/>
  <c r="W462" i="5"/>
  <c r="X462" i="5"/>
  <c r="Y462" i="5"/>
  <c r="Z462" i="5"/>
  <c r="AA462" i="5"/>
  <c r="AB462" i="5"/>
  <c r="AC462" i="5"/>
  <c r="J463" i="5"/>
  <c r="K463" i="5"/>
  <c r="L463" i="5"/>
  <c r="M463" i="5"/>
  <c r="N463" i="5"/>
  <c r="O463" i="5"/>
  <c r="P463" i="5"/>
  <c r="Q463" i="5"/>
  <c r="R463" i="5"/>
  <c r="S463" i="5"/>
  <c r="T463" i="5"/>
  <c r="U463" i="5"/>
  <c r="V463" i="5"/>
  <c r="W463" i="5"/>
  <c r="X463" i="5"/>
  <c r="Y463" i="5"/>
  <c r="Z463" i="5"/>
  <c r="AA463" i="5"/>
  <c r="AB463" i="5"/>
  <c r="AC463" i="5"/>
  <c r="I464" i="5"/>
  <c r="J464" i="5"/>
  <c r="K464" i="5"/>
  <c r="L464" i="5"/>
  <c r="M464" i="5"/>
  <c r="N464" i="5"/>
  <c r="O464" i="5"/>
  <c r="P464" i="5"/>
  <c r="Q464" i="5"/>
  <c r="R464" i="5"/>
  <c r="S464" i="5"/>
  <c r="T464" i="5"/>
  <c r="U464" i="5"/>
  <c r="V464" i="5"/>
  <c r="W464" i="5"/>
  <c r="X464" i="5"/>
  <c r="Y464" i="5"/>
  <c r="Z464" i="5"/>
  <c r="AA464" i="5"/>
  <c r="AB464" i="5"/>
  <c r="AC464" i="5"/>
  <c r="B465" i="5"/>
  <c r="I465" i="5"/>
  <c r="J465" i="5"/>
  <c r="K465" i="5"/>
  <c r="L465" i="5"/>
  <c r="M465" i="5"/>
  <c r="N465" i="5"/>
  <c r="O465" i="5"/>
  <c r="P465" i="5"/>
  <c r="Q465" i="5"/>
  <c r="R465" i="5"/>
  <c r="S465" i="5"/>
  <c r="T465" i="5"/>
  <c r="U465" i="5"/>
  <c r="V465" i="5"/>
  <c r="W465" i="5"/>
  <c r="X465" i="5"/>
  <c r="Y465" i="5"/>
  <c r="Z465" i="5"/>
  <c r="AA465" i="5"/>
  <c r="AB465" i="5"/>
  <c r="AC465" i="5"/>
  <c r="I469" i="5"/>
  <c r="J469" i="5"/>
  <c r="K469" i="5"/>
  <c r="L469" i="5"/>
  <c r="M469" i="5"/>
  <c r="N469" i="5"/>
  <c r="O469" i="5"/>
  <c r="P469" i="5"/>
  <c r="Q469" i="5"/>
  <c r="R469" i="5"/>
  <c r="S469" i="5"/>
  <c r="T469" i="5"/>
  <c r="U469" i="5"/>
  <c r="V469" i="5"/>
  <c r="W469" i="5"/>
  <c r="X469" i="5"/>
  <c r="Y469" i="5"/>
  <c r="Z469" i="5"/>
  <c r="AA469" i="5"/>
  <c r="AB469" i="5"/>
  <c r="AC469" i="5"/>
  <c r="L470" i="5"/>
  <c r="P470" i="5"/>
  <c r="AC470" i="5"/>
  <c r="I471" i="5"/>
  <c r="J471" i="5"/>
  <c r="K471" i="5"/>
  <c r="L471" i="5"/>
  <c r="M471" i="5"/>
  <c r="N471" i="5"/>
  <c r="O471" i="5"/>
  <c r="P471" i="5"/>
  <c r="Q471" i="5"/>
  <c r="R471" i="5"/>
  <c r="S471" i="5"/>
  <c r="T471" i="5"/>
  <c r="U471" i="5"/>
  <c r="V471" i="5"/>
  <c r="W471" i="5"/>
  <c r="X471" i="5"/>
  <c r="Y471" i="5"/>
  <c r="Z471" i="5"/>
  <c r="AA471" i="5"/>
  <c r="AB471" i="5"/>
  <c r="AC471" i="5"/>
  <c r="J472" i="5"/>
  <c r="K472" i="5"/>
  <c r="L472" i="5"/>
  <c r="M472" i="5"/>
  <c r="N472" i="5"/>
  <c r="O472" i="5"/>
  <c r="P472" i="5"/>
  <c r="Q472" i="5"/>
  <c r="R472" i="5"/>
  <c r="S472" i="5"/>
  <c r="T472" i="5"/>
  <c r="U472" i="5"/>
  <c r="V472" i="5"/>
  <c r="W472" i="5"/>
  <c r="X472" i="5"/>
  <c r="Y472" i="5"/>
  <c r="Z472" i="5"/>
  <c r="AA472" i="5"/>
  <c r="AB472" i="5"/>
  <c r="AC472" i="5"/>
  <c r="I473" i="5"/>
  <c r="J473" i="5"/>
  <c r="K473" i="5"/>
  <c r="L473" i="5"/>
  <c r="M473" i="5"/>
  <c r="N473" i="5"/>
  <c r="O473" i="5"/>
  <c r="P473" i="5"/>
  <c r="Q473" i="5"/>
  <c r="R473" i="5"/>
  <c r="S473" i="5"/>
  <c r="T473" i="5"/>
  <c r="U473" i="5"/>
  <c r="V473" i="5"/>
  <c r="W473" i="5"/>
  <c r="X473" i="5"/>
  <c r="Y473" i="5"/>
  <c r="Z473" i="5"/>
  <c r="AA473" i="5"/>
  <c r="AB473" i="5"/>
  <c r="AC473" i="5"/>
  <c r="AD473" i="5"/>
  <c r="I476" i="5"/>
  <c r="J476" i="5"/>
  <c r="K476" i="5"/>
  <c r="L476" i="5"/>
  <c r="M476" i="5"/>
  <c r="N476" i="5"/>
  <c r="O476" i="5"/>
  <c r="P476" i="5"/>
  <c r="Q476" i="5"/>
  <c r="R476" i="5"/>
  <c r="S476" i="5"/>
  <c r="T476" i="5"/>
  <c r="U476" i="5"/>
  <c r="V476" i="5"/>
  <c r="W476" i="5"/>
  <c r="X476" i="5"/>
  <c r="Y476" i="5"/>
  <c r="Z476" i="5"/>
  <c r="AA476" i="5"/>
  <c r="AB476" i="5"/>
  <c r="AC476" i="5"/>
  <c r="I478" i="5"/>
  <c r="J478" i="5"/>
  <c r="K478" i="5"/>
  <c r="L478" i="5"/>
  <c r="M478" i="5"/>
  <c r="N478" i="5"/>
  <c r="O478" i="5"/>
  <c r="P478" i="5"/>
  <c r="Q478" i="5"/>
  <c r="R478" i="5"/>
  <c r="S478" i="5"/>
  <c r="T478" i="5"/>
  <c r="U478" i="5"/>
  <c r="V478" i="5"/>
  <c r="W478" i="5"/>
  <c r="X478" i="5"/>
  <c r="Y478" i="5"/>
  <c r="Z478" i="5"/>
  <c r="AA478" i="5"/>
  <c r="AB478" i="5"/>
  <c r="AC478" i="5"/>
  <c r="I479" i="5"/>
  <c r="J479" i="5"/>
  <c r="K479" i="5"/>
  <c r="L479" i="5"/>
  <c r="M479" i="5"/>
  <c r="N479" i="5"/>
  <c r="O479" i="5"/>
  <c r="P479" i="5"/>
  <c r="Q479" i="5"/>
  <c r="R479" i="5"/>
  <c r="S479" i="5"/>
  <c r="T479" i="5"/>
  <c r="U479" i="5"/>
  <c r="V479" i="5"/>
  <c r="W479" i="5"/>
  <c r="X479" i="5"/>
  <c r="Y479" i="5"/>
  <c r="Z479" i="5"/>
  <c r="AA479" i="5"/>
  <c r="AB479" i="5"/>
  <c r="AC479" i="5"/>
  <c r="I480" i="5"/>
  <c r="J480" i="5"/>
  <c r="K480" i="5"/>
  <c r="L480" i="5"/>
  <c r="M480" i="5"/>
  <c r="N480" i="5"/>
  <c r="O480" i="5"/>
  <c r="P480" i="5"/>
  <c r="Q480" i="5"/>
  <c r="R480" i="5"/>
  <c r="S480" i="5"/>
  <c r="T480" i="5"/>
  <c r="U480" i="5"/>
  <c r="V480" i="5"/>
  <c r="W480" i="5"/>
  <c r="X480" i="5"/>
  <c r="Y480" i="5"/>
  <c r="Z480" i="5"/>
  <c r="AA480" i="5"/>
  <c r="AB480" i="5"/>
  <c r="AC480" i="5"/>
  <c r="B481" i="5"/>
  <c r="I481" i="5"/>
  <c r="J481" i="5"/>
  <c r="K481" i="5"/>
  <c r="L481" i="5"/>
  <c r="M481" i="5"/>
  <c r="N481" i="5"/>
  <c r="O481" i="5"/>
  <c r="P481" i="5"/>
  <c r="Q481" i="5"/>
  <c r="R481" i="5"/>
  <c r="S481" i="5"/>
  <c r="T481" i="5"/>
  <c r="U481" i="5"/>
  <c r="V481" i="5"/>
  <c r="W481" i="5"/>
  <c r="X481" i="5"/>
  <c r="Y481" i="5"/>
  <c r="Z481" i="5"/>
  <c r="AA481" i="5"/>
  <c r="AB481" i="5"/>
  <c r="AC481" i="5"/>
  <c r="J484" i="5"/>
  <c r="K484" i="5"/>
  <c r="L484" i="5"/>
  <c r="M484" i="5"/>
  <c r="N484" i="5"/>
  <c r="O484" i="5"/>
  <c r="P484" i="5"/>
  <c r="Q484" i="5"/>
  <c r="R484" i="5"/>
  <c r="S484" i="5"/>
  <c r="T484" i="5"/>
  <c r="U484" i="5"/>
  <c r="V484" i="5"/>
  <c r="W484" i="5"/>
  <c r="X484" i="5"/>
  <c r="Y484" i="5"/>
  <c r="Z484" i="5"/>
  <c r="AA484" i="5"/>
  <c r="AB484" i="5"/>
  <c r="AC484" i="5"/>
  <c r="I485" i="5"/>
  <c r="J485" i="5"/>
  <c r="K485" i="5"/>
  <c r="L485" i="5"/>
  <c r="M485" i="5"/>
  <c r="N485" i="5"/>
  <c r="O485" i="5"/>
  <c r="P485" i="5"/>
  <c r="Q485" i="5"/>
  <c r="R485" i="5"/>
  <c r="S485" i="5"/>
  <c r="T485" i="5"/>
  <c r="U485" i="5"/>
  <c r="V485" i="5"/>
  <c r="W485" i="5"/>
  <c r="X485" i="5"/>
  <c r="Y485" i="5"/>
  <c r="Z485" i="5"/>
  <c r="AA485" i="5"/>
  <c r="AB485" i="5"/>
  <c r="AC485" i="5"/>
  <c r="J486" i="5"/>
  <c r="K486" i="5"/>
  <c r="L486" i="5"/>
  <c r="M486" i="5"/>
  <c r="N486" i="5"/>
  <c r="O486" i="5"/>
  <c r="P486" i="5"/>
  <c r="Q486" i="5"/>
  <c r="R486" i="5"/>
  <c r="S486" i="5"/>
  <c r="T486" i="5"/>
  <c r="U486" i="5"/>
  <c r="V486" i="5"/>
  <c r="W486" i="5"/>
  <c r="X486" i="5"/>
  <c r="Y486" i="5"/>
  <c r="Z486" i="5"/>
  <c r="AA486" i="5"/>
  <c r="AB486" i="5"/>
  <c r="AC486" i="5"/>
  <c r="I487" i="5"/>
  <c r="J487" i="5"/>
  <c r="K487" i="5"/>
  <c r="L487" i="5"/>
  <c r="M487" i="5"/>
  <c r="N487" i="5"/>
  <c r="O487" i="5"/>
  <c r="P487" i="5"/>
  <c r="Q487" i="5"/>
  <c r="R487" i="5"/>
  <c r="S487" i="5"/>
  <c r="T487" i="5"/>
  <c r="U487" i="5"/>
  <c r="V487" i="5"/>
  <c r="W487" i="5"/>
  <c r="X487" i="5"/>
  <c r="Y487" i="5"/>
  <c r="Z487" i="5"/>
  <c r="AA487" i="5"/>
  <c r="AB487" i="5"/>
  <c r="AC487" i="5"/>
  <c r="I489" i="5"/>
  <c r="J489" i="5"/>
  <c r="K489" i="5"/>
  <c r="L489" i="5"/>
  <c r="M489" i="5"/>
  <c r="N489" i="5"/>
  <c r="O489" i="5"/>
  <c r="P489" i="5"/>
  <c r="Q489" i="5"/>
  <c r="R489" i="5"/>
  <c r="S489" i="5"/>
  <c r="T489" i="5"/>
  <c r="U489" i="5"/>
  <c r="V489" i="5"/>
  <c r="W489" i="5"/>
  <c r="X489" i="5"/>
  <c r="Y489" i="5"/>
  <c r="Z489" i="5"/>
  <c r="AA489" i="5"/>
  <c r="AB489" i="5"/>
  <c r="AC489" i="5"/>
  <c r="I491" i="5"/>
  <c r="J491" i="5"/>
  <c r="K491" i="5"/>
  <c r="L491" i="5"/>
  <c r="M491" i="5"/>
  <c r="N491" i="5"/>
  <c r="O491" i="5"/>
  <c r="P491" i="5"/>
  <c r="Q491" i="5"/>
  <c r="R491" i="5"/>
  <c r="S491" i="5"/>
  <c r="T491" i="5"/>
  <c r="U491" i="5"/>
  <c r="V491" i="5"/>
  <c r="W491" i="5"/>
  <c r="X491" i="5"/>
  <c r="Y491" i="5"/>
  <c r="Z491" i="5"/>
  <c r="AA491" i="5"/>
  <c r="AB491" i="5"/>
  <c r="AC491" i="5"/>
  <c r="I492" i="5"/>
  <c r="J492" i="5"/>
  <c r="K492" i="5"/>
  <c r="L492" i="5"/>
  <c r="M492" i="5"/>
  <c r="N492" i="5"/>
  <c r="O492" i="5"/>
  <c r="P492" i="5"/>
  <c r="Q492" i="5"/>
  <c r="R492" i="5"/>
  <c r="S492" i="5"/>
  <c r="T492" i="5"/>
  <c r="U492" i="5"/>
  <c r="V492" i="5"/>
  <c r="W492" i="5"/>
  <c r="X492" i="5"/>
  <c r="Y492" i="5"/>
  <c r="Z492" i="5"/>
  <c r="AA492" i="5"/>
  <c r="AB492" i="5"/>
  <c r="AC492" i="5"/>
  <c r="A494" i="5"/>
  <c r="H494" i="5"/>
  <c r="I494" i="5"/>
  <c r="J494" i="5"/>
  <c r="K494" i="5"/>
  <c r="L494" i="5"/>
  <c r="M494" i="5"/>
  <c r="N494" i="5"/>
  <c r="O494" i="5"/>
  <c r="P494" i="5"/>
  <c r="Q494" i="5"/>
  <c r="R494" i="5"/>
  <c r="S494" i="5"/>
  <c r="T494" i="5"/>
  <c r="U494" i="5"/>
  <c r="V494" i="5"/>
  <c r="W494" i="5"/>
  <c r="X494" i="5"/>
  <c r="Y494" i="5"/>
  <c r="Z494" i="5"/>
  <c r="AA494" i="5"/>
  <c r="AB494" i="5"/>
  <c r="AC494" i="5"/>
  <c r="I498" i="5"/>
  <c r="J498" i="5"/>
  <c r="K498" i="5"/>
  <c r="L498" i="5"/>
  <c r="M498" i="5"/>
  <c r="N498" i="5"/>
  <c r="O498" i="5"/>
  <c r="P498" i="5"/>
  <c r="Q498" i="5"/>
  <c r="R498" i="5"/>
  <c r="S498" i="5"/>
  <c r="T498" i="5"/>
  <c r="U498" i="5"/>
  <c r="V498" i="5"/>
  <c r="W498" i="5"/>
  <c r="X498" i="5"/>
  <c r="Y498" i="5"/>
  <c r="Z498" i="5"/>
  <c r="AA498" i="5"/>
  <c r="AB498" i="5"/>
  <c r="AC498" i="5"/>
  <c r="I504" i="5"/>
  <c r="J504" i="5"/>
  <c r="K504" i="5"/>
  <c r="L504" i="5"/>
  <c r="M504" i="5"/>
  <c r="N504" i="5"/>
  <c r="O504" i="5"/>
  <c r="P504" i="5"/>
  <c r="Q504" i="5"/>
  <c r="R504" i="5"/>
  <c r="S504" i="5"/>
  <c r="T504" i="5"/>
  <c r="U504" i="5"/>
  <c r="V504" i="5"/>
  <c r="W504" i="5"/>
  <c r="X504" i="5"/>
  <c r="Y504" i="5"/>
  <c r="Z504" i="5"/>
  <c r="AA504" i="5"/>
  <c r="AB504" i="5"/>
  <c r="AC504" i="5"/>
  <c r="I506" i="5"/>
  <c r="J506" i="5"/>
  <c r="K506" i="5"/>
  <c r="L506" i="5"/>
  <c r="M506" i="5"/>
  <c r="N506" i="5"/>
  <c r="O506" i="5"/>
  <c r="P506" i="5"/>
  <c r="Q506" i="5"/>
  <c r="R506" i="5"/>
  <c r="S506" i="5"/>
  <c r="T506" i="5"/>
  <c r="U506" i="5"/>
  <c r="V506" i="5"/>
  <c r="W506" i="5"/>
  <c r="X506" i="5"/>
  <c r="Y506" i="5"/>
  <c r="Z506" i="5"/>
  <c r="AA506" i="5"/>
  <c r="AB506" i="5"/>
  <c r="AC506" i="5"/>
  <c r="H511" i="5"/>
  <c r="I513" i="5"/>
  <c r="J513" i="5"/>
  <c r="K513" i="5"/>
  <c r="L513" i="5"/>
  <c r="M513" i="5"/>
  <c r="N513" i="5"/>
  <c r="O513" i="5"/>
  <c r="P513" i="5"/>
  <c r="Q513" i="5"/>
  <c r="R513" i="5"/>
  <c r="S513" i="5"/>
  <c r="T513" i="5"/>
  <c r="U513" i="5"/>
  <c r="V513" i="5"/>
  <c r="W513" i="5"/>
  <c r="X513" i="5"/>
  <c r="Y513" i="5"/>
  <c r="Z513" i="5"/>
  <c r="AA513" i="5"/>
  <c r="AB513" i="5"/>
  <c r="AC513" i="5"/>
  <c r="A516" i="5"/>
  <c r="I516" i="5"/>
  <c r="J516" i="5"/>
  <c r="K516" i="5"/>
  <c r="L516" i="5"/>
  <c r="M516" i="5"/>
  <c r="N516" i="5"/>
  <c r="O516" i="5"/>
  <c r="P516" i="5"/>
  <c r="Q516" i="5"/>
  <c r="R516" i="5"/>
  <c r="S516" i="5"/>
  <c r="T516" i="5"/>
  <c r="U516" i="5"/>
  <c r="V516" i="5"/>
  <c r="W516" i="5"/>
  <c r="X516" i="5"/>
  <c r="Y516" i="5"/>
  <c r="Z516" i="5"/>
  <c r="AA516" i="5"/>
  <c r="AB516" i="5"/>
  <c r="AC516" i="5"/>
  <c r="A517" i="5"/>
  <c r="E517" i="5"/>
  <c r="F517" i="5"/>
  <c r="G517" i="5"/>
  <c r="H517" i="5"/>
  <c r="I517" i="5"/>
  <c r="J517" i="5"/>
  <c r="K517" i="5"/>
  <c r="L517" i="5"/>
  <c r="M517" i="5"/>
  <c r="N517" i="5"/>
  <c r="O517" i="5"/>
  <c r="P517" i="5"/>
  <c r="Q517" i="5"/>
  <c r="R517" i="5"/>
  <c r="S517" i="5"/>
  <c r="T517" i="5"/>
  <c r="U517" i="5"/>
  <c r="V517" i="5"/>
  <c r="W517" i="5"/>
  <c r="X517" i="5"/>
  <c r="Y517" i="5"/>
  <c r="Z517" i="5"/>
  <c r="AA517" i="5"/>
  <c r="AB517" i="5"/>
  <c r="AC517" i="5"/>
  <c r="E522" i="5"/>
  <c r="F522" i="5"/>
  <c r="G522" i="5"/>
  <c r="H522" i="5"/>
  <c r="I522" i="5"/>
  <c r="J522" i="5"/>
  <c r="K522" i="5"/>
  <c r="L522" i="5"/>
  <c r="M522" i="5"/>
  <c r="N522" i="5"/>
  <c r="O522" i="5"/>
  <c r="P522" i="5"/>
  <c r="Q522" i="5"/>
  <c r="R522" i="5"/>
  <c r="S522" i="5"/>
  <c r="T522" i="5"/>
  <c r="U522" i="5"/>
  <c r="V522" i="5"/>
  <c r="W522" i="5"/>
  <c r="X522" i="5"/>
  <c r="Y522" i="5"/>
  <c r="Z522" i="5"/>
  <c r="AA522" i="5"/>
  <c r="AB522" i="5"/>
  <c r="AC522" i="5"/>
  <c r="A523" i="5"/>
  <c r="I526" i="5"/>
  <c r="J526" i="5"/>
  <c r="K526" i="5"/>
  <c r="L526" i="5"/>
  <c r="M526" i="5"/>
  <c r="N526" i="5"/>
  <c r="O526" i="5"/>
  <c r="P526" i="5"/>
  <c r="Q526" i="5"/>
  <c r="R526" i="5"/>
  <c r="S526" i="5"/>
  <c r="T526" i="5"/>
  <c r="U526" i="5"/>
  <c r="V526" i="5"/>
  <c r="W526" i="5"/>
  <c r="X526" i="5"/>
  <c r="Y526" i="5"/>
  <c r="Z526" i="5"/>
  <c r="AA526" i="5"/>
  <c r="AB526" i="5"/>
  <c r="AC526" i="5"/>
  <c r="J527" i="5"/>
  <c r="K527" i="5"/>
  <c r="L527" i="5"/>
  <c r="M527" i="5"/>
  <c r="N527" i="5"/>
  <c r="O527" i="5"/>
  <c r="P527" i="5"/>
  <c r="Q527" i="5"/>
  <c r="R527" i="5"/>
  <c r="S527" i="5"/>
  <c r="T527" i="5"/>
  <c r="U527" i="5"/>
  <c r="V527" i="5"/>
  <c r="W527" i="5"/>
  <c r="X527" i="5"/>
  <c r="Y527" i="5"/>
  <c r="Z527" i="5"/>
  <c r="AA527" i="5"/>
  <c r="AB527" i="5"/>
  <c r="AC527" i="5"/>
  <c r="I528" i="5"/>
  <c r="J528" i="5"/>
  <c r="K528" i="5"/>
  <c r="L528" i="5"/>
  <c r="M528" i="5"/>
  <c r="N528" i="5"/>
  <c r="O528" i="5"/>
  <c r="P528" i="5"/>
  <c r="Q528" i="5"/>
  <c r="R528" i="5"/>
  <c r="S528" i="5"/>
  <c r="T528" i="5"/>
  <c r="U528" i="5"/>
  <c r="V528" i="5"/>
  <c r="W528" i="5"/>
  <c r="X528" i="5"/>
  <c r="Y528" i="5"/>
  <c r="Z528" i="5"/>
  <c r="AA528" i="5"/>
  <c r="AB528" i="5"/>
  <c r="AC528" i="5"/>
  <c r="J529" i="5"/>
  <c r="K529" i="5"/>
  <c r="L529" i="5"/>
  <c r="M529" i="5"/>
  <c r="N529" i="5"/>
  <c r="O529" i="5"/>
  <c r="P529" i="5"/>
  <c r="Q529" i="5"/>
  <c r="R529" i="5"/>
  <c r="S529" i="5"/>
  <c r="T529" i="5"/>
  <c r="U529" i="5"/>
  <c r="V529" i="5"/>
  <c r="W529" i="5"/>
  <c r="X529" i="5"/>
  <c r="Y529" i="5"/>
  <c r="Z529" i="5"/>
  <c r="AA529" i="5"/>
  <c r="AB529" i="5"/>
  <c r="AC529" i="5"/>
  <c r="I530" i="5"/>
  <c r="J530" i="5"/>
  <c r="K530" i="5"/>
  <c r="L530" i="5"/>
  <c r="M530" i="5"/>
  <c r="N530" i="5"/>
  <c r="O530" i="5"/>
  <c r="P530" i="5"/>
  <c r="Q530" i="5"/>
  <c r="R530" i="5"/>
  <c r="S530" i="5"/>
  <c r="T530" i="5"/>
  <c r="U530" i="5"/>
  <c r="V530" i="5"/>
  <c r="W530" i="5"/>
  <c r="X530" i="5"/>
  <c r="Y530" i="5"/>
  <c r="Z530" i="5"/>
  <c r="AA530" i="5"/>
  <c r="AB530" i="5"/>
  <c r="AC530" i="5"/>
  <c r="AD530" i="5"/>
  <c r="I532" i="5"/>
  <c r="J532" i="5"/>
  <c r="K532" i="5"/>
  <c r="L532" i="5"/>
  <c r="M532" i="5"/>
  <c r="N532" i="5"/>
  <c r="O532" i="5"/>
  <c r="P532" i="5"/>
  <c r="Q532" i="5"/>
  <c r="R532" i="5"/>
  <c r="S532" i="5"/>
  <c r="T532" i="5"/>
  <c r="U532" i="5"/>
  <c r="V532" i="5"/>
  <c r="W532" i="5"/>
  <c r="X532" i="5"/>
  <c r="Y532" i="5"/>
  <c r="Z532" i="5"/>
  <c r="AA532" i="5"/>
  <c r="AB532" i="5"/>
  <c r="AC532" i="5"/>
  <c r="I534" i="5"/>
  <c r="J534" i="5"/>
  <c r="K534" i="5"/>
  <c r="L534" i="5"/>
  <c r="M534" i="5"/>
  <c r="N534" i="5"/>
  <c r="O534" i="5"/>
  <c r="P534" i="5"/>
  <c r="Q534" i="5"/>
  <c r="R534" i="5"/>
  <c r="S534" i="5"/>
  <c r="T534" i="5"/>
  <c r="U534" i="5"/>
  <c r="V534" i="5"/>
  <c r="W534" i="5"/>
  <c r="X534" i="5"/>
  <c r="Y534" i="5"/>
  <c r="Z534" i="5"/>
  <c r="AA534" i="5"/>
  <c r="AB534" i="5"/>
  <c r="AC534" i="5"/>
  <c r="B535" i="5"/>
  <c r="I535" i="5"/>
  <c r="J535" i="5"/>
  <c r="K535" i="5"/>
  <c r="L535" i="5"/>
  <c r="M535" i="5"/>
  <c r="N535" i="5"/>
  <c r="O535" i="5"/>
  <c r="P535" i="5"/>
  <c r="Q535" i="5"/>
  <c r="R535" i="5"/>
  <c r="S535" i="5"/>
  <c r="T535" i="5"/>
  <c r="U535" i="5"/>
  <c r="V535" i="5"/>
  <c r="W535" i="5"/>
  <c r="X535" i="5"/>
  <c r="Y535" i="5"/>
  <c r="Z535" i="5"/>
  <c r="AA535" i="5"/>
  <c r="AB535" i="5"/>
  <c r="AC535" i="5"/>
  <c r="I539" i="5"/>
  <c r="J539" i="5"/>
  <c r="K539" i="5"/>
  <c r="L539" i="5"/>
  <c r="M539" i="5"/>
  <c r="N539" i="5"/>
  <c r="O539" i="5"/>
  <c r="P539" i="5"/>
  <c r="Q539" i="5"/>
  <c r="R539" i="5"/>
  <c r="S539" i="5"/>
  <c r="T539" i="5"/>
  <c r="U539" i="5"/>
  <c r="V539" i="5"/>
  <c r="W539" i="5"/>
  <c r="X539" i="5"/>
  <c r="Y539" i="5"/>
  <c r="Z539" i="5"/>
  <c r="AA539" i="5"/>
  <c r="AB539" i="5"/>
  <c r="AC539" i="5"/>
  <c r="J540" i="5"/>
  <c r="K540" i="5"/>
  <c r="L540" i="5"/>
  <c r="M540" i="5"/>
  <c r="N540" i="5"/>
  <c r="O540" i="5"/>
  <c r="P540" i="5"/>
  <c r="Q540" i="5"/>
  <c r="R540" i="5"/>
  <c r="S540" i="5"/>
  <c r="T540" i="5"/>
  <c r="U540" i="5"/>
  <c r="V540" i="5"/>
  <c r="W540" i="5"/>
  <c r="X540" i="5"/>
  <c r="Y540" i="5"/>
  <c r="Z540" i="5"/>
  <c r="AA540" i="5"/>
  <c r="AB540" i="5"/>
  <c r="AC540" i="5"/>
  <c r="I541" i="5"/>
  <c r="J541" i="5"/>
  <c r="K541" i="5"/>
  <c r="L541" i="5"/>
  <c r="M541" i="5"/>
  <c r="N541" i="5"/>
  <c r="O541" i="5"/>
  <c r="P541" i="5"/>
  <c r="Q541" i="5"/>
  <c r="R541" i="5"/>
  <c r="S541" i="5"/>
  <c r="T541" i="5"/>
  <c r="U541" i="5"/>
  <c r="V541" i="5"/>
  <c r="W541" i="5"/>
  <c r="X541" i="5"/>
  <c r="Y541" i="5"/>
  <c r="Z541" i="5"/>
  <c r="AA541" i="5"/>
  <c r="AB541" i="5"/>
  <c r="AC541" i="5"/>
  <c r="J542" i="5"/>
  <c r="K542" i="5"/>
  <c r="L542" i="5"/>
  <c r="M542" i="5"/>
  <c r="N542" i="5"/>
  <c r="O542" i="5"/>
  <c r="P542" i="5"/>
  <c r="Q542" i="5"/>
  <c r="R542" i="5"/>
  <c r="S542" i="5"/>
  <c r="T542" i="5"/>
  <c r="U542" i="5"/>
  <c r="V542" i="5"/>
  <c r="W542" i="5"/>
  <c r="X542" i="5"/>
  <c r="Y542" i="5"/>
  <c r="Z542" i="5"/>
  <c r="AA542" i="5"/>
  <c r="AB542" i="5"/>
  <c r="AC542" i="5"/>
  <c r="I543" i="5"/>
  <c r="J543" i="5"/>
  <c r="K543" i="5"/>
  <c r="L543" i="5"/>
  <c r="M543" i="5"/>
  <c r="N543" i="5"/>
  <c r="O543" i="5"/>
  <c r="P543" i="5"/>
  <c r="Q543" i="5"/>
  <c r="R543" i="5"/>
  <c r="S543" i="5"/>
  <c r="T543" i="5"/>
  <c r="U543" i="5"/>
  <c r="V543" i="5"/>
  <c r="W543" i="5"/>
  <c r="X543" i="5"/>
  <c r="Y543" i="5"/>
  <c r="Z543" i="5"/>
  <c r="AA543" i="5"/>
  <c r="AB543" i="5"/>
  <c r="AC543" i="5"/>
  <c r="AD543" i="5"/>
  <c r="I546" i="5"/>
  <c r="J546" i="5"/>
  <c r="K546" i="5"/>
  <c r="L546" i="5"/>
  <c r="M546" i="5"/>
  <c r="N546" i="5"/>
  <c r="O546" i="5"/>
  <c r="P546" i="5"/>
  <c r="Q546" i="5"/>
  <c r="R546" i="5"/>
  <c r="S546" i="5"/>
  <c r="T546" i="5"/>
  <c r="U546" i="5"/>
  <c r="V546" i="5"/>
  <c r="W546" i="5"/>
  <c r="X546" i="5"/>
  <c r="Y546" i="5"/>
  <c r="Z546" i="5"/>
  <c r="AA546" i="5"/>
  <c r="AB546" i="5"/>
  <c r="AC546" i="5"/>
  <c r="I548" i="5"/>
  <c r="J548" i="5"/>
  <c r="K548" i="5"/>
  <c r="L548" i="5"/>
  <c r="M548" i="5"/>
  <c r="N548" i="5"/>
  <c r="O548" i="5"/>
  <c r="P548" i="5"/>
  <c r="Q548" i="5"/>
  <c r="R548" i="5"/>
  <c r="S548" i="5"/>
  <c r="T548" i="5"/>
  <c r="U548" i="5"/>
  <c r="V548" i="5"/>
  <c r="W548" i="5"/>
  <c r="X548" i="5"/>
  <c r="Y548" i="5"/>
  <c r="Z548" i="5"/>
  <c r="AA548" i="5"/>
  <c r="AB548" i="5"/>
  <c r="AC548" i="5"/>
  <c r="I550" i="5"/>
  <c r="J550" i="5"/>
  <c r="K550" i="5"/>
  <c r="L550" i="5"/>
  <c r="M550" i="5"/>
  <c r="N550" i="5"/>
  <c r="O550" i="5"/>
  <c r="P550" i="5"/>
  <c r="Q550" i="5"/>
  <c r="R550" i="5"/>
  <c r="S550" i="5"/>
  <c r="T550" i="5"/>
  <c r="U550" i="5"/>
  <c r="V550" i="5"/>
  <c r="W550" i="5"/>
  <c r="X550" i="5"/>
  <c r="Y550" i="5"/>
  <c r="Z550" i="5"/>
  <c r="AA550" i="5"/>
  <c r="AB550" i="5"/>
  <c r="AC550" i="5"/>
  <c r="B551" i="5"/>
  <c r="I551" i="5"/>
  <c r="J551" i="5"/>
  <c r="K551" i="5"/>
  <c r="L551" i="5"/>
  <c r="M551" i="5"/>
  <c r="N551" i="5"/>
  <c r="O551" i="5"/>
  <c r="P551" i="5"/>
  <c r="Q551" i="5"/>
  <c r="R551" i="5"/>
  <c r="S551" i="5"/>
  <c r="T551" i="5"/>
  <c r="U551" i="5"/>
  <c r="V551" i="5"/>
  <c r="W551" i="5"/>
  <c r="X551" i="5"/>
  <c r="Y551" i="5"/>
  <c r="Z551" i="5"/>
  <c r="AA551" i="5"/>
  <c r="AB551" i="5"/>
  <c r="AC551" i="5"/>
  <c r="J554" i="5"/>
  <c r="K554" i="5"/>
  <c r="L554" i="5"/>
  <c r="M554" i="5"/>
  <c r="N554" i="5"/>
  <c r="O554" i="5"/>
  <c r="P554" i="5"/>
  <c r="Q554" i="5"/>
  <c r="R554" i="5"/>
  <c r="S554" i="5"/>
  <c r="T554" i="5"/>
  <c r="U554" i="5"/>
  <c r="V554" i="5"/>
  <c r="W554" i="5"/>
  <c r="X554" i="5"/>
  <c r="Y554" i="5"/>
  <c r="Z554" i="5"/>
  <c r="AA554" i="5"/>
  <c r="AB554" i="5"/>
  <c r="AC554" i="5"/>
  <c r="I555" i="5"/>
  <c r="J555" i="5"/>
  <c r="K555" i="5"/>
  <c r="L555" i="5"/>
  <c r="M555" i="5"/>
  <c r="N555" i="5"/>
  <c r="O555" i="5"/>
  <c r="P555" i="5"/>
  <c r="Q555" i="5"/>
  <c r="R555" i="5"/>
  <c r="S555" i="5"/>
  <c r="T555" i="5"/>
  <c r="U555" i="5"/>
  <c r="V555" i="5"/>
  <c r="W555" i="5"/>
  <c r="X555" i="5"/>
  <c r="Y555" i="5"/>
  <c r="Z555" i="5"/>
  <c r="AA555" i="5"/>
  <c r="AB555" i="5"/>
  <c r="AC555" i="5"/>
  <c r="J556" i="5"/>
  <c r="K556" i="5"/>
  <c r="L556" i="5"/>
  <c r="M556" i="5"/>
  <c r="N556" i="5"/>
  <c r="O556" i="5"/>
  <c r="P556" i="5"/>
  <c r="Q556" i="5"/>
  <c r="R556" i="5"/>
  <c r="S556" i="5"/>
  <c r="T556" i="5"/>
  <c r="U556" i="5"/>
  <c r="V556" i="5"/>
  <c r="W556" i="5"/>
  <c r="X556" i="5"/>
  <c r="Y556" i="5"/>
  <c r="Z556" i="5"/>
  <c r="AA556" i="5"/>
  <c r="AB556" i="5"/>
  <c r="AC556" i="5"/>
  <c r="I557" i="5"/>
  <c r="J557" i="5"/>
  <c r="K557" i="5"/>
  <c r="L557" i="5"/>
  <c r="M557" i="5"/>
  <c r="N557" i="5"/>
  <c r="O557" i="5"/>
  <c r="P557" i="5"/>
  <c r="Q557" i="5"/>
  <c r="R557" i="5"/>
  <c r="S557" i="5"/>
  <c r="T557" i="5"/>
  <c r="U557" i="5"/>
  <c r="V557" i="5"/>
  <c r="W557" i="5"/>
  <c r="X557" i="5"/>
  <c r="Y557" i="5"/>
  <c r="Z557" i="5"/>
  <c r="AA557" i="5"/>
  <c r="AB557" i="5"/>
  <c r="AC557" i="5"/>
  <c r="I559" i="5"/>
  <c r="J559" i="5"/>
  <c r="K559" i="5"/>
  <c r="L559" i="5"/>
  <c r="M559" i="5"/>
  <c r="N559" i="5"/>
  <c r="O559" i="5"/>
  <c r="P559" i="5"/>
  <c r="Q559" i="5"/>
  <c r="R559" i="5"/>
  <c r="S559" i="5"/>
  <c r="T559" i="5"/>
  <c r="U559" i="5"/>
  <c r="V559" i="5"/>
  <c r="W559" i="5"/>
  <c r="X559" i="5"/>
  <c r="Y559" i="5"/>
  <c r="Z559" i="5"/>
  <c r="AA559" i="5"/>
  <c r="AB559" i="5"/>
  <c r="AC559" i="5"/>
  <c r="I561" i="5"/>
  <c r="J561" i="5"/>
  <c r="K561" i="5"/>
  <c r="L561" i="5"/>
  <c r="M561" i="5"/>
  <c r="N561" i="5"/>
  <c r="O561" i="5"/>
  <c r="P561" i="5"/>
  <c r="Q561" i="5"/>
  <c r="R561" i="5"/>
  <c r="S561" i="5"/>
  <c r="T561" i="5"/>
  <c r="U561" i="5"/>
  <c r="V561" i="5"/>
  <c r="W561" i="5"/>
  <c r="X561" i="5"/>
  <c r="Y561" i="5"/>
  <c r="Z561" i="5"/>
  <c r="AA561" i="5"/>
  <c r="AB561" i="5"/>
  <c r="AC561" i="5"/>
  <c r="I562" i="5"/>
  <c r="J562" i="5"/>
  <c r="K562" i="5"/>
  <c r="L562" i="5"/>
  <c r="M562" i="5"/>
  <c r="N562" i="5"/>
  <c r="O562" i="5"/>
  <c r="P562" i="5"/>
  <c r="Q562" i="5"/>
  <c r="R562" i="5"/>
  <c r="S562" i="5"/>
  <c r="T562" i="5"/>
  <c r="U562" i="5"/>
  <c r="V562" i="5"/>
  <c r="W562" i="5"/>
  <c r="X562" i="5"/>
  <c r="Y562" i="5"/>
  <c r="Z562" i="5"/>
  <c r="AA562" i="5"/>
  <c r="AB562" i="5"/>
  <c r="AC562" i="5"/>
  <c r="A564" i="5"/>
  <c r="H564" i="5"/>
  <c r="I564" i="5"/>
  <c r="J564" i="5"/>
  <c r="K564" i="5"/>
  <c r="L564" i="5"/>
  <c r="M564" i="5"/>
  <c r="N564" i="5"/>
  <c r="O564" i="5"/>
  <c r="P564" i="5"/>
  <c r="Q564" i="5"/>
  <c r="R564" i="5"/>
  <c r="S564" i="5"/>
  <c r="T564" i="5"/>
  <c r="U564" i="5"/>
  <c r="V564" i="5"/>
  <c r="W564" i="5"/>
  <c r="X564" i="5"/>
  <c r="Y564" i="5"/>
  <c r="Z564" i="5"/>
  <c r="AA564" i="5"/>
  <c r="AB564" i="5"/>
  <c r="AC564" i="5"/>
  <c r="I568" i="5"/>
  <c r="J568" i="5"/>
  <c r="K568" i="5"/>
  <c r="L568" i="5"/>
  <c r="M568" i="5"/>
  <c r="N568" i="5"/>
  <c r="O568" i="5"/>
  <c r="P568" i="5"/>
  <c r="Q568" i="5"/>
  <c r="R568" i="5"/>
  <c r="S568" i="5"/>
  <c r="T568" i="5"/>
  <c r="U568" i="5"/>
  <c r="V568" i="5"/>
  <c r="W568" i="5"/>
  <c r="X568" i="5"/>
  <c r="Y568" i="5"/>
  <c r="Z568" i="5"/>
  <c r="AA568" i="5"/>
  <c r="AB568" i="5"/>
  <c r="AC568" i="5"/>
  <c r="I574" i="5"/>
  <c r="J574" i="5"/>
  <c r="K574" i="5"/>
  <c r="L574" i="5"/>
  <c r="M574" i="5"/>
  <c r="N574" i="5"/>
  <c r="O574" i="5"/>
  <c r="P574" i="5"/>
  <c r="Q574" i="5"/>
  <c r="R574" i="5"/>
  <c r="S574" i="5"/>
  <c r="T574" i="5"/>
  <c r="U574" i="5"/>
  <c r="V574" i="5"/>
  <c r="W574" i="5"/>
  <c r="X574" i="5"/>
  <c r="Y574" i="5"/>
  <c r="Z574" i="5"/>
  <c r="AA574" i="5"/>
  <c r="AB574" i="5"/>
  <c r="AC574" i="5"/>
  <c r="I576" i="5"/>
  <c r="J576" i="5"/>
  <c r="K576" i="5"/>
  <c r="L576" i="5"/>
  <c r="M576" i="5"/>
  <c r="N576" i="5"/>
  <c r="O576" i="5"/>
  <c r="P576" i="5"/>
  <c r="Q576" i="5"/>
  <c r="R576" i="5"/>
  <c r="S576" i="5"/>
  <c r="T576" i="5"/>
  <c r="U576" i="5"/>
  <c r="V576" i="5"/>
  <c r="W576" i="5"/>
  <c r="X576" i="5"/>
  <c r="Y576" i="5"/>
  <c r="Z576" i="5"/>
  <c r="AA576" i="5"/>
  <c r="AB576" i="5"/>
  <c r="AC576" i="5"/>
  <c r="H581" i="5"/>
  <c r="Y583" i="5"/>
  <c r="A586" i="5"/>
  <c r="I586" i="5"/>
  <c r="J586" i="5"/>
  <c r="K586" i="5"/>
  <c r="L586" i="5"/>
  <c r="M586" i="5"/>
  <c r="N586" i="5"/>
  <c r="O586" i="5"/>
  <c r="P586" i="5"/>
  <c r="Q586" i="5"/>
  <c r="R586" i="5"/>
  <c r="S586" i="5"/>
  <c r="T586" i="5"/>
  <c r="U586" i="5"/>
  <c r="V586" i="5"/>
  <c r="W586" i="5"/>
  <c r="X586" i="5"/>
  <c r="Y586" i="5"/>
  <c r="Z586" i="5"/>
  <c r="AA586" i="5"/>
  <c r="AB586" i="5"/>
  <c r="AC586" i="5"/>
  <c r="AD586" i="5"/>
  <c r="AE586" i="5"/>
  <c r="A587" i="5"/>
  <c r="E587" i="5"/>
  <c r="F587" i="5"/>
  <c r="G587" i="5"/>
  <c r="H587" i="5"/>
  <c r="I587" i="5"/>
  <c r="J587" i="5"/>
  <c r="K587" i="5"/>
  <c r="L587" i="5"/>
  <c r="M587" i="5"/>
  <c r="N587" i="5"/>
  <c r="O587" i="5"/>
  <c r="P587" i="5"/>
  <c r="Q587" i="5"/>
  <c r="R587" i="5"/>
  <c r="S587" i="5"/>
  <c r="T587" i="5"/>
  <c r="U587" i="5"/>
  <c r="V587" i="5"/>
  <c r="W587" i="5"/>
  <c r="X587" i="5"/>
  <c r="Y587" i="5"/>
  <c r="Z587" i="5"/>
  <c r="AA587" i="5"/>
  <c r="AB587" i="5"/>
  <c r="AC587" i="5"/>
  <c r="AD587" i="5"/>
  <c r="E592" i="5"/>
  <c r="F592" i="5"/>
  <c r="G592" i="5"/>
  <c r="H592" i="5"/>
  <c r="I592" i="5"/>
  <c r="J592" i="5"/>
  <c r="K592" i="5"/>
  <c r="L592" i="5"/>
  <c r="M592" i="5"/>
  <c r="N592" i="5"/>
  <c r="O592" i="5"/>
  <c r="P592" i="5"/>
  <c r="Q592" i="5"/>
  <c r="R592" i="5"/>
  <c r="S592" i="5"/>
  <c r="T592" i="5"/>
  <c r="U592" i="5"/>
  <c r="V592" i="5"/>
  <c r="W592" i="5"/>
  <c r="X592" i="5"/>
  <c r="Y592" i="5"/>
  <c r="Z592" i="5"/>
  <c r="AA592" i="5"/>
  <c r="AB592" i="5"/>
  <c r="AC592" i="5"/>
  <c r="A593" i="5"/>
  <c r="J595" i="5"/>
  <c r="K595" i="5"/>
  <c r="L595" i="5"/>
  <c r="M595" i="5"/>
  <c r="N595" i="5"/>
  <c r="O595" i="5"/>
  <c r="P595" i="5"/>
  <c r="Q595" i="5"/>
  <c r="R595" i="5"/>
  <c r="S595" i="5"/>
  <c r="T595" i="5"/>
  <c r="U595" i="5"/>
  <c r="V595" i="5"/>
  <c r="W595" i="5"/>
  <c r="X595" i="5"/>
  <c r="Y595" i="5"/>
  <c r="Z595" i="5"/>
  <c r="AA595" i="5"/>
  <c r="AB595" i="5"/>
  <c r="AC595" i="5"/>
  <c r="I596" i="5"/>
  <c r="J596" i="5"/>
  <c r="K596" i="5"/>
  <c r="L596" i="5"/>
  <c r="M596" i="5"/>
  <c r="N596" i="5"/>
  <c r="O596" i="5"/>
  <c r="P596" i="5"/>
  <c r="Q596" i="5"/>
  <c r="R596" i="5"/>
  <c r="S596" i="5"/>
  <c r="T596" i="5"/>
  <c r="U596" i="5"/>
  <c r="V596" i="5"/>
  <c r="W596" i="5"/>
  <c r="X596" i="5"/>
  <c r="Y596" i="5"/>
  <c r="Z596" i="5"/>
  <c r="AA596" i="5"/>
  <c r="AB596" i="5"/>
  <c r="AC596" i="5"/>
  <c r="J597" i="5"/>
  <c r="K597" i="5"/>
  <c r="L597" i="5"/>
  <c r="M597" i="5"/>
  <c r="N597" i="5"/>
  <c r="O597" i="5"/>
  <c r="P597" i="5"/>
  <c r="Q597" i="5"/>
  <c r="R597" i="5"/>
  <c r="S597" i="5"/>
  <c r="T597" i="5"/>
  <c r="U597" i="5"/>
  <c r="V597" i="5"/>
  <c r="W597" i="5"/>
  <c r="X597" i="5"/>
  <c r="Y597" i="5"/>
  <c r="Z597" i="5"/>
  <c r="AA597" i="5"/>
  <c r="AB597" i="5"/>
  <c r="AC597" i="5"/>
  <c r="I598" i="5"/>
  <c r="J598" i="5"/>
  <c r="K598" i="5"/>
  <c r="L598" i="5"/>
  <c r="M598" i="5"/>
  <c r="N598" i="5"/>
  <c r="O598" i="5"/>
  <c r="P598" i="5"/>
  <c r="Q598" i="5"/>
  <c r="R598" i="5"/>
  <c r="S598" i="5"/>
  <c r="T598" i="5"/>
  <c r="U598" i="5"/>
  <c r="V598" i="5"/>
  <c r="W598" i="5"/>
  <c r="X598" i="5"/>
  <c r="Y598" i="5"/>
  <c r="Z598" i="5"/>
  <c r="AA598" i="5"/>
  <c r="AB598" i="5"/>
  <c r="AC598" i="5"/>
  <c r="I600" i="5"/>
  <c r="J600" i="5"/>
  <c r="K600" i="5"/>
  <c r="L600" i="5"/>
  <c r="M600" i="5"/>
  <c r="N600" i="5"/>
  <c r="O600" i="5"/>
  <c r="P600" i="5"/>
  <c r="Q600" i="5"/>
  <c r="R600" i="5"/>
  <c r="S600" i="5"/>
  <c r="T600" i="5"/>
  <c r="U600" i="5"/>
  <c r="V600" i="5"/>
  <c r="W600" i="5"/>
  <c r="X600" i="5"/>
  <c r="Y600" i="5"/>
  <c r="Z600" i="5"/>
  <c r="AA600" i="5"/>
  <c r="AB600" i="5"/>
  <c r="AC600" i="5"/>
  <c r="I602" i="5"/>
  <c r="J602" i="5"/>
  <c r="K602" i="5"/>
  <c r="L602" i="5"/>
  <c r="M602" i="5"/>
  <c r="N602" i="5"/>
  <c r="O602" i="5"/>
  <c r="P602" i="5"/>
  <c r="Q602" i="5"/>
  <c r="R602" i="5"/>
  <c r="S602" i="5"/>
  <c r="T602" i="5"/>
  <c r="U602" i="5"/>
  <c r="V602" i="5"/>
  <c r="W602" i="5"/>
  <c r="X602" i="5"/>
  <c r="Y602" i="5"/>
  <c r="Z602" i="5"/>
  <c r="AA602" i="5"/>
  <c r="AB602" i="5"/>
  <c r="AC602" i="5"/>
  <c r="B603" i="5"/>
  <c r="I603" i="5"/>
  <c r="J603" i="5"/>
  <c r="K603" i="5"/>
  <c r="L603" i="5"/>
  <c r="M603" i="5"/>
  <c r="N603" i="5"/>
  <c r="O603" i="5"/>
  <c r="P603" i="5"/>
  <c r="Q603" i="5"/>
  <c r="R603" i="5"/>
  <c r="S603" i="5"/>
  <c r="T603" i="5"/>
  <c r="U603" i="5"/>
  <c r="V603" i="5"/>
  <c r="W603" i="5"/>
  <c r="X603" i="5"/>
  <c r="Y603" i="5"/>
  <c r="Z603" i="5"/>
  <c r="AA603" i="5"/>
  <c r="AB603" i="5"/>
  <c r="AC603" i="5"/>
  <c r="J606" i="5"/>
  <c r="K606" i="5"/>
  <c r="L606" i="5"/>
  <c r="M606" i="5"/>
  <c r="N606" i="5"/>
  <c r="O606" i="5"/>
  <c r="P606" i="5"/>
  <c r="Q606" i="5"/>
  <c r="R606" i="5"/>
  <c r="S606" i="5"/>
  <c r="T606" i="5"/>
  <c r="U606" i="5"/>
  <c r="V606" i="5"/>
  <c r="W606" i="5"/>
  <c r="X606" i="5"/>
  <c r="Y606" i="5"/>
  <c r="Z606" i="5"/>
  <c r="AA606" i="5"/>
  <c r="AB606" i="5"/>
  <c r="AC606" i="5"/>
  <c r="I607" i="5"/>
  <c r="J607" i="5"/>
  <c r="K607" i="5"/>
  <c r="L607" i="5"/>
  <c r="M607" i="5"/>
  <c r="N607" i="5"/>
  <c r="O607" i="5"/>
  <c r="P607" i="5"/>
  <c r="Q607" i="5"/>
  <c r="R607" i="5"/>
  <c r="S607" i="5"/>
  <c r="T607" i="5"/>
  <c r="U607" i="5"/>
  <c r="V607" i="5"/>
  <c r="W607" i="5"/>
  <c r="X607" i="5"/>
  <c r="Y607" i="5"/>
  <c r="Z607" i="5"/>
  <c r="AA607" i="5"/>
  <c r="AB607" i="5"/>
  <c r="AC607" i="5"/>
  <c r="J608" i="5"/>
  <c r="K608" i="5"/>
  <c r="L608" i="5"/>
  <c r="M608" i="5"/>
  <c r="N608" i="5"/>
  <c r="O608" i="5"/>
  <c r="P608" i="5"/>
  <c r="Q608" i="5"/>
  <c r="R608" i="5"/>
  <c r="S608" i="5"/>
  <c r="T608" i="5"/>
  <c r="U608" i="5"/>
  <c r="V608" i="5"/>
  <c r="W608" i="5"/>
  <c r="X608" i="5"/>
  <c r="Y608" i="5"/>
  <c r="Z608" i="5"/>
  <c r="AA608" i="5"/>
  <c r="AB608" i="5"/>
  <c r="AC608" i="5"/>
  <c r="I609" i="5"/>
  <c r="J609" i="5"/>
  <c r="K609" i="5"/>
  <c r="L609" i="5"/>
  <c r="M609" i="5"/>
  <c r="N609" i="5"/>
  <c r="O609" i="5"/>
  <c r="P609" i="5"/>
  <c r="Q609" i="5"/>
  <c r="R609" i="5"/>
  <c r="S609" i="5"/>
  <c r="T609" i="5"/>
  <c r="U609" i="5"/>
  <c r="V609" i="5"/>
  <c r="W609" i="5"/>
  <c r="X609" i="5"/>
  <c r="Y609" i="5"/>
  <c r="Z609" i="5"/>
  <c r="AA609" i="5"/>
  <c r="AB609" i="5"/>
  <c r="AC609" i="5"/>
  <c r="I612" i="5"/>
  <c r="J612" i="5"/>
  <c r="K612" i="5"/>
  <c r="L612" i="5"/>
  <c r="M612" i="5"/>
  <c r="N612" i="5"/>
  <c r="O612" i="5"/>
  <c r="P612" i="5"/>
  <c r="Q612" i="5"/>
  <c r="R612" i="5"/>
  <c r="S612" i="5"/>
  <c r="T612" i="5"/>
  <c r="U612" i="5"/>
  <c r="V612" i="5"/>
  <c r="W612" i="5"/>
  <c r="X612" i="5"/>
  <c r="Y612" i="5"/>
  <c r="Z612" i="5"/>
  <c r="AA612" i="5"/>
  <c r="AB612" i="5"/>
  <c r="AC612" i="5"/>
  <c r="I614" i="5"/>
  <c r="J614" i="5"/>
  <c r="K614" i="5"/>
  <c r="L614" i="5"/>
  <c r="M614" i="5"/>
  <c r="N614" i="5"/>
  <c r="O614" i="5"/>
  <c r="P614" i="5"/>
  <c r="Q614" i="5"/>
  <c r="R614" i="5"/>
  <c r="S614" i="5"/>
  <c r="T614" i="5"/>
  <c r="U614" i="5"/>
  <c r="V614" i="5"/>
  <c r="W614" i="5"/>
  <c r="X614" i="5"/>
  <c r="Y614" i="5"/>
  <c r="Z614" i="5"/>
  <c r="AA614" i="5"/>
  <c r="AB614" i="5"/>
  <c r="AC614" i="5"/>
  <c r="I616" i="5"/>
  <c r="J616" i="5"/>
  <c r="K616" i="5"/>
  <c r="L616" i="5"/>
  <c r="M616" i="5"/>
  <c r="N616" i="5"/>
  <c r="O616" i="5"/>
  <c r="P616" i="5"/>
  <c r="Q616" i="5"/>
  <c r="R616" i="5"/>
  <c r="S616" i="5"/>
  <c r="T616" i="5"/>
  <c r="U616" i="5"/>
  <c r="V616" i="5"/>
  <c r="W616" i="5"/>
  <c r="X616" i="5"/>
  <c r="Y616" i="5"/>
  <c r="Z616" i="5"/>
  <c r="AA616" i="5"/>
  <c r="AB616" i="5"/>
  <c r="AC616" i="5"/>
  <c r="B617" i="5"/>
  <c r="I617" i="5"/>
  <c r="J617" i="5"/>
  <c r="K617" i="5"/>
  <c r="L617" i="5"/>
  <c r="M617" i="5"/>
  <c r="N617" i="5"/>
  <c r="O617" i="5"/>
  <c r="P617" i="5"/>
  <c r="Q617" i="5"/>
  <c r="R617" i="5"/>
  <c r="S617" i="5"/>
  <c r="T617" i="5"/>
  <c r="U617" i="5"/>
  <c r="V617" i="5"/>
  <c r="W617" i="5"/>
  <c r="X617" i="5"/>
  <c r="Y617" i="5"/>
  <c r="Z617" i="5"/>
  <c r="AA617" i="5"/>
  <c r="AB617" i="5"/>
  <c r="AC617" i="5"/>
  <c r="J620" i="5"/>
  <c r="K620" i="5"/>
  <c r="L620" i="5"/>
  <c r="M620" i="5"/>
  <c r="N620" i="5"/>
  <c r="O620" i="5"/>
  <c r="P620" i="5"/>
  <c r="Q620" i="5"/>
  <c r="R620" i="5"/>
  <c r="S620" i="5"/>
  <c r="T620" i="5"/>
  <c r="U620" i="5"/>
  <c r="V620" i="5"/>
  <c r="W620" i="5"/>
  <c r="X620" i="5"/>
  <c r="Y620" i="5"/>
  <c r="Z620" i="5"/>
  <c r="AA620" i="5"/>
  <c r="AB620" i="5"/>
  <c r="AC620" i="5"/>
  <c r="I621" i="5"/>
  <c r="J621" i="5"/>
  <c r="K621" i="5"/>
  <c r="L621" i="5"/>
  <c r="M621" i="5"/>
  <c r="N621" i="5"/>
  <c r="O621" i="5"/>
  <c r="P621" i="5"/>
  <c r="Q621" i="5"/>
  <c r="R621" i="5"/>
  <c r="S621" i="5"/>
  <c r="T621" i="5"/>
  <c r="U621" i="5"/>
  <c r="V621" i="5"/>
  <c r="W621" i="5"/>
  <c r="X621" i="5"/>
  <c r="Y621" i="5"/>
  <c r="Z621" i="5"/>
  <c r="AA621" i="5"/>
  <c r="AB621" i="5"/>
  <c r="AC621" i="5"/>
  <c r="J622" i="5"/>
  <c r="K622" i="5"/>
  <c r="L622" i="5"/>
  <c r="M622" i="5"/>
  <c r="N622" i="5"/>
  <c r="O622" i="5"/>
  <c r="P622" i="5"/>
  <c r="Q622" i="5"/>
  <c r="R622" i="5"/>
  <c r="S622" i="5"/>
  <c r="T622" i="5"/>
  <c r="U622" i="5"/>
  <c r="V622" i="5"/>
  <c r="W622" i="5"/>
  <c r="X622" i="5"/>
  <c r="Y622" i="5"/>
  <c r="Z622" i="5"/>
  <c r="AA622" i="5"/>
  <c r="AB622" i="5"/>
  <c r="AC622" i="5"/>
  <c r="I623" i="5"/>
  <c r="J623" i="5"/>
  <c r="K623" i="5"/>
  <c r="L623" i="5"/>
  <c r="M623" i="5"/>
  <c r="N623" i="5"/>
  <c r="O623" i="5"/>
  <c r="P623" i="5"/>
  <c r="Q623" i="5"/>
  <c r="R623" i="5"/>
  <c r="S623" i="5"/>
  <c r="T623" i="5"/>
  <c r="U623" i="5"/>
  <c r="V623" i="5"/>
  <c r="W623" i="5"/>
  <c r="X623" i="5"/>
  <c r="Y623" i="5"/>
  <c r="Z623" i="5"/>
  <c r="AA623" i="5"/>
  <c r="AB623" i="5"/>
  <c r="AC623" i="5"/>
  <c r="I625" i="5"/>
  <c r="J625" i="5"/>
  <c r="K625" i="5"/>
  <c r="L625" i="5"/>
  <c r="M625" i="5"/>
  <c r="N625" i="5"/>
  <c r="O625" i="5"/>
  <c r="P625" i="5"/>
  <c r="Q625" i="5"/>
  <c r="R625" i="5"/>
  <c r="S625" i="5"/>
  <c r="T625" i="5"/>
  <c r="U625" i="5"/>
  <c r="V625" i="5"/>
  <c r="W625" i="5"/>
  <c r="X625" i="5"/>
  <c r="Y625" i="5"/>
  <c r="Z625" i="5"/>
  <c r="AA625" i="5"/>
  <c r="AB625" i="5"/>
  <c r="AC625" i="5"/>
  <c r="I627" i="5"/>
  <c r="J627" i="5"/>
  <c r="K627" i="5"/>
  <c r="L627" i="5"/>
  <c r="M627" i="5"/>
  <c r="N627" i="5"/>
  <c r="O627" i="5"/>
  <c r="P627" i="5"/>
  <c r="Q627" i="5"/>
  <c r="R627" i="5"/>
  <c r="S627" i="5"/>
  <c r="T627" i="5"/>
  <c r="U627" i="5"/>
  <c r="V627" i="5"/>
  <c r="W627" i="5"/>
  <c r="X627" i="5"/>
  <c r="Y627" i="5"/>
  <c r="Z627" i="5"/>
  <c r="AA627" i="5"/>
  <c r="AB627" i="5"/>
  <c r="AC627" i="5"/>
  <c r="I628" i="5"/>
  <c r="J628" i="5"/>
  <c r="K628" i="5"/>
  <c r="L628" i="5"/>
  <c r="M628" i="5"/>
  <c r="N628" i="5"/>
  <c r="O628" i="5"/>
  <c r="P628" i="5"/>
  <c r="Q628" i="5"/>
  <c r="R628" i="5"/>
  <c r="S628" i="5"/>
  <c r="T628" i="5"/>
  <c r="U628" i="5"/>
  <c r="V628" i="5"/>
  <c r="W628" i="5"/>
  <c r="X628" i="5"/>
  <c r="Y628" i="5"/>
  <c r="Z628" i="5"/>
  <c r="AA628" i="5"/>
  <c r="AB628" i="5"/>
  <c r="AC628" i="5"/>
  <c r="A630" i="5"/>
  <c r="H630" i="5"/>
  <c r="I630" i="5"/>
  <c r="J630" i="5"/>
  <c r="K630" i="5"/>
  <c r="L630" i="5"/>
  <c r="M630" i="5"/>
  <c r="N630" i="5"/>
  <c r="O630" i="5"/>
  <c r="P630" i="5"/>
  <c r="Q630" i="5"/>
  <c r="R630" i="5"/>
  <c r="S630" i="5"/>
  <c r="T630" i="5"/>
  <c r="U630" i="5"/>
  <c r="V630" i="5"/>
  <c r="W630" i="5"/>
  <c r="X630" i="5"/>
  <c r="Y630" i="5"/>
  <c r="Z630" i="5"/>
  <c r="AA630" i="5"/>
  <c r="AB630" i="5"/>
  <c r="AC630" i="5"/>
  <c r="I634" i="5"/>
  <c r="J634" i="5"/>
  <c r="K634" i="5"/>
  <c r="L634" i="5"/>
  <c r="M634" i="5"/>
  <c r="N634" i="5"/>
  <c r="O634" i="5"/>
  <c r="P634" i="5"/>
  <c r="Q634" i="5"/>
  <c r="R634" i="5"/>
  <c r="S634" i="5"/>
  <c r="T634" i="5"/>
  <c r="U634" i="5"/>
  <c r="V634" i="5"/>
  <c r="W634" i="5"/>
  <c r="X634" i="5"/>
  <c r="Y634" i="5"/>
  <c r="Z634" i="5"/>
  <c r="AA634" i="5"/>
  <c r="AB634" i="5"/>
  <c r="AC634" i="5"/>
  <c r="H638" i="5"/>
  <c r="I640" i="5"/>
  <c r="J640" i="5"/>
  <c r="K640" i="5"/>
  <c r="L640" i="5"/>
  <c r="M640" i="5"/>
  <c r="N640" i="5"/>
  <c r="O640" i="5"/>
  <c r="P640" i="5"/>
  <c r="Q640" i="5"/>
  <c r="R640" i="5"/>
  <c r="S640" i="5"/>
  <c r="T640" i="5"/>
  <c r="U640" i="5"/>
  <c r="V640" i="5"/>
  <c r="W640" i="5"/>
  <c r="X640" i="5"/>
  <c r="Y640" i="5"/>
  <c r="Z640" i="5"/>
  <c r="AA640" i="5"/>
  <c r="AB640" i="5"/>
  <c r="AC640" i="5"/>
  <c r="I642" i="5"/>
  <c r="J642" i="5"/>
  <c r="K642" i="5"/>
  <c r="L642" i="5"/>
  <c r="M642" i="5"/>
  <c r="N642" i="5"/>
  <c r="O642" i="5"/>
  <c r="P642" i="5"/>
  <c r="Q642" i="5"/>
  <c r="R642" i="5"/>
  <c r="S642" i="5"/>
  <c r="T642" i="5"/>
  <c r="U642" i="5"/>
  <c r="V642" i="5"/>
  <c r="W642" i="5"/>
  <c r="X642" i="5"/>
  <c r="Y642" i="5"/>
  <c r="Z642" i="5"/>
  <c r="AA642" i="5"/>
  <c r="AB642" i="5"/>
  <c r="AC642" i="5"/>
  <c r="H647" i="5"/>
  <c r="I649" i="5"/>
  <c r="J649" i="5"/>
  <c r="K649" i="5"/>
  <c r="L649" i="5"/>
  <c r="M649" i="5"/>
  <c r="N649" i="5"/>
  <c r="O649" i="5"/>
  <c r="P649" i="5"/>
  <c r="Q649" i="5"/>
  <c r="R649" i="5"/>
  <c r="S649" i="5"/>
  <c r="T649" i="5"/>
  <c r="U649" i="5"/>
  <c r="V649" i="5"/>
  <c r="W649" i="5"/>
  <c r="X649" i="5"/>
  <c r="Y649" i="5"/>
  <c r="Z649" i="5"/>
  <c r="AA649" i="5"/>
  <c r="AB649" i="5"/>
  <c r="AC649" i="5"/>
  <c r="A652" i="5"/>
  <c r="I652" i="5"/>
  <c r="J652" i="5"/>
  <c r="K652" i="5"/>
  <c r="L652" i="5"/>
  <c r="M652" i="5"/>
  <c r="N652" i="5"/>
  <c r="O652" i="5"/>
  <c r="P652" i="5"/>
  <c r="Q652" i="5"/>
  <c r="R652" i="5"/>
  <c r="S652" i="5"/>
  <c r="T652" i="5"/>
  <c r="U652" i="5"/>
  <c r="V652" i="5"/>
  <c r="W652" i="5"/>
  <c r="X652" i="5"/>
  <c r="Y652" i="5"/>
  <c r="Z652" i="5"/>
  <c r="AA652" i="5"/>
  <c r="AB652" i="5"/>
  <c r="AC652" i="5"/>
  <c r="A653" i="5"/>
  <c r="E653" i="5"/>
  <c r="F653" i="5"/>
  <c r="G653" i="5"/>
  <c r="H653" i="5"/>
  <c r="I653" i="5"/>
  <c r="J653" i="5"/>
  <c r="K653" i="5"/>
  <c r="L653" i="5"/>
  <c r="M653" i="5"/>
  <c r="N653" i="5"/>
  <c r="O653" i="5"/>
  <c r="P653" i="5"/>
  <c r="Q653" i="5"/>
  <c r="R653" i="5"/>
  <c r="S653" i="5"/>
  <c r="T653" i="5"/>
  <c r="U653" i="5"/>
  <c r="V653" i="5"/>
  <c r="W653" i="5"/>
  <c r="X653" i="5"/>
  <c r="Y653" i="5"/>
  <c r="Z653" i="5"/>
  <c r="AA653" i="5"/>
  <c r="AB653" i="5"/>
  <c r="AC653" i="5"/>
  <c r="E659" i="5"/>
  <c r="F659" i="5"/>
  <c r="G659" i="5"/>
  <c r="H659" i="5"/>
  <c r="I659" i="5"/>
  <c r="J659" i="5"/>
  <c r="K659" i="5"/>
  <c r="L659" i="5"/>
  <c r="M659" i="5"/>
  <c r="N659" i="5"/>
  <c r="O659" i="5"/>
  <c r="P659" i="5"/>
  <c r="Q659" i="5"/>
  <c r="R659" i="5"/>
  <c r="S659" i="5"/>
  <c r="T659" i="5"/>
  <c r="U659" i="5"/>
  <c r="V659" i="5"/>
  <c r="W659" i="5"/>
  <c r="X659" i="5"/>
  <c r="Y659" i="5"/>
  <c r="Z659" i="5"/>
  <c r="AA659" i="5"/>
  <c r="AB659" i="5"/>
  <c r="AC659" i="5"/>
  <c r="E665" i="5"/>
  <c r="F665" i="5"/>
  <c r="G665" i="5"/>
  <c r="H665" i="5"/>
  <c r="I665" i="5"/>
  <c r="J665" i="5"/>
  <c r="K665" i="5"/>
  <c r="L665" i="5"/>
  <c r="M665" i="5"/>
  <c r="N665" i="5"/>
  <c r="O665" i="5"/>
  <c r="P665" i="5"/>
  <c r="Q665" i="5"/>
  <c r="R665" i="5"/>
  <c r="S665" i="5"/>
  <c r="T665" i="5"/>
  <c r="U665" i="5"/>
  <c r="V665" i="5"/>
  <c r="W665" i="5"/>
  <c r="X665" i="5"/>
  <c r="Y665" i="5"/>
  <c r="Z665" i="5"/>
  <c r="AA665" i="5"/>
  <c r="AB665" i="5"/>
  <c r="AC665" i="5"/>
  <c r="E666" i="5"/>
  <c r="F666" i="5"/>
  <c r="G666" i="5"/>
  <c r="H666" i="5"/>
  <c r="I666" i="5"/>
  <c r="J666" i="5"/>
  <c r="K666" i="5"/>
  <c r="L666" i="5"/>
  <c r="M666" i="5"/>
  <c r="N666" i="5"/>
  <c r="O666" i="5"/>
  <c r="P666" i="5"/>
  <c r="Q666" i="5"/>
  <c r="R666" i="5"/>
  <c r="S666" i="5"/>
  <c r="T666" i="5"/>
  <c r="U666" i="5"/>
  <c r="V666" i="5"/>
  <c r="W666" i="5"/>
  <c r="X666" i="5"/>
  <c r="Y666" i="5"/>
  <c r="Z666" i="5"/>
  <c r="AA666" i="5"/>
  <c r="AB666" i="5"/>
  <c r="AC666" i="5"/>
  <c r="E667" i="5"/>
  <c r="F667" i="5"/>
  <c r="G667" i="5"/>
  <c r="H667" i="5"/>
  <c r="I667" i="5"/>
  <c r="J667" i="5"/>
  <c r="K667" i="5"/>
  <c r="L667" i="5"/>
  <c r="M667" i="5"/>
  <c r="N667" i="5"/>
  <c r="O667" i="5"/>
  <c r="P667" i="5"/>
  <c r="Q667" i="5"/>
  <c r="R667" i="5"/>
  <c r="S667" i="5"/>
  <c r="T667" i="5"/>
  <c r="U667" i="5"/>
  <c r="V667" i="5"/>
  <c r="W667" i="5"/>
  <c r="X667" i="5"/>
  <c r="Y667" i="5"/>
  <c r="Z667" i="5"/>
  <c r="AA667" i="5"/>
  <c r="AB667" i="5"/>
  <c r="AC667" i="5"/>
  <c r="R669" i="5"/>
  <c r="S669" i="5"/>
  <c r="T669" i="5"/>
  <c r="U669" i="5"/>
  <c r="V669" i="5"/>
  <c r="W669" i="5"/>
  <c r="X669" i="5"/>
  <c r="Y669" i="5"/>
  <c r="Z669" i="5"/>
  <c r="AA669" i="5"/>
  <c r="AB669" i="5"/>
  <c r="AC669" i="5"/>
  <c r="I670" i="5"/>
  <c r="J670" i="5"/>
  <c r="K670" i="5"/>
  <c r="L670" i="5"/>
  <c r="M670" i="5"/>
  <c r="N670" i="5"/>
  <c r="O670" i="5"/>
  <c r="P670" i="5"/>
  <c r="Q670" i="5"/>
  <c r="R670" i="5"/>
  <c r="S670" i="5"/>
  <c r="T670" i="5"/>
  <c r="U670" i="5"/>
  <c r="V670" i="5"/>
  <c r="W670" i="5"/>
  <c r="X670" i="5"/>
  <c r="Y670" i="5"/>
  <c r="Z670" i="5"/>
  <c r="AA670" i="5"/>
  <c r="AB670" i="5"/>
  <c r="AC670" i="5"/>
  <c r="I671" i="5"/>
  <c r="J671" i="5"/>
  <c r="K671" i="5"/>
  <c r="L671" i="5"/>
  <c r="M671" i="5"/>
  <c r="N671" i="5"/>
  <c r="O671" i="5"/>
  <c r="P671" i="5"/>
  <c r="Q671" i="5"/>
  <c r="R671" i="5"/>
  <c r="S671" i="5"/>
  <c r="T671" i="5"/>
  <c r="U671" i="5"/>
  <c r="V671" i="5"/>
  <c r="W671" i="5"/>
  <c r="X671" i="5"/>
  <c r="Y671" i="5"/>
  <c r="Z671" i="5"/>
  <c r="AA671" i="5"/>
  <c r="AB671" i="5"/>
  <c r="AC671" i="5"/>
  <c r="I672" i="5"/>
  <c r="J672" i="5"/>
  <c r="K672" i="5"/>
  <c r="L672" i="5"/>
  <c r="M672" i="5"/>
  <c r="N672" i="5"/>
  <c r="O672" i="5"/>
  <c r="P672" i="5"/>
  <c r="Q672" i="5"/>
  <c r="R672" i="5"/>
  <c r="S672" i="5"/>
  <c r="T672" i="5"/>
  <c r="U672" i="5"/>
  <c r="V672" i="5"/>
  <c r="W672" i="5"/>
  <c r="X672" i="5"/>
  <c r="Y672" i="5"/>
  <c r="Z672" i="5"/>
  <c r="AA672" i="5"/>
  <c r="AB672" i="5"/>
  <c r="AC672" i="5"/>
  <c r="I674" i="5"/>
  <c r="J674" i="5"/>
  <c r="K674" i="5"/>
  <c r="L674" i="5"/>
  <c r="M674" i="5"/>
  <c r="N674" i="5"/>
  <c r="O674" i="5"/>
  <c r="P674" i="5"/>
  <c r="Q674" i="5"/>
  <c r="R674" i="5"/>
  <c r="S674" i="5"/>
  <c r="T674" i="5"/>
  <c r="U674" i="5"/>
  <c r="V674" i="5"/>
  <c r="W674" i="5"/>
  <c r="X674" i="5"/>
  <c r="Y674" i="5"/>
  <c r="Z674" i="5"/>
  <c r="AA674" i="5"/>
  <c r="AB674" i="5"/>
  <c r="AC674" i="5"/>
  <c r="I675" i="5"/>
  <c r="J675" i="5"/>
  <c r="K675" i="5"/>
  <c r="L675" i="5"/>
  <c r="M675" i="5"/>
  <c r="N675" i="5"/>
  <c r="O675" i="5"/>
  <c r="P675" i="5"/>
  <c r="Q675" i="5"/>
  <c r="R675" i="5"/>
  <c r="S675" i="5"/>
  <c r="T675" i="5"/>
  <c r="U675" i="5"/>
  <c r="V675" i="5"/>
  <c r="W675" i="5"/>
  <c r="X675" i="5"/>
  <c r="Y675" i="5"/>
  <c r="Z675" i="5"/>
  <c r="AA675" i="5"/>
  <c r="AB675" i="5"/>
  <c r="AC675" i="5"/>
  <c r="E677" i="5"/>
  <c r="F677" i="5"/>
  <c r="G677" i="5"/>
  <c r="H677" i="5"/>
  <c r="I677" i="5"/>
  <c r="J677" i="5"/>
  <c r="K677" i="5"/>
  <c r="L677" i="5"/>
  <c r="M677" i="5"/>
  <c r="N677" i="5"/>
  <c r="O677" i="5"/>
  <c r="P677" i="5"/>
  <c r="Q677" i="5"/>
  <c r="R677" i="5"/>
  <c r="S677" i="5"/>
  <c r="T677" i="5"/>
  <c r="U677" i="5"/>
  <c r="V677" i="5"/>
  <c r="W677" i="5"/>
  <c r="X677" i="5"/>
  <c r="Y677" i="5"/>
  <c r="Z677" i="5"/>
  <c r="AA677" i="5"/>
  <c r="AB677" i="5"/>
  <c r="AC677" i="5"/>
  <c r="E680" i="5"/>
  <c r="F680" i="5"/>
  <c r="G680" i="5"/>
  <c r="H680" i="5"/>
  <c r="I680" i="5"/>
  <c r="J680" i="5"/>
  <c r="K680" i="5"/>
  <c r="L680" i="5"/>
  <c r="M680" i="5"/>
  <c r="N680" i="5"/>
  <c r="O680" i="5"/>
  <c r="P680" i="5"/>
  <c r="Q680" i="5"/>
  <c r="R680" i="5"/>
  <c r="S680" i="5"/>
  <c r="T680" i="5"/>
  <c r="U680" i="5"/>
  <c r="V680" i="5"/>
  <c r="W680" i="5"/>
  <c r="X680" i="5"/>
  <c r="Y680" i="5"/>
  <c r="Z680" i="5"/>
  <c r="AA680" i="5"/>
  <c r="AB680" i="5"/>
  <c r="AC680" i="5"/>
  <c r="E681" i="5"/>
  <c r="F681" i="5"/>
  <c r="G681" i="5"/>
  <c r="H681" i="5"/>
  <c r="I681" i="5"/>
  <c r="J681" i="5"/>
  <c r="K681" i="5"/>
  <c r="L681" i="5"/>
  <c r="M681" i="5"/>
  <c r="N681" i="5"/>
  <c r="O681" i="5"/>
  <c r="P681" i="5"/>
  <c r="Q681" i="5"/>
  <c r="R681" i="5"/>
  <c r="S681" i="5"/>
  <c r="T681" i="5"/>
  <c r="U681" i="5"/>
  <c r="V681" i="5"/>
  <c r="W681" i="5"/>
  <c r="X681" i="5"/>
  <c r="Y681" i="5"/>
  <c r="Z681" i="5"/>
  <c r="AA681" i="5"/>
  <c r="AB681" i="5"/>
  <c r="AC681" i="5"/>
  <c r="E682" i="5"/>
  <c r="F682" i="5"/>
  <c r="G682" i="5"/>
  <c r="H682" i="5"/>
  <c r="I682" i="5"/>
  <c r="J682" i="5"/>
  <c r="K682" i="5"/>
  <c r="L682" i="5"/>
  <c r="M682" i="5"/>
  <c r="N682" i="5"/>
  <c r="O682" i="5"/>
  <c r="P682" i="5"/>
  <c r="Q682" i="5"/>
  <c r="R682" i="5"/>
  <c r="S682" i="5"/>
  <c r="T682" i="5"/>
  <c r="U682" i="5"/>
  <c r="V682" i="5"/>
  <c r="W682" i="5"/>
  <c r="X682" i="5"/>
  <c r="Y682" i="5"/>
  <c r="Z682" i="5"/>
  <c r="AA682" i="5"/>
  <c r="AB682" i="5"/>
  <c r="AC682" i="5"/>
  <c r="I685" i="5"/>
  <c r="J685" i="5"/>
  <c r="K685" i="5"/>
  <c r="L685" i="5"/>
  <c r="M685" i="5"/>
  <c r="N685" i="5"/>
  <c r="O685" i="5"/>
  <c r="P685" i="5"/>
  <c r="Q685" i="5"/>
  <c r="R685" i="5"/>
  <c r="S685" i="5"/>
  <c r="T685" i="5"/>
  <c r="U685" i="5"/>
  <c r="V685" i="5"/>
  <c r="W685" i="5"/>
  <c r="X685" i="5"/>
  <c r="Y685" i="5"/>
  <c r="Z685" i="5"/>
  <c r="AA685" i="5"/>
  <c r="AB685" i="5"/>
  <c r="AC685" i="5"/>
  <c r="I686" i="5"/>
  <c r="J686" i="5"/>
  <c r="K686" i="5"/>
  <c r="L686" i="5"/>
  <c r="M686" i="5"/>
  <c r="N686" i="5"/>
  <c r="O686" i="5"/>
  <c r="P686" i="5"/>
  <c r="Q686" i="5"/>
  <c r="R686" i="5"/>
  <c r="S686" i="5"/>
  <c r="T686" i="5"/>
  <c r="U686" i="5"/>
  <c r="V686" i="5"/>
  <c r="W686" i="5"/>
  <c r="X686" i="5"/>
  <c r="Y686" i="5"/>
  <c r="Z686" i="5"/>
  <c r="AA686" i="5"/>
  <c r="AB686" i="5"/>
  <c r="AC686" i="5"/>
  <c r="I687" i="5"/>
  <c r="J687" i="5"/>
  <c r="K687" i="5"/>
  <c r="L687" i="5"/>
  <c r="M687" i="5"/>
  <c r="N687" i="5"/>
  <c r="O687" i="5"/>
  <c r="P687" i="5"/>
  <c r="Q687" i="5"/>
  <c r="R687" i="5"/>
  <c r="S687" i="5"/>
  <c r="T687" i="5"/>
  <c r="U687" i="5"/>
  <c r="V687" i="5"/>
  <c r="W687" i="5"/>
  <c r="X687" i="5"/>
  <c r="Y687" i="5"/>
  <c r="Z687" i="5"/>
  <c r="AA687" i="5"/>
  <c r="AB687" i="5"/>
  <c r="AC687" i="5"/>
  <c r="I689" i="5"/>
  <c r="J689" i="5"/>
  <c r="K689" i="5"/>
  <c r="L689" i="5"/>
  <c r="M689" i="5"/>
  <c r="N689" i="5"/>
  <c r="O689" i="5"/>
  <c r="P689" i="5"/>
  <c r="Q689" i="5"/>
  <c r="R689" i="5"/>
  <c r="S689" i="5"/>
  <c r="T689" i="5"/>
  <c r="U689" i="5"/>
  <c r="V689" i="5"/>
  <c r="W689" i="5"/>
  <c r="X689" i="5"/>
  <c r="Y689" i="5"/>
  <c r="Z689" i="5"/>
  <c r="AA689" i="5"/>
  <c r="AB689" i="5"/>
  <c r="AC689" i="5"/>
  <c r="I690" i="5"/>
  <c r="J690" i="5"/>
  <c r="K690" i="5"/>
  <c r="L690" i="5"/>
  <c r="M690" i="5"/>
  <c r="N690" i="5"/>
  <c r="O690" i="5"/>
  <c r="P690" i="5"/>
  <c r="Q690" i="5"/>
  <c r="R690" i="5"/>
  <c r="S690" i="5"/>
  <c r="T690" i="5"/>
  <c r="U690" i="5"/>
  <c r="V690" i="5"/>
  <c r="W690" i="5"/>
  <c r="X690" i="5"/>
  <c r="Y690" i="5"/>
  <c r="Z690" i="5"/>
  <c r="AA690" i="5"/>
  <c r="AB690" i="5"/>
  <c r="AC690" i="5"/>
  <c r="E692" i="5"/>
  <c r="F692" i="5"/>
  <c r="G692" i="5"/>
  <c r="H692" i="5"/>
  <c r="I692" i="5"/>
  <c r="J692" i="5"/>
  <c r="K692" i="5"/>
  <c r="L692" i="5"/>
  <c r="M692" i="5"/>
  <c r="N692" i="5"/>
  <c r="O692" i="5"/>
  <c r="P692" i="5"/>
  <c r="Q692" i="5"/>
  <c r="R692" i="5"/>
  <c r="S692" i="5"/>
  <c r="T692" i="5"/>
  <c r="U692" i="5"/>
  <c r="V692" i="5"/>
  <c r="W692" i="5"/>
  <c r="X692" i="5"/>
  <c r="Y692" i="5"/>
  <c r="Z692" i="5"/>
  <c r="AA692" i="5"/>
  <c r="AB692" i="5"/>
  <c r="AC692" i="5"/>
  <c r="E695" i="5"/>
  <c r="F695" i="5"/>
  <c r="G695" i="5"/>
  <c r="H695" i="5"/>
  <c r="I695" i="5"/>
  <c r="J695" i="5"/>
  <c r="K695" i="5"/>
  <c r="L695" i="5"/>
  <c r="M695" i="5"/>
  <c r="N695" i="5"/>
  <c r="O695" i="5"/>
  <c r="P695" i="5"/>
  <c r="Q695" i="5"/>
  <c r="R695" i="5"/>
  <c r="S695" i="5"/>
  <c r="T695" i="5"/>
  <c r="U695" i="5"/>
  <c r="V695" i="5"/>
  <c r="W695" i="5"/>
  <c r="X695" i="5"/>
  <c r="Y695" i="5"/>
  <c r="Z695" i="5"/>
  <c r="AA695" i="5"/>
  <c r="AB695" i="5"/>
  <c r="AC695" i="5"/>
  <c r="E696" i="5"/>
  <c r="F696" i="5"/>
  <c r="G696" i="5"/>
  <c r="H696" i="5"/>
  <c r="I696" i="5"/>
  <c r="J696" i="5"/>
  <c r="K696" i="5"/>
  <c r="L696" i="5"/>
  <c r="M696" i="5"/>
  <c r="N696" i="5"/>
  <c r="O696" i="5"/>
  <c r="P696" i="5"/>
  <c r="Q696" i="5"/>
  <c r="R696" i="5"/>
  <c r="S696" i="5"/>
  <c r="T696" i="5"/>
  <c r="U696" i="5"/>
  <c r="V696" i="5"/>
  <c r="W696" i="5"/>
  <c r="X696" i="5"/>
  <c r="Y696" i="5"/>
  <c r="Z696" i="5"/>
  <c r="AA696" i="5"/>
  <c r="AB696" i="5"/>
  <c r="AC696" i="5"/>
  <c r="E697" i="5"/>
  <c r="F697" i="5"/>
  <c r="G697" i="5"/>
  <c r="H697" i="5"/>
  <c r="I697" i="5"/>
  <c r="J697" i="5"/>
  <c r="K697" i="5"/>
  <c r="L697" i="5"/>
  <c r="M697" i="5"/>
  <c r="N697" i="5"/>
  <c r="O697" i="5"/>
  <c r="P697" i="5"/>
  <c r="Q697" i="5"/>
  <c r="R697" i="5"/>
  <c r="S697" i="5"/>
  <c r="T697" i="5"/>
  <c r="U697" i="5"/>
  <c r="V697" i="5"/>
  <c r="W697" i="5"/>
  <c r="X697" i="5"/>
  <c r="Y697" i="5"/>
  <c r="Z697" i="5"/>
  <c r="AA697" i="5"/>
  <c r="AB697" i="5"/>
  <c r="AC697" i="5"/>
  <c r="I700" i="5"/>
  <c r="J700" i="5"/>
  <c r="K700" i="5"/>
  <c r="L700" i="5"/>
  <c r="M700" i="5"/>
  <c r="N700" i="5"/>
  <c r="O700" i="5"/>
  <c r="P700" i="5"/>
  <c r="Q700" i="5"/>
  <c r="R700" i="5"/>
  <c r="S700" i="5"/>
  <c r="T700" i="5"/>
  <c r="U700" i="5"/>
  <c r="V700" i="5"/>
  <c r="W700" i="5"/>
  <c r="X700" i="5"/>
  <c r="Y700" i="5"/>
  <c r="Z700" i="5"/>
  <c r="AA700" i="5"/>
  <c r="AB700" i="5"/>
  <c r="AC700" i="5"/>
  <c r="I701" i="5"/>
  <c r="J701" i="5"/>
  <c r="K701" i="5"/>
  <c r="L701" i="5"/>
  <c r="M701" i="5"/>
  <c r="N701" i="5"/>
  <c r="O701" i="5"/>
  <c r="P701" i="5"/>
  <c r="Q701" i="5"/>
  <c r="R701" i="5"/>
  <c r="S701" i="5"/>
  <c r="T701" i="5"/>
  <c r="U701" i="5"/>
  <c r="V701" i="5"/>
  <c r="W701" i="5"/>
  <c r="X701" i="5"/>
  <c r="Y701" i="5"/>
  <c r="Z701" i="5"/>
  <c r="AA701" i="5"/>
  <c r="AB701" i="5"/>
  <c r="AC701" i="5"/>
  <c r="I702" i="5"/>
  <c r="J702" i="5"/>
  <c r="K702" i="5"/>
  <c r="L702" i="5"/>
  <c r="M702" i="5"/>
  <c r="N702" i="5"/>
  <c r="O702" i="5"/>
  <c r="P702" i="5"/>
  <c r="Q702" i="5"/>
  <c r="R702" i="5"/>
  <c r="S702" i="5"/>
  <c r="T702" i="5"/>
  <c r="U702" i="5"/>
  <c r="V702" i="5"/>
  <c r="W702" i="5"/>
  <c r="X702" i="5"/>
  <c r="Y702" i="5"/>
  <c r="Z702" i="5"/>
  <c r="AA702" i="5"/>
  <c r="AB702" i="5"/>
  <c r="AC702" i="5"/>
  <c r="I704" i="5"/>
  <c r="J704" i="5"/>
  <c r="K704" i="5"/>
  <c r="L704" i="5"/>
  <c r="M704" i="5"/>
  <c r="N704" i="5"/>
  <c r="O704" i="5"/>
  <c r="P704" i="5"/>
  <c r="Q704" i="5"/>
  <c r="R704" i="5"/>
  <c r="S704" i="5"/>
  <c r="T704" i="5"/>
  <c r="U704" i="5"/>
  <c r="V704" i="5"/>
  <c r="W704" i="5"/>
  <c r="X704" i="5"/>
  <c r="Y704" i="5"/>
  <c r="Z704" i="5"/>
  <c r="AA704" i="5"/>
  <c r="AB704" i="5"/>
  <c r="AC704" i="5"/>
  <c r="I705" i="5"/>
  <c r="J705" i="5"/>
  <c r="K705" i="5"/>
  <c r="L705" i="5"/>
  <c r="M705" i="5"/>
  <c r="N705" i="5"/>
  <c r="O705" i="5"/>
  <c r="P705" i="5"/>
  <c r="Q705" i="5"/>
  <c r="R705" i="5"/>
  <c r="S705" i="5"/>
  <c r="T705" i="5"/>
  <c r="U705" i="5"/>
  <c r="V705" i="5"/>
  <c r="W705" i="5"/>
  <c r="X705" i="5"/>
  <c r="Y705" i="5"/>
  <c r="Z705" i="5"/>
  <c r="AA705" i="5"/>
  <c r="AB705" i="5"/>
  <c r="AC705" i="5"/>
  <c r="E707" i="5"/>
  <c r="F707" i="5"/>
  <c r="G707" i="5"/>
  <c r="H707" i="5"/>
  <c r="I707" i="5"/>
  <c r="J707" i="5"/>
  <c r="K707" i="5"/>
  <c r="L707" i="5"/>
  <c r="M707" i="5"/>
  <c r="N707" i="5"/>
  <c r="O707" i="5"/>
  <c r="P707" i="5"/>
  <c r="Q707" i="5"/>
  <c r="R707" i="5"/>
  <c r="S707" i="5"/>
  <c r="T707" i="5"/>
  <c r="U707" i="5"/>
  <c r="V707" i="5"/>
  <c r="W707" i="5"/>
  <c r="X707" i="5"/>
  <c r="Y707" i="5"/>
  <c r="Z707" i="5"/>
  <c r="AA707" i="5"/>
  <c r="AB707" i="5"/>
  <c r="AC707" i="5"/>
  <c r="E710" i="5"/>
  <c r="F710" i="5"/>
  <c r="G710" i="5"/>
  <c r="H710" i="5"/>
  <c r="I710" i="5"/>
  <c r="J710" i="5"/>
  <c r="K710" i="5"/>
  <c r="L710" i="5"/>
  <c r="M710" i="5"/>
  <c r="N710" i="5"/>
  <c r="O710" i="5"/>
  <c r="P710" i="5"/>
  <c r="Q710" i="5"/>
  <c r="R710" i="5"/>
  <c r="S710" i="5"/>
  <c r="T710" i="5"/>
  <c r="U710" i="5"/>
  <c r="V710" i="5"/>
  <c r="W710" i="5"/>
  <c r="X710" i="5"/>
  <c r="Y710" i="5"/>
  <c r="Z710" i="5"/>
  <c r="AA710" i="5"/>
  <c r="AB710" i="5"/>
  <c r="AC710" i="5"/>
  <c r="I711" i="5"/>
  <c r="J711" i="5"/>
  <c r="K711" i="5"/>
  <c r="L711" i="5"/>
  <c r="M711" i="5"/>
  <c r="N711" i="5"/>
  <c r="O711" i="5"/>
  <c r="P711" i="5"/>
  <c r="Q711" i="5"/>
  <c r="R711" i="5"/>
  <c r="S711" i="5"/>
  <c r="T711" i="5"/>
  <c r="U711" i="5"/>
  <c r="V711" i="5"/>
  <c r="W711" i="5"/>
  <c r="X711" i="5"/>
  <c r="Y711" i="5"/>
  <c r="Z711" i="5"/>
  <c r="AA711" i="5"/>
  <c r="AB711" i="5"/>
  <c r="AC711" i="5"/>
  <c r="E712" i="5"/>
  <c r="F712" i="5"/>
  <c r="G712" i="5"/>
  <c r="H712" i="5"/>
  <c r="I712" i="5"/>
  <c r="J712" i="5"/>
  <c r="K712" i="5"/>
  <c r="L712" i="5"/>
  <c r="M712" i="5"/>
  <c r="N712" i="5"/>
  <c r="O712" i="5"/>
  <c r="P712" i="5"/>
  <c r="Q712" i="5"/>
  <c r="R712" i="5"/>
  <c r="S712" i="5"/>
  <c r="T712" i="5"/>
  <c r="U712" i="5"/>
  <c r="V712" i="5"/>
  <c r="W712" i="5"/>
  <c r="X712" i="5"/>
  <c r="Y712" i="5"/>
  <c r="Z712" i="5"/>
  <c r="AA712" i="5"/>
  <c r="AB712" i="5"/>
  <c r="AC712" i="5"/>
  <c r="E714" i="5"/>
  <c r="F714" i="5"/>
  <c r="G714" i="5"/>
  <c r="H714" i="5"/>
  <c r="I714" i="5"/>
  <c r="J714" i="5"/>
  <c r="K714" i="5"/>
  <c r="L714" i="5"/>
  <c r="M714" i="5"/>
  <c r="N714" i="5"/>
  <c r="O714" i="5"/>
  <c r="P714" i="5"/>
  <c r="Q714" i="5"/>
  <c r="R714" i="5"/>
  <c r="S714" i="5"/>
  <c r="T714" i="5"/>
  <c r="U714" i="5"/>
  <c r="V714" i="5"/>
  <c r="W714" i="5"/>
  <c r="X714" i="5"/>
  <c r="Y714" i="5"/>
  <c r="Z714" i="5"/>
  <c r="AA714" i="5"/>
  <c r="AB714" i="5"/>
  <c r="AC714" i="5"/>
  <c r="E716" i="5"/>
  <c r="F716" i="5"/>
  <c r="G716" i="5"/>
  <c r="H716" i="5"/>
  <c r="I716" i="5"/>
  <c r="J716" i="5"/>
  <c r="K716" i="5"/>
  <c r="L716" i="5"/>
  <c r="M716" i="5"/>
  <c r="N716" i="5"/>
  <c r="O716" i="5"/>
  <c r="P716" i="5"/>
  <c r="Q716" i="5"/>
  <c r="R716" i="5"/>
  <c r="S716" i="5"/>
  <c r="T716" i="5"/>
  <c r="U716" i="5"/>
  <c r="V716" i="5"/>
  <c r="W716" i="5"/>
  <c r="X716" i="5"/>
  <c r="Y716" i="5"/>
  <c r="Z716" i="5"/>
  <c r="AA716" i="5"/>
  <c r="AB716" i="5"/>
  <c r="AC716" i="5"/>
  <c r="I717" i="5"/>
  <c r="J717" i="5"/>
  <c r="K717" i="5"/>
  <c r="L717" i="5"/>
  <c r="M717" i="5"/>
  <c r="N717" i="5"/>
  <c r="O717" i="5"/>
  <c r="P717" i="5"/>
  <c r="Q717" i="5"/>
  <c r="R717" i="5"/>
  <c r="S717" i="5"/>
  <c r="T717" i="5"/>
  <c r="U717" i="5"/>
  <c r="V717" i="5"/>
  <c r="W717" i="5"/>
  <c r="X717" i="5"/>
  <c r="Y717" i="5"/>
  <c r="Z717" i="5"/>
  <c r="AA717" i="5"/>
  <c r="AB717" i="5"/>
  <c r="AC717" i="5"/>
  <c r="E718" i="5"/>
  <c r="F718" i="5"/>
  <c r="G718" i="5"/>
  <c r="H718" i="5"/>
  <c r="I718" i="5"/>
  <c r="J718" i="5"/>
  <c r="K718" i="5"/>
  <c r="L718" i="5"/>
  <c r="M718" i="5"/>
  <c r="N718" i="5"/>
  <c r="O718" i="5"/>
  <c r="P718" i="5"/>
  <c r="Q718" i="5"/>
  <c r="R718" i="5"/>
  <c r="S718" i="5"/>
  <c r="T718" i="5"/>
  <c r="U718" i="5"/>
  <c r="V718" i="5"/>
  <c r="W718" i="5"/>
  <c r="X718" i="5"/>
  <c r="Y718" i="5"/>
  <c r="Z718" i="5"/>
  <c r="AA718" i="5"/>
  <c r="AB718" i="5"/>
  <c r="AC718" i="5"/>
  <c r="E720" i="5"/>
  <c r="F720" i="5"/>
  <c r="G720" i="5"/>
  <c r="H720" i="5"/>
  <c r="I720" i="5"/>
  <c r="J720" i="5"/>
  <c r="K720" i="5"/>
  <c r="L720" i="5"/>
  <c r="M720" i="5"/>
  <c r="N720" i="5"/>
  <c r="O720" i="5"/>
  <c r="P720" i="5"/>
  <c r="Q720" i="5"/>
  <c r="R720" i="5"/>
  <c r="S720" i="5"/>
  <c r="T720" i="5"/>
  <c r="U720" i="5"/>
  <c r="V720" i="5"/>
  <c r="W720" i="5"/>
  <c r="X720" i="5"/>
  <c r="Y720" i="5"/>
  <c r="Z720" i="5"/>
  <c r="AA720" i="5"/>
  <c r="AB720" i="5"/>
  <c r="AC720" i="5"/>
  <c r="E721" i="5"/>
  <c r="F721" i="5"/>
  <c r="G721" i="5"/>
  <c r="H721" i="5"/>
  <c r="I721" i="5"/>
  <c r="J721" i="5"/>
  <c r="K721" i="5"/>
  <c r="L721" i="5"/>
  <c r="M721" i="5"/>
  <c r="N721" i="5"/>
  <c r="O721" i="5"/>
  <c r="P721" i="5"/>
  <c r="Q721" i="5"/>
  <c r="R721" i="5"/>
  <c r="S721" i="5"/>
  <c r="T721" i="5"/>
  <c r="U721" i="5"/>
  <c r="V721" i="5"/>
  <c r="W721" i="5"/>
  <c r="X721" i="5"/>
  <c r="Y721" i="5"/>
  <c r="Z721" i="5"/>
  <c r="AA721" i="5"/>
  <c r="AB721" i="5"/>
  <c r="AC721" i="5"/>
  <c r="I725" i="5"/>
  <c r="J725" i="5"/>
  <c r="K725" i="5"/>
  <c r="L725" i="5"/>
  <c r="M725" i="5"/>
  <c r="N725" i="5"/>
  <c r="O725" i="5"/>
  <c r="P725" i="5"/>
  <c r="Q725" i="5"/>
  <c r="R725" i="5"/>
  <c r="S725" i="5"/>
  <c r="T725" i="5"/>
  <c r="U725" i="5"/>
  <c r="V725" i="5"/>
  <c r="W725" i="5"/>
  <c r="X725" i="5"/>
  <c r="Y725" i="5"/>
  <c r="Z725" i="5"/>
  <c r="AA725" i="5"/>
  <c r="AB725" i="5"/>
  <c r="AC725" i="5"/>
  <c r="H730" i="5"/>
  <c r="I733" i="5"/>
  <c r="J733" i="5"/>
  <c r="K733" i="5"/>
  <c r="L733" i="5"/>
  <c r="M733" i="5"/>
  <c r="N733" i="5"/>
  <c r="O733" i="5"/>
  <c r="P733" i="5"/>
  <c r="Q733" i="5"/>
  <c r="R733" i="5"/>
  <c r="S733" i="5"/>
  <c r="T733" i="5"/>
  <c r="U733" i="5"/>
  <c r="V733" i="5"/>
  <c r="W733" i="5"/>
  <c r="X733" i="5"/>
  <c r="Y733" i="5"/>
  <c r="Z733" i="5"/>
  <c r="AA733" i="5"/>
  <c r="AB733" i="5"/>
  <c r="AC733" i="5"/>
  <c r="H738" i="5"/>
  <c r="I741" i="5"/>
  <c r="J741" i="5"/>
  <c r="K741" i="5"/>
  <c r="L741" i="5"/>
  <c r="M741" i="5"/>
  <c r="N741" i="5"/>
  <c r="O741" i="5"/>
  <c r="P741" i="5"/>
  <c r="Q741" i="5"/>
  <c r="R741" i="5"/>
  <c r="S741" i="5"/>
  <c r="T741" i="5"/>
  <c r="U741" i="5"/>
  <c r="V741" i="5"/>
  <c r="W741" i="5"/>
  <c r="X741" i="5"/>
  <c r="Y741" i="5"/>
  <c r="Z741" i="5"/>
  <c r="AA741" i="5"/>
  <c r="AB741" i="5"/>
  <c r="AC741" i="5"/>
  <c r="E743" i="5"/>
  <c r="F743" i="5"/>
  <c r="G743" i="5"/>
  <c r="H743" i="5"/>
  <c r="I743" i="5"/>
  <c r="J743" i="5"/>
  <c r="K743" i="5"/>
  <c r="L743" i="5"/>
  <c r="M743" i="5"/>
  <c r="N743" i="5"/>
  <c r="O743" i="5"/>
  <c r="P743" i="5"/>
  <c r="Q743" i="5"/>
  <c r="R743" i="5"/>
  <c r="S743" i="5"/>
  <c r="T743" i="5"/>
  <c r="U743" i="5"/>
  <c r="V743" i="5"/>
  <c r="W743" i="5"/>
  <c r="X743" i="5"/>
  <c r="Y743" i="5"/>
  <c r="Z743" i="5"/>
  <c r="AA743" i="5"/>
  <c r="AB743" i="5"/>
  <c r="AC743" i="5"/>
  <c r="E744" i="5"/>
  <c r="F744" i="5"/>
  <c r="G744" i="5"/>
  <c r="H744" i="5"/>
  <c r="I744" i="5"/>
  <c r="J744" i="5"/>
  <c r="K744" i="5"/>
  <c r="L744" i="5"/>
  <c r="M744" i="5"/>
  <c r="N744" i="5"/>
  <c r="O744" i="5"/>
  <c r="P744" i="5"/>
  <c r="Q744" i="5"/>
  <c r="R744" i="5"/>
  <c r="S744" i="5"/>
  <c r="T744" i="5"/>
  <c r="U744" i="5"/>
  <c r="V744" i="5"/>
  <c r="W744" i="5"/>
  <c r="X744" i="5"/>
  <c r="Y744" i="5"/>
  <c r="Z744" i="5"/>
  <c r="AA744" i="5"/>
  <c r="AB744" i="5"/>
  <c r="AC744" i="5"/>
  <c r="E745" i="5"/>
  <c r="F745" i="5"/>
  <c r="G745" i="5"/>
  <c r="H745" i="5"/>
  <c r="I745" i="5"/>
  <c r="J745" i="5"/>
  <c r="K745" i="5"/>
  <c r="L745" i="5"/>
  <c r="M745" i="5"/>
  <c r="N745" i="5"/>
  <c r="O745" i="5"/>
  <c r="P745" i="5"/>
  <c r="Q745" i="5"/>
  <c r="R745" i="5"/>
  <c r="S745" i="5"/>
  <c r="T745" i="5"/>
  <c r="U745" i="5"/>
  <c r="V745" i="5"/>
  <c r="W745" i="5"/>
  <c r="X745" i="5"/>
  <c r="Y745" i="5"/>
  <c r="Z745" i="5"/>
  <c r="AA745" i="5"/>
  <c r="AB745" i="5"/>
  <c r="AC745" i="5"/>
  <c r="H752" i="5"/>
  <c r="I755" i="5"/>
  <c r="J755" i="5"/>
  <c r="K755" i="5"/>
  <c r="L755" i="5"/>
  <c r="M755" i="5"/>
  <c r="N755" i="5"/>
  <c r="O755" i="5"/>
  <c r="P755" i="5"/>
  <c r="Q755" i="5"/>
  <c r="R755" i="5"/>
  <c r="S755" i="5"/>
  <c r="T755" i="5"/>
  <c r="U755" i="5"/>
  <c r="V755" i="5"/>
  <c r="W755" i="5"/>
  <c r="X755" i="5"/>
  <c r="Y755" i="5"/>
  <c r="Z755" i="5"/>
  <c r="AA755" i="5"/>
  <c r="AB755" i="5"/>
  <c r="AC755" i="5"/>
  <c r="H760" i="5"/>
  <c r="I763" i="5"/>
  <c r="J763" i="5"/>
  <c r="K763" i="5"/>
  <c r="L763" i="5"/>
  <c r="M763" i="5"/>
  <c r="N763" i="5"/>
  <c r="O763" i="5"/>
  <c r="P763" i="5"/>
  <c r="Q763" i="5"/>
  <c r="R763" i="5"/>
  <c r="S763" i="5"/>
  <c r="T763" i="5"/>
  <c r="U763" i="5"/>
  <c r="V763" i="5"/>
  <c r="W763" i="5"/>
  <c r="X763" i="5"/>
  <c r="Y763" i="5"/>
  <c r="Z763" i="5"/>
  <c r="AA763" i="5"/>
  <c r="AB763" i="5"/>
  <c r="AC763" i="5"/>
  <c r="I765" i="5"/>
  <c r="J765" i="5"/>
  <c r="K765" i="5"/>
  <c r="L765" i="5"/>
  <c r="M765" i="5"/>
  <c r="N765" i="5"/>
  <c r="O765" i="5"/>
  <c r="P765" i="5"/>
  <c r="Q765" i="5"/>
  <c r="R765" i="5"/>
  <c r="S765" i="5"/>
  <c r="T765" i="5"/>
  <c r="U765" i="5"/>
  <c r="V765" i="5"/>
  <c r="W765" i="5"/>
  <c r="X765" i="5"/>
  <c r="Y765" i="5"/>
  <c r="Z765" i="5"/>
  <c r="AA765" i="5"/>
  <c r="AB765" i="5"/>
  <c r="AC765" i="5"/>
  <c r="E766" i="5"/>
  <c r="F766" i="5"/>
  <c r="G766" i="5"/>
  <c r="H766" i="5"/>
  <c r="I766" i="5"/>
  <c r="J766" i="5"/>
  <c r="K766" i="5"/>
  <c r="L766" i="5"/>
  <c r="M766" i="5"/>
  <c r="N766" i="5"/>
  <c r="O766" i="5"/>
  <c r="P766" i="5"/>
  <c r="Q766" i="5"/>
  <c r="R766" i="5"/>
  <c r="S766" i="5"/>
  <c r="T766" i="5"/>
  <c r="U766" i="5"/>
  <c r="V766" i="5"/>
  <c r="W766" i="5"/>
  <c r="X766" i="5"/>
  <c r="Y766" i="5"/>
  <c r="Z766" i="5"/>
  <c r="AA766" i="5"/>
  <c r="AB766" i="5"/>
  <c r="AC766" i="5"/>
  <c r="I770" i="5"/>
  <c r="J770" i="5"/>
  <c r="K770" i="5"/>
  <c r="L770" i="5"/>
  <c r="M770" i="5"/>
  <c r="N770" i="5"/>
  <c r="O770" i="5"/>
  <c r="P770" i="5"/>
  <c r="Q770" i="5"/>
  <c r="R770" i="5"/>
  <c r="S770" i="5"/>
  <c r="T770" i="5"/>
  <c r="U770" i="5"/>
  <c r="V770" i="5"/>
  <c r="W770" i="5"/>
  <c r="X770" i="5"/>
  <c r="Y770" i="5"/>
  <c r="Z770" i="5"/>
  <c r="AA770" i="5"/>
  <c r="AB770" i="5"/>
  <c r="AC770" i="5"/>
  <c r="C772" i="5"/>
  <c r="I772" i="5"/>
  <c r="J772" i="5"/>
  <c r="K772" i="5"/>
  <c r="L772" i="5"/>
  <c r="M772" i="5"/>
  <c r="N772" i="5"/>
  <c r="O772" i="5"/>
  <c r="P772" i="5"/>
  <c r="Q772" i="5"/>
  <c r="R772" i="5"/>
  <c r="S772" i="5"/>
  <c r="T772" i="5"/>
  <c r="U772" i="5"/>
  <c r="V772" i="5"/>
  <c r="W772" i="5"/>
  <c r="X772" i="5"/>
  <c r="Y772" i="5"/>
  <c r="Z772" i="5"/>
  <c r="AA772" i="5"/>
  <c r="AB772" i="5"/>
  <c r="AC772" i="5"/>
  <c r="I773" i="5"/>
  <c r="J773" i="5"/>
  <c r="K773" i="5"/>
  <c r="L773" i="5"/>
  <c r="M773" i="5"/>
  <c r="N773" i="5"/>
  <c r="O773" i="5"/>
  <c r="P773" i="5"/>
  <c r="Q773" i="5"/>
  <c r="R773" i="5"/>
  <c r="S773" i="5"/>
  <c r="T773" i="5"/>
  <c r="U773" i="5"/>
  <c r="V773" i="5"/>
  <c r="W773" i="5"/>
  <c r="X773" i="5"/>
  <c r="Y773" i="5"/>
  <c r="Z773" i="5"/>
  <c r="AA773" i="5"/>
  <c r="AB773" i="5"/>
  <c r="AC773" i="5"/>
  <c r="C774" i="5"/>
  <c r="I774" i="5"/>
  <c r="J774" i="5"/>
  <c r="K774" i="5"/>
  <c r="L774" i="5"/>
  <c r="M774" i="5"/>
  <c r="N774" i="5"/>
  <c r="O774" i="5"/>
  <c r="P774" i="5"/>
  <c r="Q774" i="5"/>
  <c r="R774" i="5"/>
  <c r="S774" i="5"/>
  <c r="T774" i="5"/>
  <c r="U774" i="5"/>
  <c r="V774" i="5"/>
  <c r="W774" i="5"/>
  <c r="X774" i="5"/>
  <c r="Y774" i="5"/>
  <c r="Z774" i="5"/>
  <c r="AA774" i="5"/>
  <c r="AB774" i="5"/>
  <c r="AC774" i="5"/>
  <c r="I775" i="5"/>
  <c r="J775" i="5"/>
  <c r="K775" i="5"/>
  <c r="L775" i="5"/>
  <c r="M775" i="5"/>
  <c r="N775" i="5"/>
  <c r="O775" i="5"/>
  <c r="P775" i="5"/>
  <c r="Q775" i="5"/>
  <c r="R775" i="5"/>
  <c r="S775" i="5"/>
  <c r="T775" i="5"/>
  <c r="U775" i="5"/>
  <c r="V775" i="5"/>
  <c r="W775" i="5"/>
  <c r="X775" i="5"/>
  <c r="Y775" i="5"/>
  <c r="Z775" i="5"/>
  <c r="AA775" i="5"/>
  <c r="AB775" i="5"/>
  <c r="AC775" i="5"/>
  <c r="I779" i="5"/>
  <c r="J779" i="5"/>
  <c r="K779" i="5"/>
  <c r="L779" i="5"/>
  <c r="M779" i="5"/>
  <c r="N779" i="5"/>
  <c r="O779" i="5"/>
  <c r="P779" i="5"/>
  <c r="Q779" i="5"/>
  <c r="R779" i="5"/>
  <c r="S779" i="5"/>
  <c r="T779" i="5"/>
  <c r="U779" i="5"/>
  <c r="V779" i="5"/>
  <c r="W779" i="5"/>
  <c r="X779" i="5"/>
  <c r="Y779" i="5"/>
  <c r="Z779" i="5"/>
  <c r="AA779" i="5"/>
  <c r="AB779" i="5"/>
  <c r="AC779" i="5"/>
  <c r="AD779" i="5"/>
  <c r="AF779" i="5"/>
  <c r="AG779" i="5"/>
  <c r="AH779" i="5"/>
  <c r="AI779" i="5"/>
  <c r="AJ779" i="5"/>
  <c r="AK779" i="5"/>
  <c r="AL779" i="5"/>
  <c r="AM779" i="5"/>
  <c r="AN779" i="5"/>
  <c r="AO779" i="5"/>
  <c r="AP779" i="5"/>
  <c r="AQ779" i="5"/>
  <c r="I781" i="5"/>
  <c r="J781" i="5"/>
  <c r="K781" i="5"/>
  <c r="L781" i="5"/>
  <c r="M781" i="5"/>
  <c r="N781" i="5"/>
  <c r="O781" i="5"/>
  <c r="P781" i="5"/>
  <c r="Q781" i="5"/>
  <c r="R781" i="5"/>
  <c r="S781" i="5"/>
  <c r="T781" i="5"/>
  <c r="U781" i="5"/>
  <c r="V781" i="5"/>
  <c r="W781" i="5"/>
  <c r="X781" i="5"/>
  <c r="Y781" i="5"/>
  <c r="Z781" i="5"/>
  <c r="AA781" i="5"/>
  <c r="AB781" i="5"/>
  <c r="AC781" i="5"/>
  <c r="AD781" i="5"/>
  <c r="AE781" i="5"/>
  <c r="AF781" i="5"/>
  <c r="AG781" i="5"/>
  <c r="AH781" i="5"/>
  <c r="AI781" i="5"/>
  <c r="AJ781" i="5"/>
  <c r="AK781" i="5"/>
  <c r="AL781" i="5"/>
  <c r="AM781" i="5"/>
  <c r="AN781" i="5"/>
  <c r="AO781" i="5"/>
  <c r="AP781" i="5"/>
  <c r="AQ781" i="5"/>
  <c r="G783" i="5"/>
  <c r="H783" i="5"/>
  <c r="I783" i="5"/>
  <c r="J783" i="5"/>
  <c r="K783" i="5"/>
  <c r="L783" i="5"/>
  <c r="M783" i="5"/>
  <c r="N783" i="5"/>
  <c r="O783" i="5"/>
  <c r="P783" i="5"/>
  <c r="Q783" i="5"/>
  <c r="R783" i="5"/>
  <c r="S783" i="5"/>
  <c r="T783" i="5"/>
  <c r="U783" i="5"/>
  <c r="V783" i="5"/>
  <c r="W783" i="5"/>
  <c r="X783" i="5"/>
  <c r="Y783" i="5"/>
  <c r="Z783" i="5"/>
  <c r="AA783" i="5"/>
  <c r="AB783" i="5"/>
  <c r="AC783" i="5"/>
  <c r="AD783" i="5"/>
  <c r="AE783" i="5"/>
  <c r="AF783" i="5"/>
  <c r="AG783" i="5"/>
  <c r="AH783" i="5"/>
  <c r="AI783" i="5"/>
  <c r="AJ783" i="5"/>
  <c r="AK783" i="5"/>
  <c r="AL783" i="5"/>
  <c r="AM783" i="5"/>
  <c r="AN783" i="5"/>
  <c r="AO783" i="5"/>
  <c r="AP783" i="5"/>
  <c r="AQ783" i="5"/>
  <c r="G784" i="5"/>
  <c r="H784" i="5"/>
  <c r="J784" i="5"/>
  <c r="K784" i="5"/>
  <c r="L784" i="5"/>
  <c r="M784" i="5"/>
  <c r="N784" i="5"/>
  <c r="O784" i="5"/>
  <c r="P784" i="5"/>
  <c r="Q784" i="5"/>
  <c r="R784" i="5"/>
  <c r="S784" i="5"/>
  <c r="T784" i="5"/>
  <c r="U784" i="5"/>
  <c r="V784" i="5"/>
  <c r="W784" i="5"/>
  <c r="X784" i="5"/>
  <c r="Y784" i="5"/>
  <c r="Z784" i="5"/>
  <c r="AA784" i="5"/>
  <c r="AB784" i="5"/>
  <c r="AC784" i="5"/>
  <c r="AD784" i="5"/>
  <c r="AE784" i="5"/>
  <c r="AF784" i="5"/>
  <c r="AG784" i="5"/>
  <c r="AH784" i="5"/>
  <c r="AI784" i="5"/>
  <c r="AJ784" i="5"/>
  <c r="AK784" i="5"/>
  <c r="AL784" i="5"/>
  <c r="AM784" i="5"/>
  <c r="AN784" i="5"/>
  <c r="AO784" i="5"/>
  <c r="AP784" i="5"/>
  <c r="AQ784" i="5"/>
  <c r="G785" i="5"/>
  <c r="H785" i="5"/>
  <c r="K785" i="5"/>
  <c r="L785" i="5"/>
  <c r="M785" i="5"/>
  <c r="N785" i="5"/>
  <c r="O785" i="5"/>
  <c r="P785" i="5"/>
  <c r="Q785" i="5"/>
  <c r="R785" i="5"/>
  <c r="S785" i="5"/>
  <c r="T785" i="5"/>
  <c r="U785" i="5"/>
  <c r="V785" i="5"/>
  <c r="W785" i="5"/>
  <c r="X785" i="5"/>
  <c r="Y785" i="5"/>
  <c r="Z785" i="5"/>
  <c r="AA785" i="5"/>
  <c r="AB785" i="5"/>
  <c r="AC785" i="5"/>
  <c r="AD785" i="5"/>
  <c r="AE785" i="5"/>
  <c r="AF785" i="5"/>
  <c r="AG785" i="5"/>
  <c r="AH785" i="5"/>
  <c r="AI785" i="5"/>
  <c r="AJ785" i="5"/>
  <c r="AK785" i="5"/>
  <c r="AL785" i="5"/>
  <c r="AM785" i="5"/>
  <c r="AN785" i="5"/>
  <c r="AO785" i="5"/>
  <c r="AP785" i="5"/>
  <c r="AQ785" i="5"/>
  <c r="G786" i="5"/>
  <c r="H786" i="5"/>
  <c r="L786" i="5"/>
  <c r="M786" i="5"/>
  <c r="N786" i="5"/>
  <c r="O786" i="5"/>
  <c r="P786" i="5"/>
  <c r="Q786" i="5"/>
  <c r="R786" i="5"/>
  <c r="S786" i="5"/>
  <c r="T786" i="5"/>
  <c r="U786" i="5"/>
  <c r="V786" i="5"/>
  <c r="W786" i="5"/>
  <c r="X786" i="5"/>
  <c r="Y786" i="5"/>
  <c r="Z786" i="5"/>
  <c r="AA786" i="5"/>
  <c r="AB786" i="5"/>
  <c r="AC786" i="5"/>
  <c r="AD786" i="5"/>
  <c r="AE786" i="5"/>
  <c r="AF786" i="5"/>
  <c r="AG786" i="5"/>
  <c r="AH786" i="5"/>
  <c r="AI786" i="5"/>
  <c r="AJ786" i="5"/>
  <c r="AK786" i="5"/>
  <c r="AL786" i="5"/>
  <c r="AM786" i="5"/>
  <c r="AN786" i="5"/>
  <c r="AO786" i="5"/>
  <c r="AP786" i="5"/>
  <c r="AQ786" i="5"/>
  <c r="G787" i="5"/>
  <c r="H787" i="5"/>
  <c r="M787" i="5"/>
  <c r="N787" i="5"/>
  <c r="O787" i="5"/>
  <c r="P787" i="5"/>
  <c r="Q787" i="5"/>
  <c r="R787" i="5"/>
  <c r="S787" i="5"/>
  <c r="T787" i="5"/>
  <c r="U787" i="5"/>
  <c r="V787" i="5"/>
  <c r="W787" i="5"/>
  <c r="X787" i="5"/>
  <c r="Y787" i="5"/>
  <c r="Z787" i="5"/>
  <c r="AA787" i="5"/>
  <c r="AB787" i="5"/>
  <c r="AC787" i="5"/>
  <c r="AD787" i="5"/>
  <c r="AE787" i="5"/>
  <c r="AF787" i="5"/>
  <c r="AG787" i="5"/>
  <c r="AH787" i="5"/>
  <c r="AI787" i="5"/>
  <c r="AJ787" i="5"/>
  <c r="AK787" i="5"/>
  <c r="AL787" i="5"/>
  <c r="AM787" i="5"/>
  <c r="AN787" i="5"/>
  <c r="AO787" i="5"/>
  <c r="AP787" i="5"/>
  <c r="AQ787" i="5"/>
  <c r="G788" i="5"/>
  <c r="H788" i="5"/>
  <c r="N788" i="5"/>
  <c r="O788" i="5"/>
  <c r="P788" i="5"/>
  <c r="Q788" i="5"/>
  <c r="R788" i="5"/>
  <c r="S788" i="5"/>
  <c r="T788" i="5"/>
  <c r="U788" i="5"/>
  <c r="V788" i="5"/>
  <c r="W788" i="5"/>
  <c r="X788" i="5"/>
  <c r="Y788" i="5"/>
  <c r="Z788" i="5"/>
  <c r="AA788" i="5"/>
  <c r="AB788" i="5"/>
  <c r="AC788" i="5"/>
  <c r="AD788" i="5"/>
  <c r="AE788" i="5"/>
  <c r="AF788" i="5"/>
  <c r="AG788" i="5"/>
  <c r="AH788" i="5"/>
  <c r="AI788" i="5"/>
  <c r="AJ788" i="5"/>
  <c r="AK788" i="5"/>
  <c r="AL788" i="5"/>
  <c r="AM788" i="5"/>
  <c r="AN788" i="5"/>
  <c r="AO788" i="5"/>
  <c r="AP788" i="5"/>
  <c r="AQ788" i="5"/>
  <c r="G789" i="5"/>
  <c r="H789" i="5"/>
  <c r="O789" i="5"/>
  <c r="P789" i="5"/>
  <c r="Q789" i="5"/>
  <c r="R789" i="5"/>
  <c r="S789" i="5"/>
  <c r="T789" i="5"/>
  <c r="U789" i="5"/>
  <c r="V789" i="5"/>
  <c r="W789" i="5"/>
  <c r="X789" i="5"/>
  <c r="Y789" i="5"/>
  <c r="Z789" i="5"/>
  <c r="AA789" i="5"/>
  <c r="AB789" i="5"/>
  <c r="AC789" i="5"/>
  <c r="AD789" i="5"/>
  <c r="AE789" i="5"/>
  <c r="AF789" i="5"/>
  <c r="AG789" i="5"/>
  <c r="AH789" i="5"/>
  <c r="AI789" i="5"/>
  <c r="AJ789" i="5"/>
  <c r="AK789" i="5"/>
  <c r="AL789" i="5"/>
  <c r="AM789" i="5"/>
  <c r="AN789" i="5"/>
  <c r="AO789" i="5"/>
  <c r="AP789" i="5"/>
  <c r="AQ789" i="5"/>
  <c r="G790" i="5"/>
  <c r="H790" i="5"/>
  <c r="P790" i="5"/>
  <c r="Q790" i="5"/>
  <c r="R790" i="5"/>
  <c r="S790" i="5"/>
  <c r="T790" i="5"/>
  <c r="U790" i="5"/>
  <c r="V790" i="5"/>
  <c r="W790" i="5"/>
  <c r="X790" i="5"/>
  <c r="Y790" i="5"/>
  <c r="Z790" i="5"/>
  <c r="AA790" i="5"/>
  <c r="AB790" i="5"/>
  <c r="AC790" i="5"/>
  <c r="AD790" i="5"/>
  <c r="AE790" i="5"/>
  <c r="AF790" i="5"/>
  <c r="AG790" i="5"/>
  <c r="AH790" i="5"/>
  <c r="AI790" i="5"/>
  <c r="AJ790" i="5"/>
  <c r="AK790" i="5"/>
  <c r="AL790" i="5"/>
  <c r="AM790" i="5"/>
  <c r="AN790" i="5"/>
  <c r="AO790" i="5"/>
  <c r="AP790" i="5"/>
  <c r="AQ790" i="5"/>
  <c r="G791" i="5"/>
  <c r="H791" i="5"/>
  <c r="Q791" i="5"/>
  <c r="R791" i="5"/>
  <c r="S791" i="5"/>
  <c r="T791" i="5"/>
  <c r="U791" i="5"/>
  <c r="V791" i="5"/>
  <c r="W791" i="5"/>
  <c r="X791" i="5"/>
  <c r="Y791" i="5"/>
  <c r="Z791" i="5"/>
  <c r="AA791" i="5"/>
  <c r="AB791" i="5"/>
  <c r="AC791" i="5"/>
  <c r="AD791" i="5"/>
  <c r="AE791" i="5"/>
  <c r="AF791" i="5"/>
  <c r="AG791" i="5"/>
  <c r="AH791" i="5"/>
  <c r="AI791" i="5"/>
  <c r="AJ791" i="5"/>
  <c r="AK791" i="5"/>
  <c r="AL791" i="5"/>
  <c r="AM791" i="5"/>
  <c r="AN791" i="5"/>
  <c r="AO791" i="5"/>
  <c r="AP791" i="5"/>
  <c r="AQ791" i="5"/>
  <c r="G792" i="5"/>
  <c r="H792" i="5"/>
  <c r="R792" i="5"/>
  <c r="S792" i="5"/>
  <c r="T792" i="5"/>
  <c r="U792" i="5"/>
  <c r="V792" i="5"/>
  <c r="W792" i="5"/>
  <c r="X792" i="5"/>
  <c r="Y792" i="5"/>
  <c r="Z792" i="5"/>
  <c r="AA792" i="5"/>
  <c r="AB792" i="5"/>
  <c r="AC792" i="5"/>
  <c r="AD792" i="5"/>
  <c r="AE792" i="5"/>
  <c r="AF792" i="5"/>
  <c r="AG792" i="5"/>
  <c r="AH792" i="5"/>
  <c r="AI792" i="5"/>
  <c r="AJ792" i="5"/>
  <c r="AK792" i="5"/>
  <c r="AL792" i="5"/>
  <c r="AM792" i="5"/>
  <c r="AN792" i="5"/>
  <c r="AO792" i="5"/>
  <c r="AP792" i="5"/>
  <c r="AQ792" i="5"/>
  <c r="G793" i="5"/>
  <c r="H793" i="5"/>
  <c r="S793" i="5"/>
  <c r="T793" i="5"/>
  <c r="U793" i="5"/>
  <c r="V793" i="5"/>
  <c r="W793" i="5"/>
  <c r="X793" i="5"/>
  <c r="Y793" i="5"/>
  <c r="Z793" i="5"/>
  <c r="AA793" i="5"/>
  <c r="AB793" i="5"/>
  <c r="AC793" i="5"/>
  <c r="AD793" i="5"/>
  <c r="AE793" i="5"/>
  <c r="AF793" i="5"/>
  <c r="AG793" i="5"/>
  <c r="AH793" i="5"/>
  <c r="AI793" i="5"/>
  <c r="AJ793" i="5"/>
  <c r="AK793" i="5"/>
  <c r="AL793" i="5"/>
  <c r="AM793" i="5"/>
  <c r="AN793" i="5"/>
  <c r="AO793" i="5"/>
  <c r="AP793" i="5"/>
  <c r="AQ793" i="5"/>
  <c r="G794" i="5"/>
  <c r="H794" i="5"/>
  <c r="T794" i="5"/>
  <c r="U794" i="5"/>
  <c r="V794" i="5"/>
  <c r="W794" i="5"/>
  <c r="X794" i="5"/>
  <c r="Y794" i="5"/>
  <c r="Z794" i="5"/>
  <c r="AA794" i="5"/>
  <c r="AB794" i="5"/>
  <c r="AC794" i="5"/>
  <c r="AD794" i="5"/>
  <c r="AE794" i="5"/>
  <c r="AF794" i="5"/>
  <c r="AG794" i="5"/>
  <c r="AH794" i="5"/>
  <c r="AI794" i="5"/>
  <c r="AJ794" i="5"/>
  <c r="AK794" i="5"/>
  <c r="AL794" i="5"/>
  <c r="AM794" i="5"/>
  <c r="AN794" i="5"/>
  <c r="AO794" i="5"/>
  <c r="AP794" i="5"/>
  <c r="AQ794" i="5"/>
  <c r="G795" i="5"/>
  <c r="H795" i="5"/>
  <c r="U795" i="5"/>
  <c r="V795" i="5"/>
  <c r="W795" i="5"/>
  <c r="X795" i="5"/>
  <c r="Y795" i="5"/>
  <c r="Z795" i="5"/>
  <c r="AA795" i="5"/>
  <c r="AB795" i="5"/>
  <c r="AC795" i="5"/>
  <c r="AD795" i="5"/>
  <c r="AE795" i="5"/>
  <c r="AF795" i="5"/>
  <c r="AG795" i="5"/>
  <c r="AH795" i="5"/>
  <c r="AI795" i="5"/>
  <c r="AJ795" i="5"/>
  <c r="AK795" i="5"/>
  <c r="AL795" i="5"/>
  <c r="AM795" i="5"/>
  <c r="AN795" i="5"/>
  <c r="AO795" i="5"/>
  <c r="AP795" i="5"/>
  <c r="AQ795" i="5"/>
  <c r="G796" i="5"/>
  <c r="H796" i="5"/>
  <c r="V796" i="5"/>
  <c r="W796" i="5"/>
  <c r="X796" i="5"/>
  <c r="Y796" i="5"/>
  <c r="Z796" i="5"/>
  <c r="AA796" i="5"/>
  <c r="AB796" i="5"/>
  <c r="AC796" i="5"/>
  <c r="AD796" i="5"/>
  <c r="AE796" i="5"/>
  <c r="AF796" i="5"/>
  <c r="AG796" i="5"/>
  <c r="AH796" i="5"/>
  <c r="AI796" i="5"/>
  <c r="AJ796" i="5"/>
  <c r="AK796" i="5"/>
  <c r="AL796" i="5"/>
  <c r="AM796" i="5"/>
  <c r="AN796" i="5"/>
  <c r="AO796" i="5"/>
  <c r="AP796" i="5"/>
  <c r="AQ796" i="5"/>
  <c r="G797" i="5"/>
  <c r="H797" i="5"/>
  <c r="W797" i="5"/>
  <c r="X797" i="5"/>
  <c r="Y797" i="5"/>
  <c r="Z797" i="5"/>
  <c r="AA797" i="5"/>
  <c r="AB797" i="5"/>
  <c r="AC797" i="5"/>
  <c r="AD797" i="5"/>
  <c r="AE797" i="5"/>
  <c r="AF797" i="5"/>
  <c r="AG797" i="5"/>
  <c r="AH797" i="5"/>
  <c r="AI797" i="5"/>
  <c r="AJ797" i="5"/>
  <c r="AK797" i="5"/>
  <c r="AL797" i="5"/>
  <c r="AM797" i="5"/>
  <c r="AN797" i="5"/>
  <c r="AO797" i="5"/>
  <c r="AP797" i="5"/>
  <c r="AQ797" i="5"/>
  <c r="G798" i="5"/>
  <c r="H798" i="5"/>
  <c r="X798" i="5"/>
  <c r="Y798" i="5"/>
  <c r="Z798" i="5"/>
  <c r="AA798" i="5"/>
  <c r="AB798" i="5"/>
  <c r="AC798" i="5"/>
  <c r="AD798" i="5"/>
  <c r="AE798" i="5"/>
  <c r="AF798" i="5"/>
  <c r="AG798" i="5"/>
  <c r="AH798" i="5"/>
  <c r="AI798" i="5"/>
  <c r="AJ798" i="5"/>
  <c r="AK798" i="5"/>
  <c r="AL798" i="5"/>
  <c r="AM798" i="5"/>
  <c r="AN798" i="5"/>
  <c r="AO798" i="5"/>
  <c r="AP798" i="5"/>
  <c r="AQ798" i="5"/>
  <c r="G799" i="5"/>
  <c r="H799" i="5"/>
  <c r="Y799" i="5"/>
  <c r="Z799" i="5"/>
  <c r="AA799" i="5"/>
  <c r="AB799" i="5"/>
  <c r="AC799" i="5"/>
  <c r="AD799" i="5"/>
  <c r="AE799" i="5"/>
  <c r="AF799" i="5"/>
  <c r="AG799" i="5"/>
  <c r="AH799" i="5"/>
  <c r="AI799" i="5"/>
  <c r="AJ799" i="5"/>
  <c r="AK799" i="5"/>
  <c r="AL799" i="5"/>
  <c r="AM799" i="5"/>
  <c r="AN799" i="5"/>
  <c r="AO799" i="5"/>
  <c r="AP799" i="5"/>
  <c r="AQ799" i="5"/>
  <c r="G800" i="5"/>
  <c r="H800" i="5"/>
  <c r="Z800" i="5"/>
  <c r="AA800" i="5"/>
  <c r="AB800" i="5"/>
  <c r="AC800" i="5"/>
  <c r="AD800" i="5"/>
  <c r="AE800" i="5"/>
  <c r="AF800" i="5"/>
  <c r="AG800" i="5"/>
  <c r="AH800" i="5"/>
  <c r="AI800" i="5"/>
  <c r="AJ800" i="5"/>
  <c r="AK800" i="5"/>
  <c r="AL800" i="5"/>
  <c r="AM800" i="5"/>
  <c r="AN800" i="5"/>
  <c r="AO800" i="5"/>
  <c r="AP800" i="5"/>
  <c r="AQ800" i="5"/>
  <c r="G801" i="5"/>
  <c r="H801" i="5"/>
  <c r="AA801" i="5"/>
  <c r="AB801" i="5"/>
  <c r="AC801" i="5"/>
  <c r="AD801" i="5"/>
  <c r="AE801" i="5"/>
  <c r="AF801" i="5"/>
  <c r="AG801" i="5"/>
  <c r="AH801" i="5"/>
  <c r="AI801" i="5"/>
  <c r="AJ801" i="5"/>
  <c r="AK801" i="5"/>
  <c r="AL801" i="5"/>
  <c r="AM801" i="5"/>
  <c r="AN801" i="5"/>
  <c r="AO801" i="5"/>
  <c r="AP801" i="5"/>
  <c r="AQ801" i="5"/>
  <c r="G802" i="5"/>
  <c r="H802" i="5"/>
  <c r="AB802" i="5"/>
  <c r="AC802" i="5"/>
  <c r="AD802" i="5"/>
  <c r="AE802" i="5"/>
  <c r="AF802" i="5"/>
  <c r="AG802" i="5"/>
  <c r="AH802" i="5"/>
  <c r="AI802" i="5"/>
  <c r="AJ802" i="5"/>
  <c r="AK802" i="5"/>
  <c r="AL802" i="5"/>
  <c r="AM802" i="5"/>
  <c r="AN802" i="5"/>
  <c r="AO802" i="5"/>
  <c r="AP802" i="5"/>
  <c r="AQ802" i="5"/>
  <c r="G803" i="5"/>
  <c r="H803" i="5"/>
  <c r="AC803" i="5"/>
  <c r="AD803" i="5"/>
  <c r="AE803" i="5"/>
  <c r="AF803" i="5"/>
  <c r="AG803" i="5"/>
  <c r="AH803" i="5"/>
  <c r="AI803" i="5"/>
  <c r="AJ803" i="5"/>
  <c r="AK803" i="5"/>
  <c r="AL803" i="5"/>
  <c r="AM803" i="5"/>
  <c r="AN803" i="5"/>
  <c r="AO803" i="5"/>
  <c r="AP803" i="5"/>
  <c r="AQ803" i="5"/>
  <c r="G804" i="5"/>
  <c r="H804" i="5"/>
  <c r="AD804" i="5"/>
  <c r="AE804" i="5"/>
  <c r="AF804" i="5"/>
  <c r="AG804" i="5"/>
  <c r="AH804" i="5"/>
  <c r="AI804" i="5"/>
  <c r="AJ804" i="5"/>
  <c r="AK804" i="5"/>
  <c r="AL804" i="5"/>
  <c r="AM804" i="5"/>
  <c r="AN804" i="5"/>
  <c r="AO804" i="5"/>
  <c r="AP804" i="5"/>
  <c r="AQ804" i="5"/>
  <c r="G805" i="5"/>
  <c r="H805" i="5"/>
  <c r="AE805" i="5"/>
  <c r="AF805" i="5"/>
  <c r="AG805" i="5"/>
  <c r="AH805" i="5"/>
  <c r="AI805" i="5"/>
  <c r="AJ805" i="5"/>
  <c r="AK805" i="5"/>
  <c r="AL805" i="5"/>
  <c r="AM805" i="5"/>
  <c r="AN805" i="5"/>
  <c r="AO805" i="5"/>
  <c r="AP805" i="5"/>
  <c r="AQ805" i="5"/>
  <c r="G806" i="5"/>
  <c r="H806" i="5"/>
  <c r="AF806" i="5"/>
  <c r="AG806" i="5"/>
  <c r="AH806" i="5"/>
  <c r="AI806" i="5"/>
  <c r="AJ806" i="5"/>
  <c r="AK806" i="5"/>
  <c r="AL806" i="5"/>
  <c r="AM806" i="5"/>
  <c r="AN806" i="5"/>
  <c r="AO806" i="5"/>
  <c r="AP806" i="5"/>
  <c r="AQ806" i="5"/>
  <c r="G807" i="5"/>
  <c r="H807" i="5"/>
  <c r="AG807" i="5"/>
  <c r="AH807" i="5"/>
  <c r="AI807" i="5"/>
  <c r="AJ807" i="5"/>
  <c r="AK807" i="5"/>
  <c r="AL807" i="5"/>
  <c r="AM807" i="5"/>
  <c r="AN807" i="5"/>
  <c r="AO807" i="5"/>
  <c r="AP807" i="5"/>
  <c r="AQ807" i="5"/>
  <c r="G808" i="5"/>
  <c r="H808" i="5"/>
  <c r="AH808" i="5"/>
  <c r="AI808" i="5"/>
  <c r="AJ808" i="5"/>
  <c r="AK808" i="5"/>
  <c r="AL808" i="5"/>
  <c r="AM808" i="5"/>
  <c r="AN808" i="5"/>
  <c r="AO808" i="5"/>
  <c r="AP808" i="5"/>
  <c r="AQ808" i="5"/>
  <c r="G809" i="5"/>
  <c r="H809" i="5"/>
  <c r="AI809" i="5"/>
  <c r="AJ809" i="5"/>
  <c r="AK809" i="5"/>
  <c r="AL809" i="5"/>
  <c r="AM809" i="5"/>
  <c r="AN809" i="5"/>
  <c r="AO809" i="5"/>
  <c r="AP809" i="5"/>
  <c r="AQ809" i="5"/>
  <c r="G810" i="5"/>
  <c r="H810" i="5"/>
  <c r="AJ810" i="5"/>
  <c r="AK810" i="5"/>
  <c r="AL810" i="5"/>
  <c r="AM810" i="5"/>
  <c r="AN810" i="5"/>
  <c r="AO810" i="5"/>
  <c r="AP810" i="5"/>
  <c r="AQ810" i="5"/>
  <c r="G811" i="5"/>
  <c r="H811" i="5"/>
  <c r="AK811" i="5"/>
  <c r="AL811" i="5"/>
  <c r="AM811" i="5"/>
  <c r="AN811" i="5"/>
  <c r="AO811" i="5"/>
  <c r="AP811" i="5"/>
  <c r="AQ811" i="5"/>
  <c r="G812" i="5"/>
  <c r="H812" i="5"/>
  <c r="AL812" i="5"/>
  <c r="AM812" i="5"/>
  <c r="AN812" i="5"/>
  <c r="AO812" i="5"/>
  <c r="AP812" i="5"/>
  <c r="AQ812" i="5"/>
  <c r="G813" i="5"/>
  <c r="H813" i="5"/>
  <c r="AM813" i="5"/>
  <c r="AN813" i="5"/>
  <c r="AO813" i="5"/>
  <c r="AP813" i="5"/>
  <c r="AQ813" i="5"/>
  <c r="G814" i="5"/>
  <c r="H814" i="5"/>
  <c r="AN814" i="5"/>
  <c r="AO814" i="5"/>
  <c r="AP814" i="5"/>
  <c r="AQ814" i="5"/>
  <c r="G815" i="5"/>
  <c r="H815" i="5"/>
  <c r="AO815" i="5"/>
  <c r="AP815" i="5"/>
  <c r="AQ815" i="5"/>
  <c r="G816" i="5"/>
  <c r="H816" i="5"/>
  <c r="AP816" i="5"/>
  <c r="AQ816" i="5"/>
  <c r="G817" i="5"/>
  <c r="H817" i="5"/>
  <c r="AQ817" i="5"/>
  <c r="I818" i="5"/>
  <c r="I818" i="5" a="1"/>
  <c r="J818" i="5"/>
  <c r="K818" i="5"/>
  <c r="L818" i="5"/>
  <c r="M818" i="5"/>
  <c r="N818" i="5"/>
  <c r="O818" i="5"/>
  <c r="P818" i="5"/>
  <c r="Q818" i="5"/>
  <c r="R818" i="5"/>
  <c r="S818" i="5"/>
  <c r="T818" i="5"/>
  <c r="U818" i="5"/>
  <c r="V818" i="5"/>
  <c r="W818" i="5"/>
  <c r="X818" i="5"/>
  <c r="Y818" i="5"/>
  <c r="Z818" i="5"/>
  <c r="AA818" i="5"/>
  <c r="AB818" i="5"/>
  <c r="AC818" i="5"/>
  <c r="AD818" i="5"/>
  <c r="AE818" i="5"/>
  <c r="AF818" i="5"/>
  <c r="AG818" i="5"/>
  <c r="AH818" i="5"/>
  <c r="AI818" i="5"/>
  <c r="AJ818" i="5"/>
  <c r="AK818" i="5"/>
  <c r="AL818" i="5"/>
  <c r="AM818" i="5"/>
  <c r="AN818" i="5"/>
  <c r="AO818" i="5"/>
  <c r="AP818" i="5"/>
  <c r="AQ818" i="5"/>
  <c r="I819" i="5"/>
  <c r="J819" i="5"/>
  <c r="K819" i="5"/>
  <c r="L819" i="5"/>
  <c r="M819" i="5"/>
  <c r="N819" i="5"/>
  <c r="O819" i="5"/>
  <c r="P819" i="5"/>
  <c r="Q819" i="5"/>
  <c r="R819" i="5"/>
  <c r="S819" i="5"/>
  <c r="T819" i="5"/>
  <c r="U819" i="5"/>
  <c r="V819" i="5"/>
  <c r="W819" i="5"/>
  <c r="X819" i="5"/>
  <c r="Y819" i="5"/>
  <c r="Z819" i="5"/>
  <c r="AA819" i="5"/>
  <c r="AB819" i="5"/>
  <c r="AC819" i="5"/>
  <c r="AD819" i="5"/>
  <c r="AE819" i="5"/>
  <c r="AF819" i="5"/>
  <c r="AG819" i="5"/>
  <c r="AH819" i="5"/>
  <c r="AI819" i="5"/>
  <c r="AJ819" i="5"/>
  <c r="AK819" i="5"/>
  <c r="AL819" i="5"/>
  <c r="AM819" i="5"/>
  <c r="AN819" i="5"/>
  <c r="AO819" i="5"/>
  <c r="AP819" i="5"/>
  <c r="AQ819" i="5"/>
  <c r="I820" i="5"/>
  <c r="J820" i="5"/>
  <c r="K820" i="5"/>
  <c r="L820" i="5"/>
  <c r="M820" i="5"/>
  <c r="N820" i="5"/>
  <c r="O820" i="5"/>
  <c r="P820" i="5"/>
  <c r="Q820" i="5"/>
  <c r="R820" i="5"/>
  <c r="S820" i="5"/>
  <c r="T820" i="5"/>
  <c r="U820" i="5"/>
  <c r="V820" i="5"/>
  <c r="W820" i="5"/>
  <c r="X820" i="5"/>
  <c r="Y820" i="5"/>
  <c r="Z820" i="5"/>
  <c r="AA820" i="5"/>
  <c r="AB820" i="5"/>
  <c r="AC820" i="5"/>
  <c r="AD820" i="5"/>
  <c r="AE820" i="5"/>
  <c r="AF820" i="5"/>
  <c r="AG820" i="5"/>
  <c r="AH820" i="5"/>
  <c r="AI820" i="5"/>
  <c r="AJ820" i="5"/>
  <c r="AK820" i="5"/>
  <c r="AL820" i="5"/>
  <c r="AM820" i="5"/>
  <c r="AN820" i="5"/>
  <c r="AO820" i="5"/>
  <c r="AP820" i="5"/>
  <c r="AQ820" i="5"/>
  <c r="E832" i="5"/>
  <c r="F832" i="5"/>
  <c r="G832" i="5"/>
  <c r="H832" i="5"/>
  <c r="I832" i="5"/>
  <c r="J832" i="5"/>
  <c r="K832" i="5"/>
  <c r="L832" i="5"/>
  <c r="M832" i="5"/>
  <c r="N832" i="5"/>
  <c r="O832" i="5"/>
  <c r="P832" i="5"/>
  <c r="Q832" i="5"/>
  <c r="R832" i="5"/>
  <c r="S832" i="5"/>
  <c r="T832" i="5"/>
  <c r="U832" i="5"/>
  <c r="V832" i="5"/>
  <c r="W832" i="5"/>
  <c r="X832" i="5"/>
  <c r="Y832" i="5"/>
  <c r="Z832" i="5"/>
  <c r="AA832" i="5"/>
  <c r="AB832" i="5"/>
  <c r="AC832" i="5"/>
  <c r="E833" i="5"/>
  <c r="F833" i="5"/>
  <c r="G833" i="5"/>
  <c r="H833" i="5"/>
  <c r="I833" i="5"/>
  <c r="J833" i="5"/>
  <c r="K833" i="5"/>
  <c r="L833" i="5"/>
  <c r="M833" i="5"/>
  <c r="N833" i="5"/>
  <c r="O833" i="5"/>
  <c r="P833" i="5"/>
  <c r="Q833" i="5"/>
  <c r="R833" i="5"/>
  <c r="S833" i="5"/>
  <c r="T833" i="5"/>
  <c r="U833" i="5"/>
  <c r="V833" i="5"/>
  <c r="W833" i="5"/>
  <c r="X833" i="5"/>
  <c r="Y833" i="5"/>
  <c r="Z833" i="5"/>
  <c r="AA833" i="5"/>
  <c r="AB833" i="5"/>
  <c r="AC833" i="5"/>
  <c r="E834" i="5"/>
  <c r="F834" i="5"/>
  <c r="G834" i="5"/>
  <c r="H834" i="5"/>
  <c r="I834" i="5"/>
  <c r="J834" i="5"/>
  <c r="K834" i="5"/>
  <c r="L834" i="5"/>
  <c r="M834" i="5"/>
  <c r="N834" i="5"/>
  <c r="O834" i="5"/>
  <c r="P834" i="5"/>
  <c r="Q834" i="5"/>
  <c r="R834" i="5"/>
  <c r="S834" i="5"/>
  <c r="T834" i="5"/>
  <c r="U834" i="5"/>
  <c r="V834" i="5"/>
  <c r="W834" i="5"/>
  <c r="X834" i="5"/>
  <c r="Y834" i="5"/>
  <c r="Z834" i="5"/>
  <c r="AA834" i="5"/>
  <c r="AB834" i="5"/>
  <c r="AC834" i="5"/>
  <c r="I835" i="5"/>
  <c r="J835" i="5"/>
  <c r="K835" i="5"/>
  <c r="L835" i="5"/>
  <c r="M835" i="5"/>
  <c r="N835" i="5"/>
  <c r="O835" i="5"/>
  <c r="P835" i="5"/>
  <c r="Q835" i="5"/>
  <c r="R835" i="5"/>
  <c r="S835" i="5"/>
  <c r="T835" i="5"/>
  <c r="U835" i="5"/>
  <c r="V835" i="5"/>
  <c r="W835" i="5"/>
  <c r="X835" i="5"/>
  <c r="Y835" i="5"/>
  <c r="Z835" i="5"/>
  <c r="AA835" i="5"/>
  <c r="AB835" i="5"/>
  <c r="AC835" i="5"/>
  <c r="I836" i="5"/>
  <c r="J836" i="5"/>
  <c r="K836" i="5"/>
  <c r="L836" i="5"/>
  <c r="M836" i="5"/>
  <c r="N836" i="5"/>
  <c r="O836" i="5"/>
  <c r="P836" i="5"/>
  <c r="Q836" i="5"/>
  <c r="R836" i="5"/>
  <c r="S836" i="5"/>
  <c r="T836" i="5"/>
  <c r="U836" i="5"/>
  <c r="V836" i="5"/>
  <c r="W836" i="5"/>
  <c r="X836" i="5"/>
  <c r="Y836" i="5"/>
  <c r="Z836" i="5"/>
  <c r="AA836" i="5"/>
  <c r="AB836" i="5"/>
  <c r="AC836" i="5"/>
  <c r="I837" i="5"/>
  <c r="J837" i="5"/>
  <c r="K837" i="5"/>
  <c r="L837" i="5"/>
  <c r="M837" i="5"/>
  <c r="N837" i="5"/>
  <c r="O837" i="5"/>
  <c r="P837" i="5"/>
  <c r="Q837" i="5"/>
  <c r="R837" i="5"/>
  <c r="S837" i="5"/>
  <c r="T837" i="5"/>
  <c r="U837" i="5"/>
  <c r="V837" i="5"/>
  <c r="W837" i="5"/>
  <c r="X837" i="5"/>
  <c r="Y837" i="5"/>
  <c r="Z837" i="5"/>
  <c r="AA837" i="5"/>
  <c r="AB837" i="5"/>
  <c r="AC837" i="5"/>
  <c r="I838" i="5"/>
  <c r="J838" i="5"/>
  <c r="K838" i="5"/>
  <c r="L838" i="5"/>
  <c r="M838" i="5"/>
  <c r="N838" i="5"/>
  <c r="O838" i="5"/>
  <c r="P838" i="5"/>
  <c r="Q838" i="5"/>
  <c r="R838" i="5"/>
  <c r="S838" i="5"/>
  <c r="T838" i="5"/>
  <c r="U838" i="5"/>
  <c r="V838" i="5"/>
  <c r="W838" i="5"/>
  <c r="X838" i="5"/>
  <c r="Y838" i="5"/>
  <c r="Z838" i="5"/>
  <c r="AA838" i="5"/>
  <c r="AB838" i="5"/>
  <c r="AC838" i="5"/>
  <c r="E839" i="5"/>
  <c r="F839" i="5"/>
  <c r="G839" i="5"/>
  <c r="H839" i="5"/>
  <c r="I839" i="5"/>
  <c r="J839" i="5"/>
  <c r="K839" i="5"/>
  <c r="L839" i="5"/>
  <c r="M839" i="5"/>
  <c r="N839" i="5"/>
  <c r="O839" i="5"/>
  <c r="P839" i="5"/>
  <c r="Q839" i="5"/>
  <c r="R839" i="5"/>
  <c r="S839" i="5"/>
  <c r="T839" i="5"/>
  <c r="U839" i="5"/>
  <c r="V839" i="5"/>
  <c r="W839" i="5"/>
  <c r="X839" i="5"/>
  <c r="Y839" i="5"/>
  <c r="Z839" i="5"/>
  <c r="AA839" i="5"/>
  <c r="AB839" i="5"/>
  <c r="AC839" i="5"/>
  <c r="E840" i="5"/>
  <c r="F840" i="5"/>
  <c r="G840" i="5"/>
  <c r="H840" i="5"/>
  <c r="I840" i="5"/>
  <c r="J840" i="5"/>
  <c r="K840" i="5"/>
  <c r="L840" i="5"/>
  <c r="M840" i="5"/>
  <c r="N840" i="5"/>
  <c r="O840" i="5"/>
  <c r="P840" i="5"/>
  <c r="Q840" i="5"/>
  <c r="R840" i="5"/>
  <c r="S840" i="5"/>
  <c r="T840" i="5"/>
  <c r="U840" i="5"/>
  <c r="V840" i="5"/>
  <c r="W840" i="5"/>
  <c r="X840" i="5"/>
  <c r="Y840" i="5"/>
  <c r="Z840" i="5"/>
  <c r="AA840" i="5"/>
  <c r="AB840" i="5"/>
  <c r="AC840" i="5"/>
  <c r="E841" i="5"/>
  <c r="F841" i="5"/>
  <c r="G841" i="5"/>
  <c r="H841" i="5"/>
  <c r="I841" i="5"/>
  <c r="J841" i="5"/>
  <c r="K841" i="5"/>
  <c r="L841" i="5"/>
  <c r="M841" i="5"/>
  <c r="N841" i="5"/>
  <c r="O841" i="5"/>
  <c r="P841" i="5"/>
  <c r="Q841" i="5"/>
  <c r="R841" i="5"/>
  <c r="S841" i="5"/>
  <c r="T841" i="5"/>
  <c r="U841" i="5"/>
  <c r="V841" i="5"/>
  <c r="W841" i="5"/>
  <c r="X841" i="5"/>
  <c r="Y841" i="5"/>
  <c r="Z841" i="5"/>
  <c r="AA841" i="5"/>
  <c r="AB841" i="5"/>
  <c r="AC841" i="5"/>
  <c r="E842" i="5"/>
  <c r="F842" i="5"/>
  <c r="G842" i="5"/>
  <c r="H842" i="5"/>
  <c r="I842" i="5"/>
  <c r="J842" i="5"/>
  <c r="K842" i="5"/>
  <c r="L842" i="5"/>
  <c r="M842" i="5"/>
  <c r="N842" i="5"/>
  <c r="O842" i="5"/>
  <c r="P842" i="5"/>
  <c r="Q842" i="5"/>
  <c r="R842" i="5"/>
  <c r="S842" i="5"/>
  <c r="T842" i="5"/>
  <c r="U842" i="5"/>
  <c r="V842" i="5"/>
  <c r="W842" i="5"/>
  <c r="X842" i="5"/>
  <c r="Y842" i="5"/>
  <c r="Z842" i="5"/>
  <c r="AA842" i="5"/>
  <c r="AB842" i="5"/>
  <c r="AC842" i="5"/>
  <c r="E843" i="5"/>
  <c r="F843" i="5"/>
  <c r="G843" i="5"/>
  <c r="H843" i="5"/>
  <c r="I843" i="5"/>
  <c r="J843" i="5"/>
  <c r="K843" i="5"/>
  <c r="L843" i="5"/>
  <c r="M843" i="5"/>
  <c r="N843" i="5"/>
  <c r="O843" i="5"/>
  <c r="P843" i="5"/>
  <c r="Q843" i="5"/>
  <c r="R843" i="5"/>
  <c r="S843" i="5"/>
  <c r="T843" i="5"/>
  <c r="U843" i="5"/>
  <c r="V843" i="5"/>
  <c r="W843" i="5"/>
  <c r="X843" i="5"/>
  <c r="Y843" i="5"/>
  <c r="Z843" i="5"/>
  <c r="AA843" i="5"/>
  <c r="AB843" i="5"/>
  <c r="AC843" i="5"/>
  <c r="E846" i="5"/>
  <c r="F846" i="5"/>
  <c r="G846" i="5"/>
  <c r="H846" i="5"/>
  <c r="I846" i="5"/>
  <c r="J846" i="5"/>
  <c r="K846" i="5"/>
  <c r="L846" i="5"/>
  <c r="M846" i="5"/>
  <c r="N846" i="5"/>
  <c r="O846" i="5"/>
  <c r="P846" i="5"/>
  <c r="Q846" i="5"/>
  <c r="R846" i="5"/>
  <c r="S846" i="5"/>
  <c r="T846" i="5"/>
  <c r="U846" i="5"/>
  <c r="V846" i="5"/>
  <c r="W846" i="5"/>
  <c r="X846" i="5"/>
  <c r="Y846" i="5"/>
  <c r="Z846" i="5"/>
  <c r="AA846" i="5"/>
  <c r="AB846" i="5"/>
  <c r="AC846" i="5"/>
  <c r="E847" i="5"/>
  <c r="F847" i="5"/>
  <c r="G847" i="5"/>
  <c r="H847" i="5"/>
  <c r="I847" i="5"/>
  <c r="J847" i="5"/>
  <c r="K847" i="5"/>
  <c r="L847" i="5"/>
  <c r="M847" i="5"/>
  <c r="N847" i="5"/>
  <c r="O847" i="5"/>
  <c r="P847" i="5"/>
  <c r="Q847" i="5"/>
  <c r="R847" i="5"/>
  <c r="S847" i="5"/>
  <c r="T847" i="5"/>
  <c r="U847" i="5"/>
  <c r="V847" i="5"/>
  <c r="W847" i="5"/>
  <c r="X847" i="5"/>
  <c r="Y847" i="5"/>
  <c r="Z847" i="5"/>
  <c r="AA847" i="5"/>
  <c r="AB847" i="5"/>
  <c r="AC847" i="5"/>
  <c r="E848" i="5"/>
  <c r="F848" i="5"/>
  <c r="G848" i="5"/>
  <c r="H848" i="5"/>
  <c r="I848" i="5"/>
  <c r="J848" i="5"/>
  <c r="K848" i="5"/>
  <c r="L848" i="5"/>
  <c r="M848" i="5"/>
  <c r="N848" i="5"/>
  <c r="O848" i="5"/>
  <c r="P848" i="5"/>
  <c r="Q848" i="5"/>
  <c r="R848" i="5"/>
  <c r="S848" i="5"/>
  <c r="T848" i="5"/>
  <c r="U848" i="5"/>
  <c r="V848" i="5"/>
  <c r="W848" i="5"/>
  <c r="X848" i="5"/>
  <c r="Y848" i="5"/>
  <c r="Z848" i="5"/>
  <c r="AA848" i="5"/>
  <c r="AB848" i="5"/>
  <c r="AC848" i="5"/>
  <c r="E849" i="5"/>
  <c r="F849" i="5"/>
  <c r="G849" i="5"/>
  <c r="H849" i="5"/>
  <c r="I849" i="5"/>
  <c r="J849" i="5"/>
  <c r="K849" i="5"/>
  <c r="L849" i="5"/>
  <c r="M849" i="5"/>
  <c r="N849" i="5"/>
  <c r="O849" i="5"/>
  <c r="P849" i="5"/>
  <c r="Q849" i="5"/>
  <c r="R849" i="5"/>
  <c r="S849" i="5"/>
  <c r="T849" i="5"/>
  <c r="U849" i="5"/>
  <c r="V849" i="5"/>
  <c r="W849" i="5"/>
  <c r="X849" i="5"/>
  <c r="Y849" i="5"/>
  <c r="Z849" i="5"/>
  <c r="AA849" i="5"/>
  <c r="AB849" i="5"/>
  <c r="AC849" i="5"/>
  <c r="E850" i="5"/>
  <c r="F850" i="5"/>
  <c r="G850" i="5"/>
  <c r="H850" i="5"/>
  <c r="I850" i="5"/>
  <c r="J850" i="5"/>
  <c r="K850" i="5"/>
  <c r="L850" i="5"/>
  <c r="M850" i="5"/>
  <c r="N850" i="5"/>
  <c r="O850" i="5"/>
  <c r="P850" i="5"/>
  <c r="Q850" i="5"/>
  <c r="R850" i="5"/>
  <c r="S850" i="5"/>
  <c r="T850" i="5"/>
  <c r="U850" i="5"/>
  <c r="V850" i="5"/>
  <c r="W850" i="5"/>
  <c r="X850" i="5"/>
  <c r="Y850" i="5"/>
  <c r="Z850" i="5"/>
  <c r="AA850" i="5"/>
  <c r="AB850" i="5"/>
  <c r="AC850" i="5"/>
  <c r="E851" i="5"/>
  <c r="F851" i="5"/>
  <c r="G851" i="5"/>
  <c r="H851" i="5"/>
  <c r="I851" i="5"/>
  <c r="J851" i="5"/>
  <c r="K851" i="5"/>
  <c r="L851" i="5"/>
  <c r="M851" i="5"/>
  <c r="N851" i="5"/>
  <c r="O851" i="5"/>
  <c r="P851" i="5"/>
  <c r="Q851" i="5"/>
  <c r="R851" i="5"/>
  <c r="S851" i="5"/>
  <c r="T851" i="5"/>
  <c r="U851" i="5"/>
  <c r="V851" i="5"/>
  <c r="W851" i="5"/>
  <c r="X851" i="5"/>
  <c r="Y851" i="5"/>
  <c r="Z851" i="5"/>
  <c r="AA851" i="5"/>
  <c r="AB851" i="5"/>
  <c r="AC851" i="5"/>
  <c r="E852" i="5"/>
  <c r="F852" i="5"/>
  <c r="G852" i="5"/>
  <c r="H852" i="5"/>
  <c r="I852" i="5"/>
  <c r="J852" i="5"/>
  <c r="K852" i="5"/>
  <c r="L852" i="5"/>
  <c r="M852" i="5"/>
  <c r="N852" i="5"/>
  <c r="O852" i="5"/>
  <c r="P852" i="5"/>
  <c r="Q852" i="5"/>
  <c r="R852" i="5"/>
  <c r="S852" i="5"/>
  <c r="T852" i="5"/>
  <c r="U852" i="5"/>
  <c r="V852" i="5"/>
  <c r="W852" i="5"/>
  <c r="X852" i="5"/>
  <c r="Y852" i="5"/>
  <c r="Z852" i="5"/>
  <c r="AA852" i="5"/>
  <c r="AB852" i="5"/>
  <c r="AC852" i="5"/>
  <c r="I853" i="5"/>
  <c r="J853" i="5"/>
  <c r="K853" i="5"/>
  <c r="L853" i="5"/>
  <c r="M853" i="5"/>
  <c r="N853" i="5"/>
  <c r="O853" i="5"/>
  <c r="P853" i="5"/>
  <c r="Q853" i="5"/>
  <c r="R853" i="5"/>
  <c r="S853" i="5"/>
  <c r="T853" i="5"/>
  <c r="U853" i="5"/>
  <c r="V853" i="5"/>
  <c r="W853" i="5"/>
  <c r="X853" i="5"/>
  <c r="Y853" i="5"/>
  <c r="Z853" i="5"/>
  <c r="AA853" i="5"/>
  <c r="AB853" i="5"/>
  <c r="AC853" i="5"/>
  <c r="I854" i="5"/>
  <c r="J854" i="5"/>
  <c r="K854" i="5"/>
  <c r="L854" i="5"/>
  <c r="M854" i="5"/>
  <c r="N854" i="5"/>
  <c r="O854" i="5"/>
  <c r="P854" i="5"/>
  <c r="Q854" i="5"/>
  <c r="R854" i="5"/>
  <c r="S854" i="5"/>
  <c r="T854" i="5"/>
  <c r="U854" i="5"/>
  <c r="V854" i="5"/>
  <c r="W854" i="5"/>
  <c r="X854" i="5"/>
  <c r="Y854" i="5"/>
  <c r="Z854" i="5"/>
  <c r="AA854" i="5"/>
  <c r="AB854" i="5"/>
  <c r="AC854" i="5"/>
  <c r="I856" i="5"/>
  <c r="J856" i="5"/>
  <c r="K856" i="5"/>
  <c r="L856" i="5"/>
  <c r="M856" i="5"/>
  <c r="N856" i="5"/>
  <c r="O856" i="5"/>
  <c r="P856" i="5"/>
  <c r="Q856" i="5"/>
  <c r="R856" i="5"/>
  <c r="S856" i="5"/>
  <c r="T856" i="5"/>
  <c r="U856" i="5"/>
  <c r="V856" i="5"/>
  <c r="W856" i="5"/>
  <c r="X856" i="5"/>
  <c r="Y856" i="5"/>
  <c r="Z856" i="5"/>
  <c r="AA856" i="5"/>
  <c r="AB856" i="5"/>
  <c r="AC856" i="5"/>
  <c r="AD856" i="5"/>
  <c r="H860" i="5"/>
  <c r="H861" i="5"/>
  <c r="I862" i="5"/>
  <c r="J862" i="5"/>
  <c r="K862" i="5"/>
  <c r="L862" i="5"/>
  <c r="M862" i="5"/>
  <c r="N862" i="5"/>
  <c r="O862" i="5"/>
  <c r="P862" i="5"/>
  <c r="Q862" i="5"/>
  <c r="R862" i="5"/>
  <c r="S862" i="5"/>
  <c r="T862" i="5"/>
  <c r="U862" i="5"/>
  <c r="V862" i="5"/>
  <c r="W862" i="5"/>
  <c r="X862" i="5"/>
  <c r="Y862" i="5"/>
  <c r="Z862" i="5"/>
  <c r="AA862" i="5"/>
  <c r="AB862" i="5"/>
  <c r="AC862" i="5"/>
  <c r="I868" i="5"/>
  <c r="J868" i="5"/>
  <c r="K868" i="5"/>
  <c r="L868" i="5"/>
  <c r="M868" i="5"/>
  <c r="N868" i="5"/>
  <c r="O868" i="5"/>
  <c r="P868" i="5"/>
  <c r="Q868" i="5"/>
  <c r="R868" i="5"/>
  <c r="S868" i="5"/>
  <c r="T868" i="5"/>
  <c r="U868" i="5"/>
  <c r="V868" i="5"/>
  <c r="W868" i="5"/>
  <c r="X868" i="5"/>
  <c r="Y868" i="5"/>
  <c r="Z868" i="5"/>
  <c r="AA868" i="5"/>
  <c r="AB868" i="5"/>
  <c r="AC868" i="5"/>
  <c r="AD868" i="5"/>
  <c r="I869" i="5"/>
  <c r="J869" i="5"/>
  <c r="K869" i="5"/>
  <c r="L869" i="5"/>
  <c r="M869" i="5"/>
  <c r="N869" i="5"/>
  <c r="O869" i="5"/>
  <c r="P869" i="5"/>
  <c r="Q869" i="5"/>
  <c r="R869" i="5"/>
  <c r="S869" i="5"/>
  <c r="T869" i="5"/>
  <c r="U869" i="5"/>
  <c r="V869" i="5"/>
  <c r="W869" i="5"/>
  <c r="X869" i="5"/>
  <c r="Y869" i="5"/>
  <c r="Z869" i="5"/>
  <c r="AA869" i="5"/>
  <c r="AB869" i="5"/>
  <c r="AC869" i="5"/>
  <c r="AD869" i="5"/>
  <c r="I870" i="5"/>
  <c r="J870" i="5"/>
  <c r="K870" i="5"/>
  <c r="L870" i="5"/>
  <c r="M870" i="5"/>
  <c r="N870" i="5"/>
  <c r="O870" i="5"/>
  <c r="P870" i="5"/>
  <c r="Q870" i="5"/>
  <c r="R870" i="5"/>
  <c r="S870" i="5"/>
  <c r="T870" i="5"/>
  <c r="U870" i="5"/>
  <c r="V870" i="5"/>
  <c r="W870" i="5"/>
  <c r="X870" i="5"/>
  <c r="Y870" i="5"/>
  <c r="Z870" i="5"/>
  <c r="AA870" i="5"/>
  <c r="AB870" i="5"/>
  <c r="AC870" i="5"/>
  <c r="AD870" i="5"/>
  <c r="I871" i="5"/>
  <c r="J871" i="5"/>
  <c r="K871" i="5"/>
  <c r="L871" i="5"/>
  <c r="M871" i="5"/>
  <c r="N871" i="5"/>
  <c r="O871" i="5"/>
  <c r="P871" i="5"/>
  <c r="Q871" i="5"/>
  <c r="R871" i="5"/>
  <c r="S871" i="5"/>
  <c r="T871" i="5"/>
  <c r="U871" i="5"/>
  <c r="V871" i="5"/>
  <c r="W871" i="5"/>
  <c r="X871" i="5"/>
  <c r="Y871" i="5"/>
  <c r="Z871" i="5"/>
  <c r="AA871" i="5"/>
  <c r="AB871" i="5"/>
  <c r="AC871" i="5"/>
  <c r="AD871" i="5"/>
  <c r="I872" i="5"/>
  <c r="J872" i="5"/>
  <c r="K872" i="5"/>
  <c r="L872" i="5"/>
  <c r="M872" i="5"/>
  <c r="N872" i="5"/>
  <c r="O872" i="5"/>
  <c r="P872" i="5"/>
  <c r="Q872" i="5"/>
  <c r="R872" i="5"/>
  <c r="S872" i="5"/>
  <c r="T872" i="5"/>
  <c r="U872" i="5"/>
  <c r="V872" i="5"/>
  <c r="W872" i="5"/>
  <c r="X872" i="5"/>
  <c r="Y872" i="5"/>
  <c r="Z872" i="5"/>
  <c r="AA872" i="5"/>
  <c r="AB872" i="5"/>
  <c r="AC872" i="5"/>
  <c r="AD872" i="5"/>
  <c r="I873" i="5"/>
  <c r="J873" i="5"/>
  <c r="K873" i="5"/>
  <c r="L873" i="5"/>
  <c r="M873" i="5"/>
  <c r="N873" i="5"/>
  <c r="O873" i="5"/>
  <c r="P873" i="5"/>
  <c r="Q873" i="5"/>
  <c r="R873" i="5"/>
  <c r="S873" i="5"/>
  <c r="T873" i="5"/>
  <c r="U873" i="5"/>
  <c r="V873" i="5"/>
  <c r="W873" i="5"/>
  <c r="X873" i="5"/>
  <c r="Y873" i="5"/>
  <c r="Z873" i="5"/>
  <c r="AA873" i="5"/>
  <c r="AB873" i="5"/>
  <c r="AC873" i="5"/>
  <c r="AD873" i="5"/>
  <c r="I874" i="5"/>
  <c r="J874" i="5"/>
  <c r="K874" i="5"/>
  <c r="L874" i="5"/>
  <c r="M874" i="5"/>
  <c r="N874" i="5"/>
  <c r="O874" i="5"/>
  <c r="P874" i="5"/>
  <c r="Q874" i="5"/>
  <c r="R874" i="5"/>
  <c r="S874" i="5"/>
  <c r="T874" i="5"/>
  <c r="U874" i="5"/>
  <c r="V874" i="5"/>
  <c r="W874" i="5"/>
  <c r="X874" i="5"/>
  <c r="Y874" i="5"/>
  <c r="Z874" i="5"/>
  <c r="AA874" i="5"/>
  <c r="AB874" i="5"/>
  <c r="AC874" i="5"/>
  <c r="AD874" i="5"/>
  <c r="I875" i="5"/>
  <c r="J875" i="5"/>
  <c r="K875" i="5"/>
  <c r="L875" i="5"/>
  <c r="M875" i="5"/>
  <c r="N875" i="5"/>
  <c r="O875" i="5"/>
  <c r="P875" i="5"/>
  <c r="Q875" i="5"/>
  <c r="R875" i="5"/>
  <c r="S875" i="5"/>
  <c r="T875" i="5"/>
  <c r="U875" i="5"/>
  <c r="V875" i="5"/>
  <c r="W875" i="5"/>
  <c r="X875" i="5"/>
  <c r="Y875" i="5"/>
  <c r="Z875" i="5"/>
  <c r="AA875" i="5"/>
  <c r="AB875" i="5"/>
  <c r="AC875" i="5"/>
  <c r="AD875" i="5"/>
  <c r="I878" i="5"/>
  <c r="J878" i="5"/>
  <c r="K878" i="5"/>
  <c r="L878" i="5"/>
  <c r="M878" i="5"/>
  <c r="N878" i="5"/>
  <c r="O878" i="5"/>
  <c r="P878" i="5"/>
  <c r="Q878" i="5"/>
  <c r="R878" i="5"/>
  <c r="S878" i="5"/>
  <c r="T878" i="5"/>
  <c r="U878" i="5"/>
  <c r="V878" i="5"/>
  <c r="W878" i="5"/>
  <c r="X878" i="5"/>
  <c r="Y878" i="5"/>
  <c r="Z878" i="5"/>
  <c r="AA878" i="5"/>
  <c r="AB878" i="5"/>
  <c r="AC878" i="5"/>
  <c r="AD878" i="5"/>
  <c r="I879" i="5"/>
  <c r="J879" i="5"/>
  <c r="K879" i="5"/>
  <c r="L879" i="5"/>
  <c r="M879" i="5"/>
  <c r="N879" i="5"/>
  <c r="O879" i="5"/>
  <c r="P879" i="5"/>
  <c r="Q879" i="5"/>
  <c r="R879" i="5"/>
  <c r="S879" i="5"/>
  <c r="T879" i="5"/>
  <c r="U879" i="5"/>
  <c r="V879" i="5"/>
  <c r="W879" i="5"/>
  <c r="X879" i="5"/>
  <c r="Y879" i="5"/>
  <c r="Z879" i="5"/>
  <c r="AA879" i="5"/>
  <c r="AB879" i="5"/>
  <c r="AC879" i="5"/>
  <c r="AD879" i="5"/>
  <c r="I880" i="5"/>
  <c r="J880" i="5"/>
  <c r="K880" i="5"/>
  <c r="L880" i="5"/>
  <c r="M880" i="5"/>
  <c r="N880" i="5"/>
  <c r="O880" i="5"/>
  <c r="P880" i="5"/>
  <c r="Q880" i="5"/>
  <c r="R880" i="5"/>
  <c r="S880" i="5"/>
  <c r="T880" i="5"/>
  <c r="U880" i="5"/>
  <c r="V880" i="5"/>
  <c r="W880" i="5"/>
  <c r="X880" i="5"/>
  <c r="Y880" i="5"/>
  <c r="Z880" i="5"/>
  <c r="AA880" i="5"/>
  <c r="AB880" i="5"/>
  <c r="AC880" i="5"/>
  <c r="AD880" i="5"/>
  <c r="I881" i="5"/>
  <c r="J881" i="5"/>
  <c r="K881" i="5"/>
  <c r="L881" i="5"/>
  <c r="M881" i="5"/>
  <c r="N881" i="5"/>
  <c r="O881" i="5"/>
  <c r="P881" i="5"/>
  <c r="Q881" i="5"/>
  <c r="R881" i="5"/>
  <c r="S881" i="5"/>
  <c r="T881" i="5"/>
  <c r="U881" i="5"/>
  <c r="V881" i="5"/>
  <c r="W881" i="5"/>
  <c r="X881" i="5"/>
  <c r="Y881" i="5"/>
  <c r="Z881" i="5"/>
  <c r="AA881" i="5"/>
  <c r="AB881" i="5"/>
  <c r="AC881" i="5"/>
  <c r="AD881" i="5"/>
  <c r="I882" i="5"/>
  <c r="J882" i="5"/>
  <c r="K882" i="5"/>
  <c r="L882" i="5"/>
  <c r="M882" i="5"/>
  <c r="N882" i="5"/>
  <c r="O882" i="5"/>
  <c r="P882" i="5"/>
  <c r="Q882" i="5"/>
  <c r="R882" i="5"/>
  <c r="S882" i="5"/>
  <c r="T882" i="5"/>
  <c r="U882" i="5"/>
  <c r="V882" i="5"/>
  <c r="W882" i="5"/>
  <c r="X882" i="5"/>
  <c r="Y882" i="5"/>
  <c r="Z882" i="5"/>
  <c r="AA882" i="5"/>
  <c r="AB882" i="5"/>
  <c r="AC882" i="5"/>
  <c r="AD882" i="5"/>
  <c r="I883" i="5"/>
  <c r="J883" i="5"/>
  <c r="K883" i="5"/>
  <c r="L883" i="5"/>
  <c r="M883" i="5"/>
  <c r="N883" i="5"/>
  <c r="O883" i="5"/>
  <c r="P883" i="5"/>
  <c r="Q883" i="5"/>
  <c r="R883" i="5"/>
  <c r="S883" i="5"/>
  <c r="T883" i="5"/>
  <c r="U883" i="5"/>
  <c r="V883" i="5"/>
  <c r="W883" i="5"/>
  <c r="X883" i="5"/>
  <c r="Y883" i="5"/>
  <c r="Z883" i="5"/>
  <c r="AA883" i="5"/>
  <c r="AB883" i="5"/>
  <c r="AC883" i="5"/>
  <c r="AD883" i="5"/>
  <c r="I884" i="5"/>
  <c r="J884" i="5"/>
  <c r="K884" i="5"/>
  <c r="L884" i="5"/>
  <c r="M884" i="5"/>
  <c r="N884" i="5"/>
  <c r="O884" i="5"/>
  <c r="P884" i="5"/>
  <c r="Q884" i="5"/>
  <c r="R884" i="5"/>
  <c r="S884" i="5"/>
  <c r="T884" i="5"/>
  <c r="U884" i="5"/>
  <c r="V884" i="5"/>
  <c r="W884" i="5"/>
  <c r="X884" i="5"/>
  <c r="Y884" i="5"/>
  <c r="Z884" i="5"/>
  <c r="AA884" i="5"/>
  <c r="AB884" i="5"/>
  <c r="AC884" i="5"/>
  <c r="AD884" i="5"/>
  <c r="I885" i="5"/>
  <c r="J885" i="5"/>
  <c r="K885" i="5"/>
  <c r="L885" i="5"/>
  <c r="M885" i="5"/>
  <c r="N885" i="5"/>
  <c r="O885" i="5"/>
  <c r="P885" i="5"/>
  <c r="Q885" i="5"/>
  <c r="R885" i="5"/>
  <c r="S885" i="5"/>
  <c r="T885" i="5"/>
  <c r="U885" i="5"/>
  <c r="V885" i="5"/>
  <c r="W885" i="5"/>
  <c r="X885" i="5"/>
  <c r="Y885" i="5"/>
  <c r="Z885" i="5"/>
  <c r="AA885" i="5"/>
  <c r="AB885" i="5"/>
  <c r="AC885" i="5"/>
  <c r="AD885" i="5"/>
  <c r="H2" i="4"/>
  <c r="I2" i="4"/>
  <c r="S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4" i="4"/>
  <c r="A5" i="4"/>
  <c r="C5" i="4"/>
  <c r="E5" i="4"/>
  <c r="F5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D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B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B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D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H75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H84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D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I104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H112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H120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H134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H142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S182" i="4"/>
  <c r="T182" i="4"/>
  <c r="U182" i="4"/>
  <c r="V182" i="4"/>
  <c r="W182" i="4"/>
  <c r="X182" i="4"/>
  <c r="Y182" i="4"/>
  <c r="Z182" i="4"/>
  <c r="AA182" i="4"/>
  <c r="AB182" i="4"/>
  <c r="AC182" i="4"/>
  <c r="S183" i="4"/>
  <c r="T183" i="4"/>
  <c r="U183" i="4"/>
  <c r="V183" i="4"/>
  <c r="W183" i="4"/>
  <c r="X183" i="4"/>
  <c r="Y183" i="4"/>
  <c r="Z183" i="4"/>
  <c r="AA183" i="4"/>
  <c r="AB183" i="4"/>
  <c r="AC183" i="4"/>
  <c r="S184" i="4"/>
  <c r="T184" i="4"/>
  <c r="U184" i="4"/>
  <c r="V184" i="4"/>
  <c r="W184" i="4"/>
  <c r="X184" i="4"/>
  <c r="Y184" i="4"/>
  <c r="Z184" i="4"/>
  <c r="AA184" i="4"/>
  <c r="AB184" i="4"/>
  <c r="AC184" i="4"/>
  <c r="T185" i="4"/>
  <c r="U185" i="4"/>
  <c r="V185" i="4"/>
  <c r="W185" i="4"/>
  <c r="X185" i="4"/>
  <c r="Y185" i="4"/>
  <c r="Z185" i="4"/>
  <c r="AA185" i="4"/>
  <c r="AB185" i="4"/>
  <c r="AC185" i="4"/>
  <c r="T186" i="4"/>
  <c r="U186" i="4"/>
  <c r="V186" i="4"/>
  <c r="W186" i="4"/>
  <c r="X186" i="4"/>
  <c r="Y186" i="4"/>
  <c r="Z186" i="4"/>
  <c r="AA186" i="4"/>
  <c r="AB186" i="4"/>
  <c r="AC186" i="4"/>
  <c r="T187" i="4"/>
  <c r="U187" i="4"/>
  <c r="V187" i="4"/>
  <c r="W187" i="4"/>
  <c r="X187" i="4"/>
  <c r="Y187" i="4"/>
  <c r="Z187" i="4"/>
  <c r="AA187" i="4"/>
  <c r="AB187" i="4"/>
  <c r="AC187" i="4"/>
  <c r="U188" i="4"/>
  <c r="V188" i="4"/>
  <c r="W188" i="4"/>
  <c r="X188" i="4"/>
  <c r="Y188" i="4"/>
  <c r="Z188" i="4"/>
  <c r="AA188" i="4"/>
  <c r="AB188" i="4"/>
  <c r="AC188" i="4"/>
  <c r="U189" i="4"/>
  <c r="V189" i="4"/>
  <c r="W189" i="4"/>
  <c r="X189" i="4"/>
  <c r="Y189" i="4"/>
  <c r="Z189" i="4"/>
  <c r="AA189" i="4"/>
  <c r="AB189" i="4"/>
  <c r="AC189" i="4"/>
  <c r="U190" i="4"/>
  <c r="V190" i="4"/>
  <c r="W190" i="4"/>
  <c r="X190" i="4"/>
  <c r="Y190" i="4"/>
  <c r="Z190" i="4"/>
  <c r="AA190" i="4"/>
  <c r="AB190" i="4"/>
  <c r="AC190" i="4"/>
  <c r="V191" i="4"/>
  <c r="W191" i="4"/>
  <c r="X191" i="4"/>
  <c r="Y191" i="4"/>
  <c r="Z191" i="4"/>
  <c r="AA191" i="4"/>
  <c r="AB191" i="4"/>
  <c r="AC191" i="4"/>
  <c r="V192" i="4"/>
  <c r="W192" i="4"/>
  <c r="X192" i="4"/>
  <c r="Y192" i="4"/>
  <c r="Z192" i="4"/>
  <c r="AA192" i="4"/>
  <c r="AB192" i="4"/>
  <c r="AC192" i="4"/>
  <c r="V193" i="4"/>
  <c r="W193" i="4"/>
  <c r="X193" i="4"/>
  <c r="Y193" i="4"/>
  <c r="Z193" i="4"/>
  <c r="AA193" i="4"/>
  <c r="AB193" i="4"/>
  <c r="AC193" i="4"/>
  <c r="W194" i="4"/>
  <c r="X194" i="4"/>
  <c r="Y194" i="4"/>
  <c r="Z194" i="4"/>
  <c r="AA194" i="4"/>
  <c r="AB194" i="4"/>
  <c r="AC194" i="4"/>
  <c r="W195" i="4"/>
  <c r="X195" i="4"/>
  <c r="Y195" i="4"/>
  <c r="Z195" i="4"/>
  <c r="AA195" i="4"/>
  <c r="AB195" i="4"/>
  <c r="AC195" i="4"/>
  <c r="W196" i="4"/>
  <c r="X196" i="4"/>
  <c r="Y196" i="4"/>
  <c r="Z196" i="4"/>
  <c r="AA196" i="4"/>
  <c r="AB196" i="4"/>
  <c r="AC196" i="4"/>
  <c r="X197" i="4"/>
  <c r="Y197" i="4"/>
  <c r="Z197" i="4"/>
  <c r="AA197" i="4"/>
  <c r="AB197" i="4"/>
  <c r="AC197" i="4"/>
  <c r="X198" i="4"/>
  <c r="Y198" i="4"/>
  <c r="Z198" i="4"/>
  <c r="AA198" i="4"/>
  <c r="AB198" i="4"/>
  <c r="AC198" i="4"/>
  <c r="X199" i="4"/>
  <c r="Y199" i="4"/>
  <c r="Z199" i="4"/>
  <c r="AA199" i="4"/>
  <c r="AB199" i="4"/>
  <c r="AC199" i="4"/>
  <c r="Y200" i="4"/>
  <c r="Z200" i="4"/>
  <c r="AA200" i="4"/>
  <c r="AB200" i="4"/>
  <c r="AC200" i="4"/>
  <c r="Y201" i="4"/>
  <c r="Z201" i="4"/>
  <c r="AA201" i="4"/>
  <c r="AB201" i="4"/>
  <c r="AC201" i="4"/>
  <c r="Y202" i="4"/>
  <c r="Z202" i="4"/>
  <c r="AA202" i="4"/>
  <c r="AB202" i="4"/>
  <c r="AC202" i="4"/>
  <c r="Z203" i="4"/>
  <c r="AA203" i="4"/>
  <c r="AB203" i="4"/>
  <c r="AC203" i="4"/>
  <c r="Z204" i="4"/>
  <c r="AA204" i="4"/>
  <c r="AB204" i="4"/>
  <c r="AC204" i="4"/>
  <c r="Z205" i="4"/>
  <c r="AA205" i="4"/>
  <c r="AB205" i="4"/>
  <c r="AC205" i="4"/>
  <c r="AA206" i="4"/>
  <c r="AB206" i="4"/>
  <c r="AC206" i="4"/>
  <c r="AA207" i="4"/>
  <c r="AB207" i="4"/>
  <c r="AC207" i="4"/>
  <c r="AA208" i="4"/>
  <c r="AB208" i="4"/>
  <c r="AC208" i="4"/>
  <c r="AB209" i="4"/>
  <c r="AC209" i="4"/>
  <c r="AB210" i="4"/>
  <c r="AC210" i="4"/>
  <c r="AB211" i="4"/>
  <c r="AC211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I218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J224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H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K230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H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L236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H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M242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H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N248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H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O254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H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P260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H262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Q266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H268" i="4"/>
  <c r="Q268" i="4"/>
  <c r="R268" i="4"/>
  <c r="S268" i="4"/>
  <c r="T268" i="4"/>
  <c r="U268" i="4"/>
  <c r="V268" i="4"/>
  <c r="W268" i="4"/>
  <c r="X268" i="4"/>
  <c r="Y268" i="4"/>
  <c r="Z268" i="4"/>
  <c r="AA268" i="4"/>
  <c r="AB268" i="4"/>
  <c r="AC268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R272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H274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S276" i="4"/>
  <c r="T276" i="4"/>
  <c r="U276" i="4"/>
  <c r="V276" i="4"/>
  <c r="W276" i="4"/>
  <c r="X276" i="4"/>
  <c r="Y276" i="4"/>
  <c r="Z276" i="4"/>
  <c r="AA276" i="4"/>
  <c r="AB276" i="4"/>
  <c r="AC276" i="4"/>
  <c r="S277" i="4"/>
  <c r="T277" i="4"/>
  <c r="U277" i="4"/>
  <c r="V277" i="4"/>
  <c r="W277" i="4"/>
  <c r="X277" i="4"/>
  <c r="Y277" i="4"/>
  <c r="Z277" i="4"/>
  <c r="AA277" i="4"/>
  <c r="AB277" i="4"/>
  <c r="AC277" i="4"/>
  <c r="S278" i="4"/>
  <c r="S279" i="4"/>
  <c r="T279" i="4"/>
  <c r="U279" i="4"/>
  <c r="V279" i="4"/>
  <c r="W279" i="4"/>
  <c r="X279" i="4"/>
  <c r="Y279" i="4"/>
  <c r="Z279" i="4"/>
  <c r="AA279" i="4"/>
  <c r="AB279" i="4"/>
  <c r="AC279" i="4"/>
  <c r="H280" i="4"/>
  <c r="S280" i="4"/>
  <c r="T280" i="4"/>
  <c r="U280" i="4"/>
  <c r="V280" i="4"/>
  <c r="W280" i="4"/>
  <c r="X280" i="4"/>
  <c r="Y280" i="4"/>
  <c r="Z280" i="4"/>
  <c r="AA280" i="4"/>
  <c r="AB280" i="4"/>
  <c r="AC280" i="4"/>
  <c r="T282" i="4"/>
  <c r="U282" i="4"/>
  <c r="V282" i="4"/>
  <c r="W282" i="4"/>
  <c r="X282" i="4"/>
  <c r="Y282" i="4"/>
  <c r="Z282" i="4"/>
  <c r="AA282" i="4"/>
  <c r="AB282" i="4"/>
  <c r="AC282" i="4"/>
  <c r="T283" i="4"/>
  <c r="U283" i="4"/>
  <c r="V283" i="4"/>
  <c r="W283" i="4"/>
  <c r="X283" i="4"/>
  <c r="Y283" i="4"/>
  <c r="Z283" i="4"/>
  <c r="AA283" i="4"/>
  <c r="AB283" i="4"/>
  <c r="AC283" i="4"/>
  <c r="T284" i="4"/>
  <c r="T285" i="4"/>
  <c r="U285" i="4"/>
  <c r="V285" i="4"/>
  <c r="W285" i="4"/>
  <c r="X285" i="4"/>
  <c r="Y285" i="4"/>
  <c r="Z285" i="4"/>
  <c r="AA285" i="4"/>
  <c r="AB285" i="4"/>
  <c r="AC285" i="4"/>
  <c r="H286" i="4"/>
  <c r="T286" i="4"/>
  <c r="U286" i="4"/>
  <c r="V286" i="4"/>
  <c r="W286" i="4"/>
  <c r="X286" i="4"/>
  <c r="Y286" i="4"/>
  <c r="Z286" i="4"/>
  <c r="AA286" i="4"/>
  <c r="AB286" i="4"/>
  <c r="AC286" i="4"/>
  <c r="U288" i="4"/>
  <c r="V288" i="4"/>
  <c r="W288" i="4"/>
  <c r="X288" i="4"/>
  <c r="Y288" i="4"/>
  <c r="Z288" i="4"/>
  <c r="AA288" i="4"/>
  <c r="AB288" i="4"/>
  <c r="AC288" i="4"/>
  <c r="U289" i="4"/>
  <c r="V289" i="4"/>
  <c r="W289" i="4"/>
  <c r="X289" i="4"/>
  <c r="Y289" i="4"/>
  <c r="Z289" i="4"/>
  <c r="AA289" i="4"/>
  <c r="AB289" i="4"/>
  <c r="AC289" i="4"/>
  <c r="U290" i="4"/>
  <c r="U291" i="4"/>
  <c r="V291" i="4"/>
  <c r="W291" i="4"/>
  <c r="X291" i="4"/>
  <c r="Y291" i="4"/>
  <c r="Z291" i="4"/>
  <c r="AA291" i="4"/>
  <c r="AB291" i="4"/>
  <c r="AC291" i="4"/>
  <c r="H292" i="4"/>
  <c r="U292" i="4"/>
  <c r="V292" i="4"/>
  <c r="W292" i="4"/>
  <c r="X292" i="4"/>
  <c r="Y292" i="4"/>
  <c r="Z292" i="4"/>
  <c r="AA292" i="4"/>
  <c r="AB292" i="4"/>
  <c r="AC292" i="4"/>
  <c r="V294" i="4"/>
  <c r="W294" i="4"/>
  <c r="X294" i="4"/>
  <c r="Y294" i="4"/>
  <c r="Z294" i="4"/>
  <c r="AA294" i="4"/>
  <c r="AB294" i="4"/>
  <c r="AC294" i="4"/>
  <c r="V295" i="4"/>
  <c r="W295" i="4"/>
  <c r="X295" i="4"/>
  <c r="Y295" i="4"/>
  <c r="Z295" i="4"/>
  <c r="AA295" i="4"/>
  <c r="AB295" i="4"/>
  <c r="AC295" i="4"/>
  <c r="V296" i="4"/>
  <c r="V297" i="4"/>
  <c r="W297" i="4"/>
  <c r="X297" i="4"/>
  <c r="Y297" i="4"/>
  <c r="Z297" i="4"/>
  <c r="AA297" i="4"/>
  <c r="AB297" i="4"/>
  <c r="AC297" i="4"/>
  <c r="H298" i="4"/>
  <c r="V298" i="4"/>
  <c r="W298" i="4"/>
  <c r="X298" i="4"/>
  <c r="Y298" i="4"/>
  <c r="Z298" i="4"/>
  <c r="AA298" i="4"/>
  <c r="AB298" i="4"/>
  <c r="AC298" i="4"/>
  <c r="W300" i="4"/>
  <c r="X300" i="4"/>
  <c r="Y300" i="4"/>
  <c r="Z300" i="4"/>
  <c r="AA300" i="4"/>
  <c r="AB300" i="4"/>
  <c r="AC300" i="4"/>
  <c r="W301" i="4"/>
  <c r="X301" i="4"/>
  <c r="Y301" i="4"/>
  <c r="Z301" i="4"/>
  <c r="AA301" i="4"/>
  <c r="AB301" i="4"/>
  <c r="AC301" i="4"/>
  <c r="W302" i="4"/>
  <c r="W303" i="4"/>
  <c r="X303" i="4"/>
  <c r="Y303" i="4"/>
  <c r="Z303" i="4"/>
  <c r="AA303" i="4"/>
  <c r="AB303" i="4"/>
  <c r="AC303" i="4"/>
  <c r="H304" i="4"/>
  <c r="W304" i="4"/>
  <c r="X304" i="4"/>
  <c r="Y304" i="4"/>
  <c r="Z304" i="4"/>
  <c r="AA304" i="4"/>
  <c r="AB304" i="4"/>
  <c r="AC304" i="4"/>
  <c r="X306" i="4"/>
  <c r="Y306" i="4"/>
  <c r="Z306" i="4"/>
  <c r="AA306" i="4"/>
  <c r="AB306" i="4"/>
  <c r="AC306" i="4"/>
  <c r="X307" i="4"/>
  <c r="Y307" i="4"/>
  <c r="Z307" i="4"/>
  <c r="AA307" i="4"/>
  <c r="AB307" i="4"/>
  <c r="AC307" i="4"/>
  <c r="X308" i="4"/>
  <c r="X309" i="4"/>
  <c r="Y309" i="4"/>
  <c r="Z309" i="4"/>
  <c r="AA309" i="4"/>
  <c r="AB309" i="4"/>
  <c r="AC309" i="4"/>
  <c r="H310" i="4"/>
  <c r="X310" i="4"/>
  <c r="Y310" i="4"/>
  <c r="Z310" i="4"/>
  <c r="AA310" i="4"/>
  <c r="AB310" i="4"/>
  <c r="AC310" i="4"/>
  <c r="Y312" i="4"/>
  <c r="Z312" i="4"/>
  <c r="AA312" i="4"/>
  <c r="AB312" i="4"/>
  <c r="AC312" i="4"/>
  <c r="Y313" i="4"/>
  <c r="Z313" i="4"/>
  <c r="AA313" i="4"/>
  <c r="AB313" i="4"/>
  <c r="AC313" i="4"/>
  <c r="Y314" i="4"/>
  <c r="Y315" i="4"/>
  <c r="Z315" i="4"/>
  <c r="AA315" i="4"/>
  <c r="AB315" i="4"/>
  <c r="AC315" i="4"/>
  <c r="H316" i="4"/>
  <c r="Y316" i="4"/>
  <c r="Z316" i="4"/>
  <c r="AA316" i="4"/>
  <c r="AB316" i="4"/>
  <c r="AC316" i="4"/>
  <c r="Z318" i="4"/>
  <c r="AA318" i="4"/>
  <c r="AB318" i="4"/>
  <c r="AC318" i="4"/>
  <c r="Z319" i="4"/>
  <c r="AA319" i="4"/>
  <c r="AB319" i="4"/>
  <c r="AC319" i="4"/>
  <c r="Z320" i="4"/>
  <c r="Z321" i="4"/>
  <c r="AA321" i="4"/>
  <c r="AB321" i="4"/>
  <c r="AC321" i="4"/>
  <c r="H322" i="4"/>
  <c r="Z322" i="4"/>
  <c r="AA322" i="4"/>
  <c r="AB322" i="4"/>
  <c r="AC322" i="4"/>
  <c r="AA324" i="4"/>
  <c r="AB324" i="4"/>
  <c r="AC324" i="4"/>
  <c r="AA325" i="4"/>
  <c r="AB325" i="4"/>
  <c r="AC325" i="4"/>
  <c r="AA326" i="4"/>
  <c r="AA327" i="4"/>
  <c r="AB327" i="4"/>
  <c r="AC327" i="4"/>
  <c r="H328" i="4"/>
  <c r="AA328" i="4"/>
  <c r="AB328" i="4"/>
  <c r="AC328" i="4"/>
  <c r="AB330" i="4"/>
  <c r="AC330" i="4"/>
  <c r="AB331" i="4"/>
  <c r="AC331" i="4"/>
  <c r="AB332" i="4"/>
  <c r="AB333" i="4"/>
  <c r="AC333" i="4"/>
  <c r="H334" i="4"/>
  <c r="AB334" i="4"/>
  <c r="AC334" i="4"/>
  <c r="AC336" i="4"/>
  <c r="AC337" i="4"/>
  <c r="AC338" i="4"/>
  <c r="AC339" i="4"/>
  <c r="H340" i="4"/>
  <c r="AC340" i="4"/>
  <c r="I343" i="4"/>
  <c r="J343" i="4"/>
  <c r="K343" i="4"/>
  <c r="L343" i="4"/>
  <c r="M343" i="4"/>
  <c r="N343" i="4"/>
  <c r="O343" i="4"/>
  <c r="P343" i="4"/>
  <c r="Q343" i="4"/>
  <c r="R343" i="4"/>
  <c r="S343" i="4"/>
  <c r="T343" i="4"/>
  <c r="U343" i="4"/>
  <c r="V343" i="4"/>
  <c r="W343" i="4"/>
  <c r="X343" i="4"/>
  <c r="Y343" i="4"/>
  <c r="Z343" i="4"/>
  <c r="AA343" i="4"/>
  <c r="AB343" i="4"/>
  <c r="AC343" i="4"/>
  <c r="I348" i="4"/>
  <c r="J348" i="4"/>
  <c r="K348" i="4"/>
  <c r="L348" i="4"/>
  <c r="M348" i="4"/>
  <c r="N348" i="4"/>
  <c r="O348" i="4"/>
  <c r="P348" i="4"/>
  <c r="Q348" i="4"/>
  <c r="R348" i="4"/>
  <c r="S348" i="4"/>
  <c r="T348" i="4"/>
  <c r="U348" i="4"/>
  <c r="V348" i="4"/>
  <c r="W348" i="4"/>
  <c r="X348" i="4"/>
  <c r="Y348" i="4"/>
  <c r="Z348" i="4"/>
  <c r="AA348" i="4"/>
  <c r="AB348" i="4"/>
  <c r="AC348" i="4"/>
  <c r="I349" i="4"/>
  <c r="J349" i="4"/>
  <c r="K349" i="4"/>
  <c r="L349" i="4"/>
  <c r="M349" i="4"/>
  <c r="N349" i="4"/>
  <c r="O349" i="4"/>
  <c r="P349" i="4"/>
  <c r="Q349" i="4"/>
  <c r="R349" i="4"/>
  <c r="S349" i="4"/>
  <c r="T349" i="4"/>
  <c r="U349" i="4"/>
  <c r="V349" i="4"/>
  <c r="W349" i="4"/>
  <c r="X349" i="4"/>
  <c r="Y349" i="4"/>
  <c r="Z349" i="4"/>
  <c r="AA349" i="4"/>
  <c r="AB349" i="4"/>
  <c r="AC349" i="4"/>
  <c r="I350" i="4"/>
  <c r="J350" i="4"/>
  <c r="K350" i="4"/>
  <c r="L350" i="4"/>
  <c r="M350" i="4"/>
  <c r="N350" i="4"/>
  <c r="O350" i="4"/>
  <c r="P350" i="4"/>
  <c r="Q350" i="4"/>
  <c r="R350" i="4"/>
  <c r="S350" i="4"/>
  <c r="T350" i="4"/>
  <c r="U350" i="4"/>
  <c r="V350" i="4"/>
  <c r="W350" i="4"/>
  <c r="X350" i="4"/>
  <c r="Y350" i="4"/>
  <c r="Z350" i="4"/>
  <c r="AA350" i="4"/>
  <c r="AB350" i="4"/>
  <c r="AC350" i="4"/>
  <c r="I351" i="4"/>
  <c r="J351" i="4"/>
  <c r="K351" i="4"/>
  <c r="L351" i="4"/>
  <c r="M351" i="4"/>
  <c r="N351" i="4"/>
  <c r="O351" i="4"/>
  <c r="P351" i="4"/>
  <c r="Q351" i="4"/>
  <c r="R351" i="4"/>
  <c r="S351" i="4"/>
  <c r="T351" i="4"/>
  <c r="U351" i="4"/>
  <c r="V351" i="4"/>
  <c r="W351" i="4"/>
  <c r="X351" i="4"/>
  <c r="Y351" i="4"/>
  <c r="Z351" i="4"/>
  <c r="AA351" i="4"/>
  <c r="AB351" i="4"/>
  <c r="AC351" i="4"/>
  <c r="I362" i="4"/>
  <c r="J362" i="4"/>
  <c r="K362" i="4"/>
  <c r="L362" i="4"/>
  <c r="M362" i="4"/>
  <c r="N362" i="4"/>
  <c r="O362" i="4"/>
  <c r="P362" i="4"/>
  <c r="Q362" i="4"/>
  <c r="R362" i="4"/>
  <c r="S362" i="4"/>
  <c r="T362" i="4"/>
  <c r="U362" i="4"/>
  <c r="V362" i="4"/>
  <c r="W362" i="4"/>
  <c r="X362" i="4"/>
  <c r="Y362" i="4"/>
  <c r="Z362" i="4"/>
  <c r="AA362" i="4"/>
  <c r="AB362" i="4"/>
  <c r="AC362" i="4"/>
  <c r="I364" i="4"/>
  <c r="J364" i="4"/>
  <c r="K364" i="4"/>
  <c r="L364" i="4"/>
  <c r="M364" i="4"/>
  <c r="N364" i="4"/>
  <c r="O364" i="4"/>
  <c r="P364" i="4"/>
  <c r="Q364" i="4"/>
  <c r="R364" i="4"/>
  <c r="S364" i="4"/>
  <c r="T364" i="4"/>
  <c r="U364" i="4"/>
  <c r="V364" i="4"/>
  <c r="W364" i="4"/>
  <c r="X364" i="4"/>
  <c r="Y364" i="4"/>
  <c r="Z364" i="4"/>
  <c r="AA364" i="4"/>
  <c r="AB364" i="4"/>
  <c r="AC364" i="4"/>
  <c r="I365" i="4"/>
  <c r="J365" i="4"/>
  <c r="K365" i="4"/>
  <c r="L365" i="4"/>
  <c r="M365" i="4"/>
  <c r="N365" i="4"/>
  <c r="O365" i="4"/>
  <c r="P365" i="4"/>
  <c r="Q365" i="4"/>
  <c r="R365" i="4"/>
  <c r="S365" i="4"/>
  <c r="T365" i="4"/>
  <c r="U365" i="4"/>
  <c r="V365" i="4"/>
  <c r="W365" i="4"/>
  <c r="X365" i="4"/>
  <c r="Y365" i="4"/>
  <c r="Z365" i="4"/>
  <c r="AA365" i="4"/>
  <c r="AB365" i="4"/>
  <c r="AC365" i="4"/>
  <c r="H375" i="4"/>
  <c r="H376" i="4"/>
  <c r="I377" i="4"/>
  <c r="J377" i="4"/>
  <c r="K377" i="4"/>
  <c r="L377" i="4"/>
  <c r="M377" i="4"/>
  <c r="N377" i="4"/>
  <c r="O377" i="4"/>
  <c r="P377" i="4"/>
  <c r="Q377" i="4"/>
  <c r="R377" i="4"/>
  <c r="S377" i="4"/>
  <c r="T377" i="4"/>
  <c r="U377" i="4"/>
  <c r="V377" i="4"/>
  <c r="W377" i="4"/>
  <c r="X377" i="4"/>
  <c r="Y377" i="4"/>
  <c r="Z377" i="4"/>
  <c r="AA377" i="4"/>
  <c r="AB377" i="4"/>
  <c r="AC377" i="4"/>
  <c r="I378" i="4"/>
  <c r="J378" i="4"/>
  <c r="K378" i="4"/>
  <c r="L378" i="4"/>
  <c r="M378" i="4"/>
  <c r="N378" i="4"/>
  <c r="O378" i="4"/>
  <c r="P378" i="4"/>
  <c r="Q378" i="4"/>
  <c r="R378" i="4"/>
  <c r="S378" i="4"/>
  <c r="T378" i="4"/>
  <c r="U378" i="4"/>
  <c r="V378" i="4"/>
  <c r="W378" i="4"/>
  <c r="X378" i="4"/>
  <c r="Y378" i="4"/>
  <c r="Z378" i="4"/>
  <c r="AA378" i="4"/>
  <c r="AB378" i="4"/>
  <c r="AC378" i="4"/>
  <c r="I379" i="4"/>
  <c r="J379" i="4"/>
  <c r="K379" i="4"/>
  <c r="L379" i="4"/>
  <c r="M379" i="4"/>
  <c r="N379" i="4"/>
  <c r="O379" i="4"/>
  <c r="P379" i="4"/>
  <c r="Q379" i="4"/>
  <c r="R379" i="4"/>
  <c r="S379" i="4"/>
  <c r="T379" i="4"/>
  <c r="U379" i="4"/>
  <c r="V379" i="4"/>
  <c r="W379" i="4"/>
  <c r="X379" i="4"/>
  <c r="Y379" i="4"/>
  <c r="Z379" i="4"/>
  <c r="AA379" i="4"/>
  <c r="AB379" i="4"/>
  <c r="AC379" i="4"/>
  <c r="I380" i="4"/>
  <c r="J380" i="4"/>
  <c r="K380" i="4"/>
  <c r="L380" i="4"/>
  <c r="M380" i="4"/>
  <c r="N380" i="4"/>
  <c r="O380" i="4"/>
  <c r="P380" i="4"/>
  <c r="Q380" i="4"/>
  <c r="R380" i="4"/>
  <c r="S380" i="4"/>
  <c r="T380" i="4"/>
  <c r="U380" i="4"/>
  <c r="V380" i="4"/>
  <c r="W380" i="4"/>
  <c r="X380" i="4"/>
  <c r="Y380" i="4"/>
  <c r="Z380" i="4"/>
  <c r="AA380" i="4"/>
  <c r="AB380" i="4"/>
  <c r="AC380" i="4"/>
  <c r="I5" i="1"/>
  <c r="K5" i="1"/>
  <c r="A6" i="1"/>
  <c r="D6" i="1"/>
  <c r="H6" i="1"/>
  <c r="I6" i="1"/>
  <c r="J6" i="1"/>
  <c r="K6" i="1"/>
  <c r="A7" i="1"/>
  <c r="D7" i="1"/>
  <c r="H7" i="1"/>
  <c r="I7" i="1"/>
  <c r="J7" i="1"/>
  <c r="K7" i="1"/>
  <c r="A8" i="1"/>
  <c r="D8" i="1"/>
  <c r="H8" i="1"/>
  <c r="I8" i="1"/>
  <c r="J8" i="1"/>
  <c r="K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9" i="1"/>
  <c r="D9" i="1"/>
  <c r="H9" i="1"/>
  <c r="I9" i="1"/>
  <c r="J9" i="1"/>
  <c r="K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10" i="1"/>
  <c r="D10" i="1"/>
  <c r="H10" i="1"/>
  <c r="I10" i="1"/>
  <c r="J10" i="1"/>
  <c r="K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11" i="1"/>
  <c r="D11" i="1"/>
  <c r="H11" i="1"/>
  <c r="I11" i="1"/>
  <c r="J11" i="1"/>
  <c r="K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12" i="1"/>
  <c r="D12" i="1"/>
  <c r="H12" i="1"/>
  <c r="I12" i="1"/>
  <c r="J12" i="1"/>
  <c r="K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13" i="1"/>
  <c r="D13" i="1"/>
  <c r="H13" i="1"/>
  <c r="I13" i="1"/>
  <c r="J13" i="1"/>
  <c r="K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14" i="1"/>
  <c r="D14" i="1"/>
  <c r="H14" i="1"/>
  <c r="I14" i="1"/>
  <c r="J14" i="1"/>
  <c r="K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15" i="1"/>
  <c r="D15" i="1"/>
  <c r="H15" i="1"/>
  <c r="I15" i="1"/>
  <c r="J15" i="1"/>
  <c r="K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16" i="1"/>
  <c r="D16" i="1"/>
  <c r="H16" i="1"/>
  <c r="I16" i="1"/>
  <c r="J16" i="1"/>
  <c r="K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17" i="1"/>
  <c r="D17" i="1"/>
  <c r="H17" i="1"/>
  <c r="I17" i="1"/>
  <c r="J17" i="1"/>
  <c r="K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18" i="1"/>
  <c r="D18" i="1"/>
  <c r="H18" i="1"/>
  <c r="I18" i="1"/>
  <c r="J18" i="1"/>
  <c r="K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19" i="1"/>
  <c r="D19" i="1"/>
  <c r="H19" i="1"/>
  <c r="I19" i="1"/>
  <c r="J19" i="1"/>
  <c r="K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20" i="1"/>
  <c r="D20" i="1"/>
  <c r="H20" i="1"/>
  <c r="I20" i="1"/>
  <c r="J20" i="1"/>
  <c r="K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21" i="1"/>
  <c r="D21" i="1"/>
  <c r="H21" i="1"/>
  <c r="I21" i="1"/>
  <c r="J21" i="1"/>
  <c r="K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22" i="1"/>
  <c r="D22" i="1"/>
  <c r="H22" i="1"/>
  <c r="I22" i="1"/>
  <c r="J22" i="1"/>
  <c r="K22" i="1"/>
  <c r="A23" i="1"/>
  <c r="D23" i="1"/>
  <c r="H23" i="1"/>
  <c r="I23" i="1"/>
  <c r="J23" i="1"/>
  <c r="K23" i="1"/>
  <c r="A24" i="1"/>
  <c r="D24" i="1"/>
  <c r="H24" i="1"/>
  <c r="I24" i="1"/>
  <c r="J24" i="1"/>
  <c r="K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25" i="1"/>
  <c r="D25" i="1"/>
  <c r="H25" i="1"/>
  <c r="I25" i="1"/>
  <c r="J25" i="1"/>
  <c r="K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26" i="1"/>
  <c r="D26" i="1"/>
  <c r="H26" i="1"/>
  <c r="I26" i="1"/>
  <c r="J26" i="1"/>
  <c r="K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27" i="1"/>
  <c r="D27" i="1"/>
  <c r="H27" i="1"/>
  <c r="I27" i="1"/>
  <c r="J27" i="1"/>
  <c r="K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28" i="1"/>
  <c r="D28" i="1"/>
  <c r="H28" i="1"/>
  <c r="I28" i="1"/>
  <c r="J28" i="1"/>
  <c r="K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29" i="1"/>
  <c r="D29" i="1"/>
  <c r="H29" i="1"/>
  <c r="I29" i="1"/>
  <c r="J29" i="1"/>
  <c r="K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30" i="1"/>
  <c r="D30" i="1"/>
  <c r="H30" i="1"/>
  <c r="I30" i="1"/>
  <c r="J30" i="1"/>
  <c r="K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31" i="1"/>
  <c r="D31" i="1"/>
  <c r="H31" i="1"/>
  <c r="I31" i="1"/>
  <c r="J31" i="1"/>
  <c r="K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32" i="1"/>
  <c r="D32" i="1"/>
  <c r="H32" i="1"/>
  <c r="I32" i="1"/>
  <c r="J32" i="1"/>
  <c r="K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33" i="1"/>
  <c r="D33" i="1"/>
  <c r="H33" i="1"/>
  <c r="I33" i="1"/>
  <c r="J33" i="1"/>
  <c r="K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34" i="1"/>
  <c r="D34" i="1"/>
  <c r="H34" i="1"/>
  <c r="I34" i="1"/>
  <c r="J34" i="1"/>
  <c r="K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35" i="1"/>
  <c r="D35" i="1"/>
  <c r="H35" i="1"/>
  <c r="I35" i="1"/>
  <c r="J35" i="1"/>
  <c r="K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36" i="1"/>
  <c r="D36" i="1"/>
  <c r="H36" i="1"/>
  <c r="I36" i="1"/>
  <c r="J36" i="1"/>
  <c r="K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37" i="1"/>
  <c r="D37" i="1"/>
  <c r="H37" i="1"/>
  <c r="I37" i="1"/>
  <c r="J37" i="1"/>
  <c r="K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38" i="1"/>
  <c r="D38" i="1"/>
  <c r="H38" i="1"/>
  <c r="I38" i="1"/>
  <c r="J38" i="1"/>
  <c r="K38" i="1"/>
  <c r="A39" i="1"/>
  <c r="D39" i="1"/>
  <c r="H39" i="1"/>
  <c r="I39" i="1"/>
  <c r="J39" i="1"/>
  <c r="K39" i="1"/>
  <c r="A40" i="1"/>
  <c r="D40" i="1"/>
  <c r="H40" i="1"/>
  <c r="I40" i="1"/>
  <c r="J40" i="1"/>
  <c r="K40" i="1"/>
  <c r="A41" i="1"/>
  <c r="D41" i="1"/>
  <c r="H41" i="1"/>
  <c r="I41" i="1"/>
  <c r="J41" i="1"/>
  <c r="K41" i="1"/>
  <c r="A42" i="1"/>
  <c r="D42" i="1"/>
  <c r="H42" i="1"/>
  <c r="I42" i="1"/>
  <c r="J42" i="1"/>
  <c r="K42" i="1"/>
  <c r="A43" i="1"/>
  <c r="D43" i="1"/>
  <c r="H43" i="1"/>
  <c r="I43" i="1"/>
  <c r="J43" i="1"/>
  <c r="K43" i="1"/>
  <c r="A44" i="1"/>
  <c r="D44" i="1"/>
  <c r="H44" i="1"/>
  <c r="I44" i="1"/>
  <c r="J44" i="1"/>
  <c r="K44" i="1"/>
  <c r="A45" i="1"/>
  <c r="D45" i="1"/>
  <c r="H45" i="1"/>
  <c r="I45" i="1"/>
  <c r="J45" i="1"/>
  <c r="K45" i="1"/>
  <c r="A46" i="1"/>
  <c r="D46" i="1"/>
  <c r="H46" i="1"/>
  <c r="I46" i="1"/>
  <c r="J46" i="1"/>
  <c r="K46" i="1"/>
  <c r="A47" i="1"/>
  <c r="D47" i="1"/>
  <c r="H47" i="1"/>
  <c r="I47" i="1"/>
  <c r="J47" i="1"/>
  <c r="K47" i="1"/>
  <c r="A48" i="1"/>
  <c r="D48" i="1"/>
  <c r="H48" i="1"/>
  <c r="I48" i="1"/>
  <c r="J48" i="1"/>
  <c r="K48" i="1"/>
  <c r="A49" i="1"/>
  <c r="D49" i="1"/>
  <c r="H49" i="1"/>
  <c r="I49" i="1"/>
  <c r="J49" i="1"/>
  <c r="K49" i="1"/>
  <c r="A50" i="1"/>
  <c r="D50" i="1"/>
  <c r="H50" i="1"/>
  <c r="I50" i="1"/>
  <c r="J50" i="1"/>
  <c r="K50" i="1"/>
  <c r="A51" i="1"/>
  <c r="D51" i="1"/>
  <c r="H51" i="1"/>
  <c r="I51" i="1"/>
  <c r="J51" i="1"/>
  <c r="K51" i="1"/>
  <c r="A52" i="1"/>
  <c r="D52" i="1"/>
  <c r="H52" i="1"/>
  <c r="I52" i="1"/>
  <c r="J52" i="1"/>
  <c r="K52" i="1"/>
  <c r="A53" i="1"/>
  <c r="D53" i="1"/>
  <c r="H53" i="1"/>
  <c r="I53" i="1"/>
  <c r="J53" i="1"/>
  <c r="K53" i="1"/>
  <c r="A54" i="1"/>
  <c r="D54" i="1"/>
  <c r="H54" i="1"/>
  <c r="I54" i="1"/>
  <c r="J54" i="1"/>
  <c r="K54" i="1"/>
  <c r="A55" i="1"/>
  <c r="D55" i="1"/>
  <c r="H55" i="1"/>
  <c r="I55" i="1"/>
  <c r="J55" i="1"/>
  <c r="K55" i="1"/>
  <c r="A56" i="1"/>
  <c r="D56" i="1"/>
  <c r="H56" i="1"/>
  <c r="I56" i="1"/>
  <c r="J56" i="1"/>
  <c r="K56" i="1"/>
  <c r="A57" i="1"/>
  <c r="D57" i="1"/>
  <c r="H57" i="1"/>
  <c r="I57" i="1"/>
  <c r="J57" i="1"/>
  <c r="K57" i="1"/>
  <c r="A58" i="1"/>
  <c r="D58" i="1"/>
  <c r="H58" i="1"/>
  <c r="I58" i="1"/>
  <c r="J58" i="1"/>
  <c r="K58" i="1"/>
  <c r="A59" i="1"/>
  <c r="D59" i="1"/>
  <c r="H59" i="1"/>
  <c r="I59" i="1"/>
  <c r="J59" i="1"/>
  <c r="K59" i="1"/>
  <c r="A60" i="1"/>
  <c r="D60" i="1"/>
  <c r="H60" i="1"/>
  <c r="I60" i="1"/>
  <c r="J60" i="1"/>
  <c r="K60" i="1"/>
  <c r="A61" i="1"/>
  <c r="D61" i="1"/>
  <c r="H61" i="1"/>
  <c r="I61" i="1"/>
  <c r="J61" i="1"/>
  <c r="K61" i="1"/>
  <c r="A62" i="1"/>
  <c r="D62" i="1"/>
  <c r="H62" i="1"/>
  <c r="I62" i="1"/>
  <c r="J62" i="1"/>
  <c r="K62" i="1"/>
  <c r="A63" i="1"/>
  <c r="D63" i="1"/>
  <c r="H63" i="1"/>
  <c r="I63" i="1"/>
  <c r="J63" i="1"/>
  <c r="K63" i="1"/>
  <c r="A64" i="1"/>
  <c r="D64" i="1"/>
  <c r="H64" i="1"/>
  <c r="I64" i="1"/>
  <c r="J64" i="1"/>
  <c r="K64" i="1"/>
  <c r="A65" i="1"/>
  <c r="D65" i="1"/>
  <c r="H65" i="1"/>
  <c r="I65" i="1"/>
  <c r="J65" i="1"/>
  <c r="K65" i="1"/>
  <c r="A66" i="1"/>
  <c r="D66" i="1"/>
  <c r="H66" i="1"/>
  <c r="I66" i="1"/>
  <c r="J66" i="1"/>
  <c r="K66" i="1"/>
  <c r="A67" i="1"/>
  <c r="D67" i="1"/>
  <c r="H67" i="1"/>
  <c r="I67" i="1"/>
  <c r="J67" i="1"/>
  <c r="K67" i="1"/>
  <c r="A68" i="1"/>
  <c r="D68" i="1"/>
  <c r="H68" i="1"/>
  <c r="I68" i="1"/>
  <c r="J68" i="1"/>
  <c r="K68" i="1"/>
  <c r="A69" i="1"/>
  <c r="D69" i="1"/>
  <c r="H69" i="1"/>
  <c r="I69" i="1"/>
  <c r="J69" i="1"/>
  <c r="K69" i="1"/>
  <c r="A70" i="1"/>
  <c r="D70" i="1"/>
  <c r="H70" i="1"/>
  <c r="I70" i="1"/>
  <c r="J70" i="1"/>
  <c r="K70" i="1"/>
  <c r="A71" i="1"/>
  <c r="D71" i="1"/>
  <c r="H71" i="1"/>
  <c r="I71" i="1"/>
  <c r="J71" i="1"/>
  <c r="K71" i="1"/>
  <c r="A72" i="1"/>
  <c r="D72" i="1"/>
  <c r="H72" i="1"/>
  <c r="I72" i="1"/>
  <c r="J72" i="1"/>
  <c r="K72" i="1"/>
  <c r="A73" i="1"/>
  <c r="D73" i="1"/>
  <c r="H73" i="1"/>
  <c r="I73" i="1"/>
  <c r="J73" i="1"/>
  <c r="K73" i="1"/>
  <c r="A74" i="1"/>
  <c r="D74" i="1"/>
  <c r="H74" i="1"/>
  <c r="I74" i="1"/>
  <c r="J74" i="1"/>
  <c r="K74" i="1"/>
  <c r="A75" i="1"/>
  <c r="D75" i="1"/>
  <c r="H75" i="1"/>
  <c r="I75" i="1"/>
  <c r="J75" i="1"/>
  <c r="K75" i="1"/>
  <c r="A76" i="1"/>
  <c r="D76" i="1"/>
  <c r="H76" i="1"/>
  <c r="I76" i="1"/>
  <c r="J76" i="1"/>
  <c r="K76" i="1"/>
  <c r="A77" i="1"/>
  <c r="D77" i="1"/>
  <c r="H77" i="1"/>
  <c r="I77" i="1"/>
  <c r="J77" i="1"/>
  <c r="K77" i="1"/>
  <c r="A78" i="1"/>
  <c r="D78" i="1"/>
  <c r="H78" i="1"/>
  <c r="I78" i="1"/>
  <c r="J78" i="1"/>
  <c r="K78" i="1"/>
  <c r="A79" i="1"/>
  <c r="D79" i="1"/>
  <c r="H79" i="1"/>
  <c r="I79" i="1"/>
  <c r="J79" i="1"/>
  <c r="K79" i="1"/>
  <c r="A80" i="1"/>
  <c r="D80" i="1"/>
  <c r="H80" i="1"/>
  <c r="I80" i="1"/>
  <c r="J80" i="1"/>
  <c r="K80" i="1"/>
  <c r="A81" i="1"/>
  <c r="D81" i="1"/>
  <c r="H81" i="1"/>
  <c r="I81" i="1"/>
  <c r="J81" i="1"/>
  <c r="K81" i="1"/>
  <c r="A82" i="1"/>
  <c r="D82" i="1"/>
  <c r="H82" i="1"/>
  <c r="I82" i="1"/>
  <c r="J82" i="1"/>
  <c r="K82" i="1"/>
  <c r="A83" i="1"/>
  <c r="D83" i="1"/>
  <c r="H83" i="1"/>
  <c r="I83" i="1"/>
  <c r="J83" i="1"/>
  <c r="K83" i="1"/>
  <c r="A84" i="1"/>
  <c r="D84" i="1"/>
  <c r="H84" i="1"/>
  <c r="I84" i="1"/>
  <c r="J84" i="1"/>
  <c r="K84" i="1"/>
  <c r="A85" i="1"/>
  <c r="D85" i="1"/>
  <c r="H85" i="1"/>
  <c r="I85" i="1"/>
  <c r="J85" i="1"/>
  <c r="K85" i="1"/>
  <c r="A86" i="1"/>
  <c r="D86" i="1"/>
  <c r="H86" i="1"/>
  <c r="I86" i="1"/>
  <c r="J86" i="1"/>
  <c r="K86" i="1"/>
  <c r="A87" i="1"/>
  <c r="D87" i="1"/>
  <c r="H87" i="1"/>
  <c r="I87" i="1"/>
  <c r="J87" i="1"/>
  <c r="K87" i="1"/>
  <c r="A88" i="1"/>
  <c r="D88" i="1"/>
  <c r="H88" i="1"/>
  <c r="I88" i="1"/>
  <c r="J88" i="1"/>
  <c r="K88" i="1"/>
  <c r="A89" i="1"/>
  <c r="D89" i="1"/>
  <c r="H89" i="1"/>
  <c r="I89" i="1"/>
  <c r="J89" i="1"/>
  <c r="K89" i="1"/>
  <c r="A90" i="1"/>
  <c r="D90" i="1"/>
  <c r="H90" i="1"/>
  <c r="I90" i="1"/>
  <c r="J90" i="1"/>
  <c r="K90" i="1"/>
  <c r="A91" i="1"/>
  <c r="D91" i="1"/>
  <c r="H91" i="1"/>
  <c r="I91" i="1"/>
  <c r="J91" i="1"/>
  <c r="K91" i="1"/>
  <c r="A92" i="1"/>
  <c r="D92" i="1"/>
  <c r="H92" i="1"/>
  <c r="I92" i="1"/>
  <c r="J92" i="1"/>
  <c r="K92" i="1"/>
  <c r="A93" i="1"/>
  <c r="D93" i="1"/>
  <c r="H93" i="1"/>
  <c r="I93" i="1"/>
  <c r="J93" i="1"/>
  <c r="K93" i="1"/>
  <c r="A94" i="1"/>
  <c r="D94" i="1"/>
  <c r="H94" i="1"/>
  <c r="I94" i="1"/>
  <c r="J94" i="1"/>
  <c r="K94" i="1"/>
  <c r="A95" i="1"/>
  <c r="D95" i="1"/>
  <c r="H95" i="1"/>
  <c r="I95" i="1"/>
  <c r="J95" i="1"/>
  <c r="K95" i="1"/>
  <c r="A96" i="1"/>
  <c r="D96" i="1"/>
  <c r="H96" i="1"/>
  <c r="I96" i="1"/>
  <c r="J96" i="1"/>
  <c r="K96" i="1"/>
  <c r="A97" i="1"/>
  <c r="D97" i="1"/>
  <c r="H97" i="1"/>
  <c r="I97" i="1"/>
  <c r="J97" i="1"/>
  <c r="K97" i="1"/>
  <c r="A98" i="1"/>
  <c r="D98" i="1"/>
  <c r="H98" i="1"/>
  <c r="I98" i="1"/>
  <c r="J98" i="1"/>
  <c r="K98" i="1"/>
  <c r="A99" i="1"/>
  <c r="D99" i="1"/>
  <c r="H99" i="1"/>
  <c r="I99" i="1"/>
  <c r="J99" i="1"/>
  <c r="K99" i="1"/>
  <c r="A100" i="1"/>
  <c r="D100" i="1"/>
  <c r="H100" i="1"/>
  <c r="I100" i="1"/>
  <c r="J100" i="1"/>
  <c r="K100" i="1"/>
  <c r="A101" i="1"/>
  <c r="D101" i="1"/>
  <c r="H101" i="1"/>
  <c r="I101" i="1"/>
  <c r="J101" i="1"/>
  <c r="K101" i="1"/>
  <c r="A102" i="1"/>
  <c r="D102" i="1"/>
  <c r="H102" i="1"/>
  <c r="I102" i="1"/>
  <c r="J102" i="1"/>
  <c r="K102" i="1"/>
  <c r="A103" i="1"/>
  <c r="D103" i="1"/>
  <c r="H103" i="1"/>
  <c r="I103" i="1"/>
  <c r="J103" i="1"/>
  <c r="K103" i="1"/>
  <c r="A104" i="1"/>
  <c r="D104" i="1"/>
  <c r="H104" i="1"/>
  <c r="I104" i="1"/>
  <c r="J104" i="1"/>
  <c r="K104" i="1"/>
  <c r="A105" i="1"/>
  <c r="D105" i="1"/>
  <c r="H105" i="1"/>
  <c r="I105" i="1"/>
  <c r="J105" i="1"/>
  <c r="K105" i="1"/>
  <c r="A106" i="1"/>
  <c r="D106" i="1"/>
  <c r="H106" i="1"/>
  <c r="I106" i="1"/>
  <c r="J106" i="1"/>
  <c r="K106" i="1"/>
  <c r="A107" i="1"/>
  <c r="D107" i="1"/>
  <c r="H107" i="1"/>
  <c r="I107" i="1"/>
  <c r="J107" i="1"/>
  <c r="K107" i="1"/>
  <c r="A108" i="1"/>
  <c r="D108" i="1"/>
  <c r="H108" i="1"/>
  <c r="I108" i="1"/>
  <c r="J108" i="1"/>
  <c r="K108" i="1"/>
  <c r="A109" i="1"/>
  <c r="D109" i="1"/>
  <c r="H109" i="1"/>
  <c r="I109" i="1"/>
  <c r="J109" i="1"/>
  <c r="K109" i="1"/>
  <c r="A110" i="1"/>
  <c r="D110" i="1"/>
  <c r="H110" i="1"/>
  <c r="I110" i="1"/>
  <c r="J110" i="1"/>
  <c r="K110" i="1"/>
  <c r="A111" i="1"/>
  <c r="D111" i="1"/>
  <c r="H111" i="1"/>
  <c r="I111" i="1"/>
  <c r="J111" i="1"/>
  <c r="K111" i="1"/>
  <c r="A112" i="1"/>
  <c r="D112" i="1"/>
  <c r="H112" i="1"/>
  <c r="I112" i="1"/>
  <c r="J112" i="1"/>
  <c r="K112" i="1"/>
  <c r="A113" i="1"/>
  <c r="D113" i="1"/>
  <c r="H113" i="1"/>
  <c r="I113" i="1"/>
  <c r="J113" i="1"/>
  <c r="K113" i="1"/>
  <c r="A114" i="1"/>
  <c r="D114" i="1"/>
  <c r="H114" i="1"/>
  <c r="I114" i="1"/>
  <c r="J114" i="1"/>
  <c r="K114" i="1"/>
  <c r="A115" i="1"/>
  <c r="D115" i="1"/>
  <c r="H115" i="1"/>
  <c r="I115" i="1"/>
  <c r="J115" i="1"/>
  <c r="K115" i="1"/>
  <c r="A116" i="1"/>
  <c r="D116" i="1"/>
  <c r="H116" i="1"/>
  <c r="I116" i="1"/>
  <c r="J116" i="1"/>
  <c r="K116" i="1"/>
  <c r="A117" i="1"/>
  <c r="D117" i="1"/>
  <c r="H117" i="1"/>
  <c r="I117" i="1"/>
  <c r="J117" i="1"/>
  <c r="K117" i="1"/>
  <c r="A118" i="1"/>
  <c r="D118" i="1"/>
  <c r="H118" i="1"/>
  <c r="I118" i="1"/>
  <c r="J118" i="1"/>
  <c r="K118" i="1"/>
  <c r="A119" i="1"/>
  <c r="D119" i="1"/>
  <c r="H119" i="1"/>
  <c r="I119" i="1"/>
  <c r="J119" i="1"/>
  <c r="K119" i="1"/>
  <c r="A120" i="1"/>
  <c r="D120" i="1"/>
  <c r="H120" i="1"/>
  <c r="I120" i="1"/>
  <c r="J120" i="1"/>
  <c r="K120" i="1"/>
  <c r="A121" i="1"/>
  <c r="D121" i="1"/>
  <c r="H121" i="1"/>
  <c r="I121" i="1"/>
  <c r="J121" i="1"/>
  <c r="K121" i="1"/>
  <c r="A122" i="1"/>
  <c r="D122" i="1"/>
  <c r="H122" i="1"/>
  <c r="I122" i="1"/>
  <c r="J122" i="1"/>
  <c r="K122" i="1"/>
  <c r="A123" i="1"/>
  <c r="D123" i="1"/>
  <c r="H123" i="1"/>
  <c r="I123" i="1"/>
  <c r="J123" i="1"/>
  <c r="K123" i="1"/>
  <c r="A124" i="1"/>
  <c r="D124" i="1"/>
  <c r="H124" i="1"/>
  <c r="I124" i="1"/>
  <c r="J124" i="1"/>
  <c r="K124" i="1"/>
  <c r="A125" i="1"/>
  <c r="D125" i="1"/>
  <c r="H125" i="1"/>
  <c r="I125" i="1"/>
  <c r="J125" i="1"/>
  <c r="K125" i="1"/>
  <c r="A126" i="1"/>
  <c r="D126" i="1"/>
  <c r="H126" i="1"/>
  <c r="I126" i="1"/>
  <c r="J126" i="1"/>
  <c r="K126" i="1"/>
  <c r="A127" i="1"/>
  <c r="D127" i="1"/>
  <c r="H127" i="1"/>
  <c r="I127" i="1"/>
  <c r="J127" i="1"/>
  <c r="K127" i="1"/>
  <c r="A128" i="1"/>
  <c r="D128" i="1"/>
  <c r="H128" i="1"/>
  <c r="I128" i="1"/>
  <c r="J128" i="1"/>
  <c r="K128" i="1"/>
  <c r="A129" i="1"/>
  <c r="D129" i="1"/>
  <c r="H129" i="1"/>
  <c r="I129" i="1"/>
  <c r="J129" i="1"/>
  <c r="K129" i="1"/>
  <c r="A130" i="1"/>
  <c r="D130" i="1"/>
  <c r="H130" i="1"/>
  <c r="I130" i="1"/>
  <c r="J130" i="1"/>
  <c r="K130" i="1"/>
  <c r="A131" i="1"/>
  <c r="D131" i="1"/>
  <c r="H131" i="1"/>
  <c r="I131" i="1"/>
  <c r="J131" i="1"/>
  <c r="K131" i="1"/>
  <c r="A132" i="1"/>
  <c r="D132" i="1"/>
  <c r="H132" i="1"/>
  <c r="I132" i="1"/>
  <c r="J132" i="1"/>
  <c r="K132" i="1"/>
  <c r="A133" i="1"/>
  <c r="D133" i="1"/>
  <c r="H133" i="1"/>
  <c r="I133" i="1"/>
  <c r="J133" i="1"/>
  <c r="K133" i="1"/>
  <c r="A134" i="1"/>
  <c r="D134" i="1"/>
  <c r="H134" i="1"/>
  <c r="I134" i="1"/>
  <c r="J134" i="1"/>
  <c r="K134" i="1"/>
  <c r="A135" i="1"/>
  <c r="D135" i="1"/>
  <c r="H135" i="1"/>
  <c r="I135" i="1"/>
  <c r="J135" i="1"/>
  <c r="K135" i="1"/>
  <c r="A136" i="1"/>
  <c r="D136" i="1"/>
  <c r="H136" i="1"/>
  <c r="I136" i="1"/>
  <c r="J136" i="1"/>
  <c r="K136" i="1"/>
  <c r="A137" i="1"/>
  <c r="D137" i="1"/>
  <c r="H137" i="1"/>
  <c r="I137" i="1"/>
  <c r="J137" i="1"/>
  <c r="K137" i="1"/>
  <c r="A138" i="1"/>
  <c r="D138" i="1"/>
  <c r="H138" i="1"/>
  <c r="I138" i="1"/>
  <c r="J138" i="1"/>
  <c r="K138" i="1"/>
  <c r="A139" i="1"/>
  <c r="D139" i="1"/>
  <c r="H139" i="1"/>
  <c r="I139" i="1"/>
  <c r="J139" i="1"/>
  <c r="K139" i="1"/>
  <c r="A140" i="1"/>
  <c r="D140" i="1"/>
  <c r="H140" i="1"/>
  <c r="I140" i="1"/>
  <c r="J140" i="1"/>
  <c r="K140" i="1"/>
  <c r="A141" i="1"/>
  <c r="D141" i="1"/>
  <c r="H141" i="1"/>
  <c r="I141" i="1"/>
  <c r="J141" i="1"/>
  <c r="K141" i="1"/>
  <c r="A142" i="1"/>
  <c r="D142" i="1"/>
  <c r="H142" i="1"/>
  <c r="I142" i="1"/>
  <c r="J142" i="1"/>
  <c r="K142" i="1"/>
  <c r="A143" i="1"/>
  <c r="D143" i="1"/>
  <c r="H143" i="1"/>
  <c r="I143" i="1"/>
  <c r="J143" i="1"/>
  <c r="K143" i="1"/>
  <c r="A144" i="1"/>
  <c r="D144" i="1"/>
  <c r="H144" i="1"/>
  <c r="I144" i="1"/>
  <c r="J144" i="1"/>
  <c r="K144" i="1"/>
  <c r="A145" i="1"/>
  <c r="D145" i="1"/>
  <c r="H145" i="1"/>
  <c r="I145" i="1"/>
  <c r="J145" i="1"/>
  <c r="K145" i="1"/>
  <c r="A146" i="1"/>
  <c r="D146" i="1"/>
  <c r="H146" i="1"/>
  <c r="I146" i="1"/>
  <c r="J146" i="1"/>
  <c r="K146" i="1"/>
  <c r="A147" i="1"/>
  <c r="D147" i="1"/>
  <c r="H147" i="1"/>
  <c r="I147" i="1"/>
  <c r="J147" i="1"/>
  <c r="K147" i="1"/>
  <c r="A148" i="1"/>
  <c r="D148" i="1"/>
  <c r="H148" i="1"/>
  <c r="I148" i="1"/>
  <c r="J148" i="1"/>
  <c r="K148" i="1"/>
  <c r="A149" i="1"/>
  <c r="D149" i="1"/>
  <c r="H149" i="1"/>
  <c r="I149" i="1"/>
  <c r="J149" i="1"/>
  <c r="K149" i="1"/>
  <c r="A150" i="1"/>
  <c r="D150" i="1"/>
  <c r="H150" i="1"/>
  <c r="I150" i="1"/>
  <c r="J150" i="1"/>
  <c r="K150" i="1"/>
  <c r="A151" i="1"/>
  <c r="D151" i="1"/>
  <c r="H151" i="1"/>
  <c r="I151" i="1"/>
  <c r="J151" i="1"/>
  <c r="K151" i="1"/>
  <c r="A152" i="1"/>
  <c r="D152" i="1"/>
  <c r="H152" i="1"/>
  <c r="I152" i="1"/>
  <c r="J152" i="1"/>
  <c r="K152" i="1"/>
  <c r="A153" i="1"/>
  <c r="D153" i="1"/>
  <c r="H153" i="1"/>
  <c r="I153" i="1"/>
  <c r="J153" i="1"/>
  <c r="K153" i="1"/>
  <c r="A154" i="1"/>
  <c r="D154" i="1"/>
  <c r="H154" i="1"/>
  <c r="I154" i="1"/>
  <c r="J154" i="1"/>
  <c r="K154" i="1"/>
  <c r="A155" i="1"/>
  <c r="D155" i="1"/>
  <c r="H155" i="1"/>
  <c r="I155" i="1"/>
  <c r="J155" i="1"/>
  <c r="K155" i="1"/>
  <c r="A156" i="1"/>
  <c r="D156" i="1"/>
  <c r="H156" i="1"/>
  <c r="I156" i="1"/>
  <c r="J156" i="1"/>
  <c r="K156" i="1"/>
  <c r="A157" i="1"/>
  <c r="D157" i="1"/>
  <c r="H157" i="1"/>
  <c r="I157" i="1"/>
  <c r="J157" i="1"/>
  <c r="K157" i="1"/>
  <c r="A158" i="1"/>
  <c r="D158" i="1"/>
  <c r="H158" i="1"/>
  <c r="I158" i="1"/>
  <c r="J158" i="1"/>
  <c r="K158" i="1"/>
  <c r="A159" i="1"/>
  <c r="D159" i="1"/>
  <c r="H159" i="1"/>
  <c r="I159" i="1"/>
  <c r="J159" i="1"/>
  <c r="K159" i="1"/>
  <c r="A160" i="1"/>
  <c r="D160" i="1"/>
  <c r="H160" i="1"/>
  <c r="I160" i="1"/>
  <c r="J160" i="1"/>
  <c r="K160" i="1"/>
  <c r="A161" i="1"/>
  <c r="D161" i="1"/>
  <c r="H161" i="1"/>
  <c r="I161" i="1"/>
  <c r="J161" i="1"/>
  <c r="K161" i="1"/>
  <c r="A162" i="1"/>
  <c r="D162" i="1"/>
  <c r="H162" i="1"/>
  <c r="I162" i="1"/>
  <c r="J162" i="1"/>
  <c r="K162" i="1"/>
  <c r="A163" i="1"/>
  <c r="D163" i="1"/>
  <c r="H163" i="1"/>
  <c r="I163" i="1"/>
  <c r="J163" i="1"/>
  <c r="K163" i="1"/>
  <c r="A164" i="1"/>
  <c r="D164" i="1"/>
  <c r="H164" i="1"/>
  <c r="I164" i="1"/>
  <c r="J164" i="1"/>
  <c r="K164" i="1"/>
  <c r="A165" i="1"/>
  <c r="D165" i="1"/>
  <c r="H165" i="1"/>
  <c r="I165" i="1"/>
  <c r="J165" i="1"/>
  <c r="K165" i="1"/>
  <c r="A166" i="1"/>
  <c r="D166" i="1"/>
  <c r="H166" i="1"/>
  <c r="I166" i="1"/>
  <c r="J166" i="1"/>
  <c r="K166" i="1"/>
  <c r="A167" i="1"/>
  <c r="D167" i="1"/>
  <c r="H167" i="1"/>
  <c r="I167" i="1"/>
  <c r="J167" i="1"/>
  <c r="K167" i="1"/>
  <c r="A168" i="1"/>
  <c r="D168" i="1"/>
  <c r="H168" i="1"/>
  <c r="I168" i="1"/>
  <c r="J168" i="1"/>
  <c r="K168" i="1"/>
  <c r="A169" i="1"/>
  <c r="D169" i="1"/>
  <c r="H169" i="1"/>
  <c r="I169" i="1"/>
  <c r="J169" i="1"/>
  <c r="K169" i="1"/>
  <c r="A170" i="1"/>
  <c r="D170" i="1"/>
  <c r="H170" i="1"/>
  <c r="I170" i="1"/>
  <c r="J170" i="1"/>
  <c r="K170" i="1"/>
  <c r="A171" i="1"/>
  <c r="D171" i="1"/>
  <c r="H171" i="1"/>
  <c r="I171" i="1"/>
  <c r="J171" i="1"/>
  <c r="K171" i="1"/>
  <c r="A172" i="1"/>
  <c r="D172" i="1"/>
  <c r="H172" i="1"/>
  <c r="I172" i="1"/>
  <c r="J172" i="1"/>
  <c r="K172" i="1"/>
  <c r="A173" i="1"/>
  <c r="D173" i="1"/>
  <c r="H173" i="1"/>
  <c r="I173" i="1"/>
  <c r="J173" i="1"/>
  <c r="K173" i="1"/>
  <c r="A174" i="1"/>
  <c r="D174" i="1"/>
  <c r="H174" i="1"/>
  <c r="I174" i="1"/>
  <c r="J174" i="1"/>
  <c r="K174" i="1"/>
  <c r="A175" i="1"/>
  <c r="D175" i="1"/>
  <c r="H175" i="1"/>
  <c r="I175" i="1"/>
  <c r="J175" i="1"/>
  <c r="K175" i="1"/>
  <c r="A176" i="1"/>
  <c r="D176" i="1"/>
  <c r="H176" i="1"/>
  <c r="I176" i="1"/>
  <c r="J176" i="1"/>
  <c r="K176" i="1"/>
  <c r="A177" i="1"/>
  <c r="D177" i="1"/>
  <c r="H177" i="1"/>
  <c r="I177" i="1"/>
  <c r="J177" i="1"/>
  <c r="K177" i="1"/>
  <c r="A178" i="1"/>
  <c r="D178" i="1"/>
  <c r="H178" i="1"/>
  <c r="I178" i="1"/>
  <c r="J178" i="1"/>
  <c r="K178" i="1"/>
  <c r="A179" i="1"/>
  <c r="D179" i="1"/>
  <c r="H179" i="1"/>
  <c r="I179" i="1"/>
  <c r="J179" i="1"/>
  <c r="K179" i="1"/>
  <c r="A180" i="1"/>
  <c r="D180" i="1"/>
  <c r="H180" i="1"/>
  <c r="I180" i="1"/>
  <c r="J180" i="1"/>
  <c r="K180" i="1"/>
  <c r="A181" i="1"/>
  <c r="D181" i="1"/>
  <c r="H181" i="1"/>
  <c r="I181" i="1"/>
  <c r="J181" i="1"/>
  <c r="K181" i="1"/>
  <c r="A182" i="1"/>
  <c r="D182" i="1"/>
  <c r="H182" i="1"/>
  <c r="I182" i="1"/>
  <c r="J182" i="1"/>
  <c r="K182" i="1"/>
  <c r="A183" i="1"/>
  <c r="D183" i="1"/>
  <c r="H183" i="1"/>
  <c r="I183" i="1"/>
  <c r="J183" i="1"/>
  <c r="K183" i="1"/>
  <c r="A184" i="1"/>
  <c r="D184" i="1"/>
  <c r="H184" i="1"/>
  <c r="I184" i="1"/>
  <c r="J184" i="1"/>
  <c r="K184" i="1"/>
  <c r="A185" i="1"/>
  <c r="D185" i="1"/>
  <c r="H185" i="1"/>
  <c r="I185" i="1"/>
  <c r="J185" i="1"/>
  <c r="K185" i="1"/>
  <c r="A186" i="1"/>
  <c r="D186" i="1"/>
  <c r="H186" i="1"/>
  <c r="I186" i="1"/>
  <c r="J186" i="1"/>
  <c r="K186" i="1"/>
  <c r="A187" i="1"/>
  <c r="D187" i="1"/>
  <c r="H187" i="1"/>
  <c r="I187" i="1"/>
  <c r="J187" i="1"/>
  <c r="K187" i="1"/>
  <c r="A188" i="1"/>
  <c r="D188" i="1"/>
  <c r="H188" i="1"/>
  <c r="I188" i="1"/>
  <c r="J188" i="1"/>
  <c r="K188" i="1"/>
  <c r="A189" i="1"/>
  <c r="D189" i="1"/>
  <c r="H189" i="1"/>
  <c r="I189" i="1"/>
  <c r="J189" i="1"/>
  <c r="K189" i="1"/>
  <c r="A190" i="1"/>
  <c r="D190" i="1"/>
  <c r="H190" i="1"/>
  <c r="I190" i="1"/>
  <c r="J190" i="1"/>
  <c r="K190" i="1"/>
  <c r="A191" i="1"/>
  <c r="D191" i="1"/>
  <c r="H191" i="1"/>
  <c r="I191" i="1"/>
  <c r="J191" i="1"/>
  <c r="K191" i="1"/>
  <c r="A192" i="1"/>
  <c r="D192" i="1"/>
  <c r="H192" i="1"/>
  <c r="I192" i="1"/>
  <c r="J192" i="1"/>
  <c r="K192" i="1"/>
  <c r="A193" i="1"/>
  <c r="D193" i="1"/>
  <c r="H193" i="1"/>
  <c r="I193" i="1"/>
  <c r="J193" i="1"/>
  <c r="K193" i="1"/>
  <c r="A194" i="1"/>
  <c r="D194" i="1"/>
  <c r="H194" i="1"/>
  <c r="I194" i="1"/>
  <c r="J194" i="1"/>
  <c r="K194" i="1"/>
  <c r="A195" i="1"/>
  <c r="D195" i="1"/>
  <c r="H195" i="1"/>
  <c r="I195" i="1"/>
  <c r="J195" i="1"/>
  <c r="K195" i="1"/>
  <c r="A196" i="1"/>
  <c r="D196" i="1"/>
  <c r="H196" i="1"/>
  <c r="I196" i="1"/>
  <c r="J196" i="1"/>
  <c r="K196" i="1"/>
  <c r="A197" i="1"/>
  <c r="D197" i="1"/>
  <c r="H197" i="1"/>
  <c r="I197" i="1"/>
  <c r="J197" i="1"/>
  <c r="K197" i="1"/>
  <c r="A198" i="1"/>
  <c r="D198" i="1"/>
  <c r="H198" i="1"/>
  <c r="I198" i="1"/>
  <c r="J198" i="1"/>
  <c r="K198" i="1"/>
  <c r="A199" i="1"/>
  <c r="D199" i="1"/>
  <c r="H199" i="1"/>
  <c r="I199" i="1"/>
  <c r="J199" i="1"/>
  <c r="K199" i="1"/>
  <c r="A200" i="1"/>
  <c r="D200" i="1"/>
  <c r="H200" i="1"/>
  <c r="I200" i="1"/>
  <c r="J200" i="1"/>
  <c r="K200" i="1"/>
  <c r="A201" i="1"/>
  <c r="D201" i="1"/>
  <c r="H201" i="1"/>
  <c r="I201" i="1"/>
  <c r="J201" i="1"/>
  <c r="K201" i="1"/>
  <c r="A202" i="1"/>
  <c r="D202" i="1"/>
  <c r="H202" i="1"/>
  <c r="I202" i="1"/>
  <c r="J202" i="1"/>
  <c r="K202" i="1"/>
  <c r="A203" i="1"/>
  <c r="D203" i="1"/>
  <c r="H203" i="1"/>
  <c r="I203" i="1"/>
  <c r="J203" i="1"/>
  <c r="K203" i="1"/>
  <c r="A204" i="1"/>
  <c r="D204" i="1"/>
  <c r="H204" i="1"/>
  <c r="I204" i="1"/>
  <c r="J204" i="1"/>
  <c r="K204" i="1"/>
  <c r="A205" i="1"/>
  <c r="D205" i="1"/>
  <c r="H205" i="1"/>
  <c r="I205" i="1"/>
  <c r="J205" i="1"/>
  <c r="K205" i="1"/>
  <c r="A206" i="1"/>
  <c r="D206" i="1"/>
  <c r="H206" i="1"/>
  <c r="I206" i="1"/>
  <c r="J206" i="1"/>
  <c r="K206" i="1"/>
  <c r="A207" i="1"/>
  <c r="D207" i="1"/>
  <c r="H207" i="1"/>
  <c r="I207" i="1"/>
  <c r="J207" i="1"/>
  <c r="K207" i="1"/>
  <c r="A208" i="1"/>
  <c r="D208" i="1"/>
  <c r="H208" i="1"/>
  <c r="I208" i="1"/>
  <c r="J208" i="1"/>
  <c r="K208" i="1"/>
  <c r="A209" i="1"/>
  <c r="D209" i="1"/>
  <c r="H209" i="1"/>
  <c r="I209" i="1"/>
  <c r="J209" i="1"/>
  <c r="K209" i="1"/>
  <c r="A210" i="1"/>
  <c r="D210" i="1"/>
  <c r="H210" i="1"/>
  <c r="I210" i="1"/>
  <c r="J210" i="1"/>
  <c r="K210" i="1"/>
  <c r="A211" i="1"/>
  <c r="D211" i="1"/>
  <c r="H211" i="1"/>
  <c r="I211" i="1"/>
  <c r="J211" i="1"/>
  <c r="K211" i="1"/>
  <c r="A212" i="1"/>
  <c r="D212" i="1"/>
  <c r="H212" i="1"/>
  <c r="I212" i="1"/>
  <c r="J212" i="1"/>
  <c r="K212" i="1"/>
  <c r="A213" i="1"/>
  <c r="D213" i="1"/>
  <c r="H213" i="1"/>
  <c r="I213" i="1"/>
  <c r="J213" i="1"/>
  <c r="K213" i="1"/>
  <c r="A214" i="1"/>
  <c r="D214" i="1"/>
  <c r="H214" i="1"/>
  <c r="I214" i="1"/>
  <c r="J214" i="1"/>
  <c r="K214" i="1"/>
  <c r="A215" i="1"/>
  <c r="D215" i="1"/>
  <c r="H215" i="1"/>
  <c r="I215" i="1"/>
  <c r="J215" i="1"/>
  <c r="K215" i="1"/>
  <c r="A216" i="1"/>
  <c r="D216" i="1"/>
  <c r="H216" i="1"/>
  <c r="I216" i="1"/>
  <c r="J216" i="1"/>
  <c r="K216" i="1"/>
  <c r="A217" i="1"/>
  <c r="D217" i="1"/>
  <c r="H217" i="1"/>
  <c r="I217" i="1"/>
  <c r="J217" i="1"/>
  <c r="K217" i="1"/>
  <c r="A218" i="1"/>
  <c r="D218" i="1"/>
  <c r="H218" i="1"/>
  <c r="I218" i="1"/>
  <c r="J218" i="1"/>
  <c r="K218" i="1"/>
  <c r="A219" i="1"/>
  <c r="D219" i="1"/>
  <c r="H219" i="1"/>
  <c r="I219" i="1"/>
  <c r="J219" i="1"/>
  <c r="K219" i="1"/>
  <c r="A220" i="1"/>
  <c r="D220" i="1"/>
  <c r="H220" i="1"/>
  <c r="I220" i="1"/>
  <c r="J220" i="1"/>
  <c r="K220" i="1"/>
  <c r="A221" i="1"/>
  <c r="D221" i="1"/>
  <c r="H221" i="1"/>
  <c r="I221" i="1"/>
  <c r="J221" i="1"/>
  <c r="K221" i="1"/>
  <c r="A222" i="1"/>
  <c r="D222" i="1"/>
  <c r="H222" i="1"/>
  <c r="I222" i="1"/>
  <c r="J222" i="1"/>
  <c r="K222" i="1"/>
  <c r="A223" i="1"/>
  <c r="D223" i="1"/>
  <c r="H223" i="1"/>
  <c r="I223" i="1"/>
  <c r="J223" i="1"/>
  <c r="K223" i="1"/>
  <c r="A224" i="1"/>
  <c r="D224" i="1"/>
  <c r="H224" i="1"/>
  <c r="I224" i="1"/>
  <c r="J224" i="1"/>
  <c r="K224" i="1"/>
  <c r="A225" i="1"/>
  <c r="D225" i="1"/>
  <c r="H225" i="1"/>
  <c r="I225" i="1"/>
  <c r="J225" i="1"/>
  <c r="K225" i="1"/>
  <c r="A226" i="1"/>
  <c r="D226" i="1"/>
  <c r="H226" i="1"/>
  <c r="I226" i="1"/>
  <c r="J226" i="1"/>
  <c r="K226" i="1"/>
  <c r="A227" i="1"/>
  <c r="D227" i="1"/>
  <c r="H227" i="1"/>
  <c r="I227" i="1"/>
  <c r="J227" i="1"/>
  <c r="K227" i="1"/>
  <c r="A228" i="1"/>
  <c r="D228" i="1"/>
  <c r="H228" i="1"/>
  <c r="I228" i="1"/>
  <c r="J228" i="1"/>
  <c r="K228" i="1"/>
  <c r="A229" i="1"/>
  <c r="D229" i="1"/>
  <c r="H229" i="1"/>
  <c r="I229" i="1"/>
  <c r="J229" i="1"/>
  <c r="K229" i="1"/>
  <c r="A230" i="1"/>
  <c r="D230" i="1"/>
  <c r="H230" i="1"/>
  <c r="I230" i="1"/>
  <c r="J230" i="1"/>
  <c r="K230" i="1"/>
  <c r="A231" i="1"/>
  <c r="D231" i="1"/>
  <c r="H231" i="1"/>
  <c r="I231" i="1"/>
  <c r="J231" i="1"/>
  <c r="K231" i="1"/>
  <c r="A232" i="1"/>
  <c r="D232" i="1"/>
  <c r="H232" i="1"/>
  <c r="I232" i="1"/>
  <c r="J232" i="1"/>
  <c r="K232" i="1"/>
  <c r="A233" i="1"/>
  <c r="D233" i="1"/>
  <c r="H233" i="1"/>
  <c r="I233" i="1"/>
  <c r="J233" i="1"/>
  <c r="K233" i="1"/>
  <c r="A234" i="1"/>
  <c r="D234" i="1"/>
  <c r="H234" i="1"/>
  <c r="I234" i="1"/>
  <c r="J234" i="1"/>
  <c r="K234" i="1"/>
  <c r="A235" i="1"/>
  <c r="D235" i="1"/>
  <c r="H235" i="1"/>
  <c r="I235" i="1"/>
  <c r="J235" i="1"/>
  <c r="K235" i="1"/>
  <c r="A236" i="1"/>
  <c r="D236" i="1"/>
  <c r="H236" i="1"/>
  <c r="I236" i="1"/>
  <c r="J236" i="1"/>
  <c r="K236" i="1"/>
  <c r="A237" i="1"/>
  <c r="D237" i="1"/>
  <c r="H237" i="1"/>
  <c r="I237" i="1"/>
  <c r="J237" i="1"/>
  <c r="K237" i="1"/>
  <c r="A238" i="1"/>
  <c r="D238" i="1"/>
  <c r="H238" i="1"/>
  <c r="I238" i="1"/>
  <c r="J238" i="1"/>
  <c r="K238" i="1"/>
  <c r="A239" i="1"/>
  <c r="D239" i="1"/>
  <c r="H239" i="1"/>
  <c r="I239" i="1"/>
  <c r="J239" i="1"/>
  <c r="K239" i="1"/>
  <c r="A240" i="1"/>
  <c r="D240" i="1"/>
  <c r="H240" i="1"/>
  <c r="I240" i="1"/>
  <c r="J240" i="1"/>
  <c r="K240" i="1"/>
  <c r="A241" i="1"/>
  <c r="D241" i="1"/>
  <c r="H241" i="1"/>
  <c r="I241" i="1"/>
  <c r="J241" i="1"/>
  <c r="K241" i="1"/>
  <c r="A242" i="1"/>
  <c r="D242" i="1"/>
  <c r="H242" i="1"/>
  <c r="I242" i="1"/>
  <c r="J242" i="1"/>
  <c r="K242" i="1"/>
  <c r="A243" i="1"/>
  <c r="D243" i="1"/>
  <c r="H243" i="1"/>
  <c r="I243" i="1"/>
  <c r="J243" i="1"/>
  <c r="K243" i="1"/>
  <c r="A244" i="1"/>
  <c r="D244" i="1"/>
  <c r="H244" i="1"/>
  <c r="I244" i="1"/>
  <c r="J244" i="1"/>
  <c r="K244" i="1"/>
  <c r="A245" i="1"/>
  <c r="D245" i="1"/>
  <c r="H245" i="1"/>
  <c r="I245" i="1"/>
  <c r="J245" i="1"/>
  <c r="K245" i="1"/>
  <c r="A246" i="1"/>
  <c r="D246" i="1"/>
  <c r="H246" i="1"/>
  <c r="I246" i="1"/>
  <c r="J246" i="1"/>
  <c r="K246" i="1"/>
  <c r="A247" i="1"/>
  <c r="D247" i="1"/>
  <c r="H247" i="1"/>
  <c r="I247" i="1"/>
  <c r="J247" i="1"/>
  <c r="K247" i="1"/>
  <c r="A248" i="1"/>
  <c r="D248" i="1"/>
  <c r="H248" i="1"/>
  <c r="I248" i="1"/>
  <c r="J248" i="1"/>
  <c r="K248" i="1"/>
  <c r="A249" i="1"/>
  <c r="D249" i="1"/>
  <c r="H249" i="1"/>
  <c r="I249" i="1"/>
  <c r="A250" i="1"/>
  <c r="D250" i="1"/>
  <c r="H250" i="1"/>
  <c r="I250" i="1"/>
  <c r="A251" i="1"/>
  <c r="D251" i="1"/>
  <c r="H251" i="1"/>
  <c r="I251" i="1"/>
  <c r="A252" i="1"/>
  <c r="D252" i="1"/>
  <c r="H252" i="1"/>
  <c r="I252" i="1"/>
  <c r="A253" i="1"/>
  <c r="D253" i="1"/>
  <c r="H253" i="1"/>
  <c r="I253" i="1"/>
  <c r="A254" i="1"/>
  <c r="D254" i="1"/>
  <c r="H254" i="1"/>
  <c r="I254" i="1"/>
  <c r="A255" i="1"/>
  <c r="D255" i="1"/>
  <c r="H255" i="1"/>
  <c r="I255" i="1"/>
  <c r="A256" i="1"/>
  <c r="D256" i="1"/>
  <c r="H256" i="1"/>
  <c r="I256" i="1"/>
  <c r="A257" i="1"/>
  <c r="D257" i="1"/>
  <c r="H257" i="1"/>
  <c r="I257" i="1"/>
  <c r="A258" i="1"/>
  <c r="D258" i="1"/>
  <c r="H258" i="1"/>
  <c r="I258" i="1"/>
  <c r="A259" i="1"/>
  <c r="D259" i="1"/>
  <c r="H259" i="1"/>
  <c r="I259" i="1"/>
  <c r="A260" i="1"/>
  <c r="D260" i="1"/>
  <c r="H260" i="1"/>
  <c r="I260" i="1"/>
  <c r="A261" i="1"/>
  <c r="D261" i="1"/>
  <c r="H261" i="1"/>
  <c r="I261" i="1"/>
  <c r="A262" i="1"/>
  <c r="D262" i="1"/>
  <c r="H262" i="1"/>
  <c r="I262" i="1"/>
  <c r="A263" i="1"/>
  <c r="D263" i="1"/>
  <c r="H263" i="1"/>
  <c r="I263" i="1"/>
  <c r="A264" i="1"/>
  <c r="D264" i="1"/>
  <c r="H264" i="1"/>
  <c r="I264" i="1"/>
  <c r="A265" i="1"/>
  <c r="D265" i="1"/>
  <c r="H265" i="1"/>
  <c r="I265" i="1"/>
  <c r="A266" i="1"/>
  <c r="D266" i="1"/>
  <c r="H266" i="1"/>
  <c r="I266" i="1"/>
  <c r="A267" i="1"/>
  <c r="D267" i="1"/>
  <c r="H267" i="1"/>
  <c r="I267" i="1"/>
  <c r="A268" i="1"/>
  <c r="D268" i="1"/>
  <c r="H268" i="1"/>
  <c r="I268" i="1"/>
  <c r="A269" i="1"/>
  <c r="D269" i="1"/>
  <c r="H269" i="1"/>
  <c r="I269" i="1"/>
  <c r="A270" i="1"/>
  <c r="D270" i="1"/>
  <c r="H270" i="1"/>
  <c r="I270" i="1"/>
  <c r="A271" i="1"/>
  <c r="D271" i="1"/>
  <c r="H271" i="1"/>
  <c r="I271" i="1"/>
  <c r="A272" i="1"/>
  <c r="D272" i="1"/>
  <c r="H272" i="1"/>
  <c r="I272" i="1"/>
  <c r="A273" i="1"/>
  <c r="D273" i="1"/>
  <c r="H273" i="1"/>
  <c r="I273" i="1"/>
  <c r="A274" i="1"/>
  <c r="D274" i="1"/>
  <c r="H274" i="1"/>
  <c r="I274" i="1"/>
  <c r="A275" i="1"/>
  <c r="D275" i="1"/>
  <c r="H275" i="1"/>
  <c r="I275" i="1"/>
  <c r="A276" i="1"/>
  <c r="D276" i="1"/>
  <c r="H276" i="1"/>
  <c r="I276" i="1"/>
  <c r="A277" i="1"/>
  <c r="D277" i="1"/>
  <c r="H277" i="1"/>
  <c r="I277" i="1"/>
  <c r="A278" i="1"/>
  <c r="D278" i="1"/>
  <c r="H278" i="1"/>
  <c r="I278" i="1"/>
  <c r="A279" i="1"/>
  <c r="D279" i="1"/>
  <c r="H279" i="1"/>
  <c r="I279" i="1"/>
  <c r="A280" i="1"/>
  <c r="D280" i="1"/>
  <c r="H280" i="1"/>
  <c r="I280" i="1"/>
  <c r="A281" i="1"/>
  <c r="D281" i="1"/>
  <c r="H281" i="1"/>
  <c r="I281" i="1"/>
  <c r="A282" i="1"/>
  <c r="D282" i="1"/>
  <c r="H282" i="1"/>
  <c r="I282" i="1"/>
  <c r="A283" i="1"/>
  <c r="D283" i="1"/>
  <c r="H283" i="1"/>
  <c r="I283" i="1"/>
  <c r="A284" i="1"/>
  <c r="D284" i="1"/>
  <c r="H284" i="1"/>
  <c r="I284" i="1"/>
  <c r="A285" i="1"/>
  <c r="D285" i="1"/>
  <c r="H285" i="1"/>
  <c r="I285" i="1"/>
  <c r="A286" i="1"/>
  <c r="D286" i="1"/>
  <c r="H286" i="1"/>
  <c r="I286" i="1"/>
  <c r="A287" i="1"/>
  <c r="D287" i="1"/>
  <c r="H287" i="1"/>
  <c r="I287" i="1"/>
  <c r="A288" i="1"/>
  <c r="D288" i="1"/>
  <c r="H288" i="1"/>
  <c r="I288" i="1"/>
  <c r="A289" i="1"/>
  <c r="D289" i="1"/>
  <c r="H289" i="1"/>
  <c r="I289" i="1"/>
  <c r="A290" i="1"/>
  <c r="D290" i="1"/>
  <c r="H290" i="1"/>
  <c r="I290" i="1"/>
  <c r="A291" i="1"/>
  <c r="D291" i="1"/>
  <c r="H291" i="1"/>
  <c r="I291" i="1"/>
  <c r="A292" i="1"/>
  <c r="D292" i="1"/>
  <c r="H292" i="1"/>
  <c r="I292" i="1"/>
  <c r="A293" i="1"/>
  <c r="D293" i="1"/>
  <c r="H293" i="1"/>
  <c r="I293" i="1"/>
  <c r="A294" i="1"/>
  <c r="D294" i="1"/>
  <c r="H294" i="1"/>
  <c r="I294" i="1"/>
  <c r="A295" i="1"/>
  <c r="D295" i="1"/>
  <c r="H295" i="1"/>
  <c r="I295" i="1"/>
  <c r="A296" i="1"/>
  <c r="D296" i="1"/>
  <c r="H296" i="1"/>
  <c r="I296" i="1"/>
  <c r="A297" i="1"/>
  <c r="H297" i="1"/>
  <c r="I297" i="1"/>
  <c r="A298" i="1"/>
  <c r="H298" i="1"/>
  <c r="I298" i="1"/>
  <c r="A299" i="1"/>
  <c r="H299" i="1"/>
  <c r="I299" i="1"/>
  <c r="A300" i="1"/>
  <c r="H300" i="1"/>
  <c r="I300" i="1"/>
  <c r="A301" i="1"/>
  <c r="H301" i="1"/>
  <c r="I301" i="1"/>
  <c r="A302" i="1"/>
  <c r="H302" i="1"/>
  <c r="I302" i="1"/>
  <c r="A303" i="1"/>
  <c r="H303" i="1"/>
  <c r="I303" i="1"/>
  <c r="A304" i="1"/>
  <c r="H304" i="1"/>
  <c r="I304" i="1"/>
  <c r="A305" i="1"/>
  <c r="H305" i="1"/>
  <c r="I305" i="1"/>
  <c r="A306" i="1"/>
  <c r="H306" i="1"/>
  <c r="I306" i="1"/>
  <c r="A307" i="1"/>
  <c r="H307" i="1"/>
  <c r="I307" i="1"/>
  <c r="A308" i="1"/>
  <c r="H308" i="1"/>
  <c r="I308" i="1"/>
  <c r="A309" i="1"/>
  <c r="H309" i="1"/>
  <c r="I309" i="1"/>
  <c r="A310" i="1"/>
  <c r="F2" i="3"/>
  <c r="P2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53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B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E100" i="3"/>
  <c r="F100" i="3"/>
  <c r="F100" i="3" a="1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E101" i="3"/>
  <c r="F101" i="3"/>
  <c r="F101" i="3" a="1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E102" i="3"/>
  <c r="F102" i="3"/>
  <c r="F102" i="3" a="1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E103" i="3"/>
  <c r="F103" i="3"/>
  <c r="F103" i="3" a="1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E104" i="3"/>
  <c r="F104" i="3"/>
  <c r="F104" i="3" a="1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E105" i="3"/>
  <c r="F105" i="3"/>
  <c r="F105" i="3" a="1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E106" i="3"/>
  <c r="F106" i="3"/>
  <c r="F106" i="3" a="1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E107" i="3"/>
  <c r="F107" i="3"/>
  <c r="F107" i="3" a="1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E108" i="3"/>
  <c r="F108" i="3"/>
  <c r="F108" i="3" a="1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E109" i="3"/>
  <c r="F109" i="3"/>
  <c r="F109" i="3" a="1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E110" i="3"/>
  <c r="F110" i="3"/>
  <c r="F110" i="3" a="1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E111" i="3"/>
  <c r="F111" i="3"/>
  <c r="F111" i="3" a="1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E112" i="3"/>
  <c r="F112" i="3"/>
  <c r="F112" i="3" a="1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E113" i="3"/>
  <c r="F113" i="3"/>
  <c r="F113" i="3" a="1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E114" i="3"/>
  <c r="F114" i="3"/>
  <c r="F114" i="3" a="1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E115" i="3"/>
  <c r="F115" i="3"/>
  <c r="F115" i="3" a="1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E116" i="3"/>
  <c r="F116" i="3"/>
  <c r="F116" i="3" a="1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E117" i="3"/>
  <c r="F117" i="3"/>
  <c r="F117" i="3" a="1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E118" i="3"/>
  <c r="F118" i="3"/>
  <c r="F118" i="3" a="1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E119" i="3"/>
  <c r="F119" i="3"/>
  <c r="F119" i="3" a="1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E120" i="3"/>
  <c r="F120" i="3"/>
  <c r="F120" i="3" a="1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A122" i="3"/>
  <c r="AA123" i="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D5" authorId="0" shapeId="0">
      <text>
        <r>
          <rPr>
            <sz val="8"/>
            <color indexed="81"/>
            <rFont val="Tahoma"/>
          </rPr>
          <t>No distribution required if F&amp;D costs vary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B51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62" authorId="0" shapeId="0">
      <text>
        <r>
          <rPr>
            <sz val="8"/>
            <color indexed="81"/>
            <rFont val="Tahoma"/>
          </rPr>
          <t>Defaults to forward price curve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H80" authorId="0" shapeId="0">
      <text>
        <r>
          <rPr>
            <sz val="8"/>
            <color indexed="81"/>
            <rFont val="Tahoma"/>
          </rPr>
          <t>If life is 2 years or less, do not assume declining balance method.</t>
        </r>
      </text>
    </comment>
    <comment ref="B133" authorId="0" shapeId="0">
      <text>
        <r>
          <rPr>
            <sz val="8"/>
            <color indexed="81"/>
            <rFont val="Tahoma"/>
          </rPr>
          <t>First period defaults to total PP&amp;E on balance sheet</t>
        </r>
      </text>
    </comment>
    <comment ref="B24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265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276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31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335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346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392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08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1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62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78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8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532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548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55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600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614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625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I826" authorId="0" shapeId="0">
      <text>
        <r>
          <rPr>
            <sz val="8"/>
            <color indexed="81"/>
            <rFont val="Tahoma"/>
          </rPr>
          <t>Lookup formula must be customized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F766" authorId="0" shapeId="0">
      <text>
        <r>
          <rPr>
            <sz val="8"/>
            <color indexed="81"/>
            <rFont val="Tahoma"/>
          </rPr>
          <t>See note Taxon.xls</t>
        </r>
      </text>
    </comment>
  </commentList>
</comments>
</file>

<file path=xl/sharedStrings.xml><?xml version="1.0" encoding="utf-8"?>
<sst xmlns="http://schemas.openxmlformats.org/spreadsheetml/2006/main" count="2487" uniqueCount="1317">
  <si>
    <t>PRICE CURVES</t>
  </si>
  <si>
    <t>Calculate Averages from Mid or Bid??</t>
  </si>
  <si>
    <t>mid</t>
  </si>
  <si>
    <t xml:space="preserve">Updated as of:  </t>
  </si>
  <si>
    <t>GAS</t>
  </si>
  <si>
    <t>BID</t>
  </si>
  <si>
    <t>MID</t>
  </si>
  <si>
    <t>OIL</t>
  </si>
  <si>
    <t>GAS/OIL YEARLY AVERAGES</t>
  </si>
  <si>
    <t>Escalator:</t>
  </si>
  <si>
    <t>Remainder</t>
  </si>
  <si>
    <t>GAS AVERAGES</t>
  </si>
  <si>
    <t>OIL AVERAGES</t>
  </si>
  <si>
    <t>Trend Reversion</t>
  </si>
  <si>
    <t>Gas</t>
  </si>
  <si>
    <t>Oil</t>
  </si>
  <si>
    <t>Volatility</t>
  </si>
  <si>
    <t>Mean</t>
  </si>
  <si>
    <t>Date</t>
  </si>
  <si>
    <t>Normal</t>
  </si>
  <si>
    <t>Oil Prices</t>
  </si>
  <si>
    <t>Year 20</t>
  </si>
  <si>
    <t>Name</t>
  </si>
  <si>
    <t>Units</t>
  </si>
  <si>
    <t>Variable name</t>
  </si>
  <si>
    <t>Reserves</t>
  </si>
  <si>
    <t>MBOE, Bcf</t>
  </si>
  <si>
    <t>R</t>
  </si>
  <si>
    <t>Lognormal/no distribution</t>
  </si>
  <si>
    <t>Rmean</t>
  </si>
  <si>
    <t>Rstd</t>
  </si>
  <si>
    <t>%R mean</t>
  </si>
  <si>
    <t>Daily Peak rate</t>
  </si>
  <si>
    <t>BOE/d, MMcf/d</t>
  </si>
  <si>
    <t>qi</t>
  </si>
  <si>
    <t>Lognormal distribution</t>
  </si>
  <si>
    <t>qimean</t>
  </si>
  <si>
    <t>R/P</t>
  </si>
  <si>
    <t>qistd</t>
  </si>
  <si>
    <t>%qi mean</t>
  </si>
  <si>
    <t>Area under primary</t>
  </si>
  <si>
    <t>fraction (of R)</t>
  </si>
  <si>
    <t>RA</t>
  </si>
  <si>
    <t>Normal distribution</t>
  </si>
  <si>
    <t>Res to Change</t>
  </si>
  <si>
    <t xml:space="preserve">     decline curve</t>
  </si>
  <si>
    <t>RAmean</t>
  </si>
  <si>
    <t>RAstd</t>
  </si>
  <si>
    <t>% Ramean</t>
  </si>
  <si>
    <t>Slope of primary</t>
  </si>
  <si>
    <t>fraction, 1/timeunit</t>
  </si>
  <si>
    <t>aA</t>
  </si>
  <si>
    <t>1/timeunit</t>
  </si>
  <si>
    <t>aAmean</t>
  </si>
  <si>
    <t>aAstd</t>
  </si>
  <si>
    <t>% aAmean</t>
  </si>
  <si>
    <t>Lagtime</t>
  </si>
  <si>
    <t>Timeunit</t>
  </si>
  <si>
    <t>to</t>
  </si>
  <si>
    <t>Peaktime</t>
  </si>
  <si>
    <t>ti</t>
  </si>
  <si>
    <t>Years until peak:</t>
  </si>
  <si>
    <t>Aband Rate</t>
  </si>
  <si>
    <t>qa</t>
  </si>
  <si>
    <t>Chance of Failure</t>
  </si>
  <si>
    <t>fraction, [0,1]</t>
  </si>
  <si>
    <t>pFail</t>
  </si>
  <si>
    <t>ERROR</t>
  </si>
  <si>
    <t>LagtimeInt</t>
  </si>
  <si>
    <t>toInt</t>
  </si>
  <si>
    <t>PeaktimeInt</t>
  </si>
  <si>
    <t>IntTi</t>
  </si>
  <si>
    <t>exponentA</t>
  </si>
  <si>
    <t>expMaA</t>
  </si>
  <si>
    <t>FirstPerRamp</t>
  </si>
  <si>
    <t>Ro</t>
  </si>
  <si>
    <t>Ramp Prod</t>
  </si>
  <si>
    <t>RR</t>
  </si>
  <si>
    <t>Change Rate</t>
  </si>
  <si>
    <t>qc</t>
  </si>
  <si>
    <t>Change time</t>
  </si>
  <si>
    <t>tc</t>
  </si>
  <si>
    <t>LastPerBaseA</t>
  </si>
  <si>
    <t>Int(tc)</t>
  </si>
  <si>
    <t>Slope2</t>
  </si>
  <si>
    <t>aB</t>
  </si>
  <si>
    <t>exponentB</t>
  </si>
  <si>
    <t>expMaB</t>
  </si>
  <si>
    <t>Aband Time</t>
  </si>
  <si>
    <t>ta</t>
  </si>
  <si>
    <t>Int(Aband Time)</t>
  </si>
  <si>
    <t>IntTa</t>
  </si>
  <si>
    <t>Trans1L</t>
  </si>
  <si>
    <t>RiL</t>
  </si>
  <si>
    <t>Trans1R: Int(ti)&lt;int(tc)</t>
  </si>
  <si>
    <t>RiR1</t>
  </si>
  <si>
    <t>Trans1R: Int(ti)&gt;=int(tc)</t>
  </si>
  <si>
    <t>RiR2</t>
  </si>
  <si>
    <t>Trans1R: Used</t>
  </si>
  <si>
    <t>RiR</t>
  </si>
  <si>
    <t>Trans1</t>
  </si>
  <si>
    <t>Ri</t>
  </si>
  <si>
    <t>Trans2L</t>
  </si>
  <si>
    <t>RcL</t>
  </si>
  <si>
    <t>Trans2R</t>
  </si>
  <si>
    <t>RcR</t>
  </si>
  <si>
    <t>Trans2</t>
  </si>
  <si>
    <t>Rc</t>
  </si>
  <si>
    <t>Lastyear</t>
  </si>
  <si>
    <t>Rlast</t>
  </si>
  <si>
    <t>SlopeAfirst</t>
  </si>
  <si>
    <t>BaseA</t>
  </si>
  <si>
    <t>SlopeBfirst</t>
  </si>
  <si>
    <t>BaseB</t>
  </si>
  <si>
    <t>Period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</si>
  <si>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</si>
  <si>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</si>
  <si>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</si>
  <si>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</si>
  <si>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</si>
  <si>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</si>
  <si>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</si>
  <si>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</si>
  <si>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</si>
  <si>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</si>
  <si>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</si>
  <si>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</si>
  <si>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</si>
  <si>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</si>
  <si>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</si>
  <si>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</si>
  <si>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</si>
  <si>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</si>
  <si>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</si>
  <si>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</si>
  <si>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</si>
  <si>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Noise</t>
  </si>
  <si>
    <t>1=Mo,2=Qtr,3=Yr</t>
  </si>
  <si>
    <t>Convert</t>
  </si>
  <si>
    <t>PROFILE5.XLS</t>
  </si>
  <si>
    <t>J Murtha June 1995</t>
  </si>
  <si>
    <t>Totals</t>
  </si>
  <si>
    <t>Total production</t>
  </si>
  <si>
    <t>Production transposed to years</t>
  </si>
  <si>
    <t>Production in:</t>
  </si>
  <si>
    <t>From acquisitions in:</t>
  </si>
  <si>
    <t>Total production in BOEs</t>
  </si>
  <si>
    <t>Production through Year 20 (period 21)</t>
  </si>
  <si>
    <t>Production subsequent to Year 20</t>
  </si>
  <si>
    <t>ck</t>
  </si>
  <si>
    <t>Acquistions Calculation</t>
  </si>
  <si>
    <t>Debt/Total Capitalization</t>
  </si>
  <si>
    <t>Target Debt/Total Capitalization</t>
  </si>
  <si>
    <t>Target Debt/Equity</t>
  </si>
  <si>
    <t>Available debt financing</t>
  </si>
  <si>
    <t>% of PV10</t>
  </si>
  <si>
    <t>Cash flow before deficit financing</t>
  </si>
  <si>
    <t>Multiple</t>
  </si>
  <si>
    <t xml:space="preserve">Adjusted Cash Flow </t>
  </si>
  <si>
    <t>PV10</t>
  </si>
  <si>
    <t>Debt/PV10</t>
  </si>
  <si>
    <t>ACQUISITIONS LIMIT (MAXIMUM DEBT, CF)</t>
  </si>
  <si>
    <t>$/BOE for Capital Expenditures (Finding &amp; Development)</t>
  </si>
  <si>
    <t xml:space="preserve">Base $ </t>
  </si>
  <si>
    <t>Distribution</t>
  </si>
  <si>
    <t>Parameter 1</t>
  </si>
  <si>
    <t>Parameter 2</t>
  </si>
  <si>
    <t>Parameter 3</t>
  </si>
  <si>
    <t xml:space="preserve">Factor </t>
  </si>
  <si>
    <t xml:space="preserve">Simulated Value </t>
  </si>
  <si>
    <t>Acquired Reserves - MBOE</t>
  </si>
  <si>
    <t>Delay until production (0,1,or 2 years)</t>
  </si>
  <si>
    <t>Production - MBOE (from profile)</t>
  </si>
  <si>
    <t>% Allocation to oil</t>
  </si>
  <si>
    <t>% Allocation to gas</t>
  </si>
  <si>
    <t>Oil production - Mbbls</t>
  </si>
  <si>
    <t>BOE Conversion</t>
  </si>
  <si>
    <t>Gas production - MMcf</t>
  </si>
  <si>
    <t>OIL &amp; GAS INCOME PROJECTIONS</t>
  </si>
  <si>
    <t>Acquistion Reserves</t>
  </si>
  <si>
    <t>Oil Volumes (MBbls)</t>
  </si>
  <si>
    <t>Risk Factor</t>
  </si>
  <si>
    <t>Risked Oil Volumes</t>
  </si>
  <si>
    <t>Oil Pricing Scenario from EP page (1-5)</t>
  </si>
  <si>
    <t xml:space="preserve">    Basis and other adjustments</t>
  </si>
  <si>
    <t>Final Price - $/Bbl</t>
  </si>
  <si>
    <t>Gas Volumes - MMcf</t>
  </si>
  <si>
    <t>Risked Gas Volumes - MMcf</t>
  </si>
  <si>
    <t>Parameter1</t>
  </si>
  <si>
    <t>Parameter2</t>
  </si>
  <si>
    <t>Parameter3</t>
  </si>
  <si>
    <t>Gas Btu Multiplier, BBtu/MMcf</t>
  </si>
  <si>
    <t>Gas Volumes - BBtu</t>
  </si>
  <si>
    <t>Gas Pricing Scenario from EP page (1-5) ($/MMBtu)</t>
  </si>
  <si>
    <t>Final Price $/Mmbtu</t>
  </si>
  <si>
    <t>Total Revenues</t>
  </si>
  <si>
    <t>Production Costs:</t>
  </si>
  <si>
    <t>Variable</t>
  </si>
  <si>
    <t>Conversion</t>
  </si>
  <si>
    <t xml:space="preserve">BOE:  </t>
  </si>
  <si>
    <t>Base Variable per BOE</t>
  </si>
  <si>
    <t>Factor</t>
  </si>
  <si>
    <t>Simulated Amount</t>
  </si>
  <si>
    <t>Escalation Scenario (1 - 3)</t>
  </si>
  <si>
    <t>Variable Production Cost</t>
  </si>
  <si>
    <t>Ad Valorem and Production Taxes</t>
  </si>
  <si>
    <t>Tax Rate (on revenues)</t>
  </si>
  <si>
    <t>Other fixed:</t>
  </si>
  <si>
    <t>Base Amount per Year</t>
  </si>
  <si>
    <t>Total Other Fixed</t>
  </si>
  <si>
    <t>Other:</t>
  </si>
  <si>
    <t>Total Production Costs</t>
  </si>
  <si>
    <t>Net Oil &amp; Gas Income</t>
  </si>
  <si>
    <t>DEPLETION ANALYSIS:</t>
  </si>
  <si>
    <t>Net O&amp;G Book Value as beginning of period</t>
  </si>
  <si>
    <t>Total O&amp;G Capital Expenditures</t>
  </si>
  <si>
    <t>Conversion to BOE:</t>
  </si>
  <si>
    <t>Bbls of Oil Equivalent:</t>
  </si>
  <si>
    <t>Depletion Tax Basis ($):</t>
  </si>
  <si>
    <t>Cumulative BOE Equivalent (BOE):</t>
  </si>
  <si>
    <t>Depletion/BOE ($/BOE):</t>
  </si>
  <si>
    <t>Depletion Allowance ($):</t>
  </si>
  <si>
    <t>Expense Items</t>
  </si>
  <si>
    <t>Cost of Sales - Other</t>
  </si>
  <si>
    <t>Cost of Sales - Fixed</t>
  </si>
  <si>
    <t>Cost of Sales - Variable (% Total Revenues)</t>
  </si>
  <si>
    <t>Base % Revenue</t>
  </si>
  <si>
    <t xml:space="preserve">Totals </t>
  </si>
  <si>
    <t xml:space="preserve">          Total Other Costs of Sales</t>
  </si>
  <si>
    <t>Production costs (from above)</t>
  </si>
  <si>
    <t>Total Cost of Sales</t>
  </si>
  <si>
    <t>G&amp;A Expenses</t>
  </si>
  <si>
    <t>G&amp;A Expenses - Fixed</t>
  </si>
  <si>
    <t>G&amp;A Expenses - Variable (% Total Revenues)</t>
  </si>
  <si>
    <t>G&amp;A Expenses - Other</t>
  </si>
  <si>
    <t>Total G&amp;A Expenses</t>
  </si>
  <si>
    <t>1996 Production</t>
  </si>
  <si>
    <t>1997 Production</t>
  </si>
  <si>
    <t>1998 Production</t>
  </si>
  <si>
    <t>1999 Production</t>
  </si>
  <si>
    <t>2000 Production</t>
  </si>
  <si>
    <t>2001 Production</t>
  </si>
  <si>
    <t>2002 Production</t>
  </si>
  <si>
    <t>2003 Production</t>
  </si>
  <si>
    <t>2004 Production</t>
  </si>
  <si>
    <t>2005 Production</t>
  </si>
  <si>
    <t>2006 Production</t>
  </si>
  <si>
    <t>2007 Production</t>
  </si>
  <si>
    <t>2008 Production</t>
  </si>
  <si>
    <t>2009 Production</t>
  </si>
  <si>
    <t>2010 Production</t>
  </si>
  <si>
    <t>2011 Production</t>
  </si>
  <si>
    <t>2012 Production</t>
  </si>
  <si>
    <t>2013 Production</t>
  </si>
  <si>
    <t>2014 Production</t>
  </si>
  <si>
    <t>2015 Production</t>
  </si>
  <si>
    <t>TOTAL    OIL</t>
  </si>
  <si>
    <t xml:space="preserve">                GAS</t>
  </si>
  <si>
    <t>PV10/Return calculation</t>
  </si>
  <si>
    <t xml:space="preserve">Acquistions in </t>
  </si>
  <si>
    <t>1996  Revenue</t>
  </si>
  <si>
    <t>1996 Exp.</t>
  </si>
  <si>
    <t>1996 Capex</t>
  </si>
  <si>
    <t>1996 Cash Flow</t>
  </si>
  <si>
    <t>IRR</t>
  </si>
  <si>
    <t>1997  Revenue</t>
  </si>
  <si>
    <t>1997 Exp.</t>
  </si>
  <si>
    <t>1997 Capex</t>
  </si>
  <si>
    <t>1997 Cash Flow</t>
  </si>
  <si>
    <t>1998  Revenue</t>
  </si>
  <si>
    <t>1998 Exp.</t>
  </si>
  <si>
    <t>1998 Capex</t>
  </si>
  <si>
    <t>1998 Cash Flow</t>
  </si>
  <si>
    <t>1999  Revenue</t>
  </si>
  <si>
    <t>1999 Exp.</t>
  </si>
  <si>
    <t>1999 Capex</t>
  </si>
  <si>
    <t>1999 Cash Flow</t>
  </si>
  <si>
    <t>2000  Revenue</t>
  </si>
  <si>
    <t>2000 Exp.</t>
  </si>
  <si>
    <t>2000 Capex</t>
  </si>
  <si>
    <t>2000 Cash Flow</t>
  </si>
  <si>
    <t>2001  Revenue</t>
  </si>
  <si>
    <t>2001 Exp.</t>
  </si>
  <si>
    <t>2001 Capex</t>
  </si>
  <si>
    <t>2001 Cash Flow</t>
  </si>
  <si>
    <t>2002  Revenue</t>
  </si>
  <si>
    <t>2002 Exp.</t>
  </si>
  <si>
    <t>2002 Capex</t>
  </si>
  <si>
    <t>2002 Cash Flow</t>
  </si>
  <si>
    <t>2003  Revenue</t>
  </si>
  <si>
    <t>2003 Exp.</t>
  </si>
  <si>
    <t>2003 Capex</t>
  </si>
  <si>
    <t>2003 Cash Flow</t>
  </si>
  <si>
    <t>2004  Revenue</t>
  </si>
  <si>
    <t>2004 Exp.</t>
  </si>
  <si>
    <t>2004 Capex</t>
  </si>
  <si>
    <t>2004 Cash Flow</t>
  </si>
  <si>
    <t>2005  Revenue</t>
  </si>
  <si>
    <t>2005 Exp.</t>
  </si>
  <si>
    <t>2005 Capex</t>
  </si>
  <si>
    <t>2005 Cash Flow</t>
  </si>
  <si>
    <t>2006  Revenue</t>
  </si>
  <si>
    <t>2006 Exp.</t>
  </si>
  <si>
    <t>2006 Capex</t>
  </si>
  <si>
    <t>2006 Cash Flow</t>
  </si>
  <si>
    <t>2007  Revenue</t>
  </si>
  <si>
    <t>2007 Exp.</t>
  </si>
  <si>
    <t>2007 Capex</t>
  </si>
  <si>
    <t>2007 Cash Flow</t>
  </si>
  <si>
    <t>2008  Revenue</t>
  </si>
  <si>
    <t>2008 Exp.</t>
  </si>
  <si>
    <t>2008 Capex</t>
  </si>
  <si>
    <t>2008 Cash Flow</t>
  </si>
  <si>
    <t>2009 Revenue</t>
  </si>
  <si>
    <t>2009 Exp.</t>
  </si>
  <si>
    <t>2009 Capex</t>
  </si>
  <si>
    <t>2009 Cash Flow</t>
  </si>
  <si>
    <t>2010  Revenue</t>
  </si>
  <si>
    <t>2010 Exp.</t>
  </si>
  <si>
    <t>2010 Capex</t>
  </si>
  <si>
    <t>2010 Cash Flow</t>
  </si>
  <si>
    <t>2011  Revenue</t>
  </si>
  <si>
    <t>2011 Exp.</t>
  </si>
  <si>
    <t>2011 Capex</t>
  </si>
  <si>
    <t>2011 Cash Flow</t>
  </si>
  <si>
    <t>2012  Revenue</t>
  </si>
  <si>
    <t>2012 Exp.</t>
  </si>
  <si>
    <t>2012 Capex</t>
  </si>
  <si>
    <t>2012 Cash Flow</t>
  </si>
  <si>
    <t>2013  Revenue</t>
  </si>
  <si>
    <t>2013 Exp.</t>
  </si>
  <si>
    <t>2013 Capex</t>
  </si>
  <si>
    <t>2013 Cash Flow</t>
  </si>
  <si>
    <t>2014  Revenue</t>
  </si>
  <si>
    <t>2014 Exp.</t>
  </si>
  <si>
    <t>2014 Capex</t>
  </si>
  <si>
    <t>2014 Cash Flow</t>
  </si>
  <si>
    <t>2015  Revenue</t>
  </si>
  <si>
    <t>2015 Exp.</t>
  </si>
  <si>
    <t>2015 Capex</t>
  </si>
  <si>
    <t>2015 Cash Flow</t>
  </si>
  <si>
    <t>2016  Revenue</t>
  </si>
  <si>
    <t>2016 Exp.</t>
  </si>
  <si>
    <t>2016 Capex</t>
  </si>
  <si>
    <t>2016 Cash Flow</t>
  </si>
  <si>
    <t>Total</t>
  </si>
  <si>
    <t>Data to Financing Sheet</t>
  </si>
  <si>
    <t>Revenues (excluding deferred PP revenue)</t>
  </si>
  <si>
    <t>Cost of Sales</t>
  </si>
  <si>
    <t>Cash Expenses</t>
  </si>
  <si>
    <t>Capital Expenditures - Total</t>
  </si>
  <si>
    <t>Capital Expenditures - Financed by Debt</t>
  </si>
  <si>
    <t>Capital Expenditures - Land</t>
  </si>
  <si>
    <t>Capitalized Costs</t>
  </si>
  <si>
    <t>Depreciation Expense - Book</t>
  </si>
  <si>
    <t>Depreciation Expense - Tax</t>
  </si>
  <si>
    <t>Depreciation Expense - AMT</t>
  </si>
  <si>
    <t>Amortization of Intangibles - Book</t>
  </si>
  <si>
    <t>Amortization of Intangibles - Tax</t>
  </si>
  <si>
    <t>Oil &amp; Gas Only Items</t>
  </si>
  <si>
    <t>Cap. Exp. for Oil &amp; Gas Reserves</t>
  </si>
  <si>
    <t>Cap. Exp. for Oil &amp; Gas Reserves - Class B only</t>
  </si>
  <si>
    <t>Depletion - Book</t>
  </si>
  <si>
    <t>Depletion - Tax</t>
  </si>
  <si>
    <t>Class B Oil &amp; Gas Income Before NPI</t>
  </si>
  <si>
    <t>Production Payment Volumes - Gas</t>
  </si>
  <si>
    <t>Production Payment Volumes - Oil</t>
  </si>
  <si>
    <t>Weighted Average Market Price Curves</t>
  </si>
  <si>
    <t>for Production Payments*</t>
  </si>
  <si>
    <t>*For tax purposes.  Default to Oil &amp; Gas Reserves Forward Price Curves for Class A Reserves</t>
  </si>
  <si>
    <t>Data from Financing Sheet</t>
  </si>
  <si>
    <t>Fraction of year</t>
  </si>
  <si>
    <t>Unit</t>
  </si>
  <si>
    <t>Debt</t>
  </si>
  <si>
    <t>Equity</t>
  </si>
  <si>
    <t>Cash</t>
  </si>
  <si>
    <t>Scheduled Capitalization</t>
  </si>
  <si>
    <t>*Except for Overview</t>
  </si>
  <si>
    <t>Capital Expenditures Simulation</t>
  </si>
  <si>
    <t>Depreciation Parameters</t>
  </si>
  <si>
    <t>Calculated Depreciation</t>
  </si>
  <si>
    <t>Depletion Analysis</t>
  </si>
  <si>
    <t>Fixed Asset Summary</t>
  </si>
  <si>
    <t xml:space="preserve">Category </t>
  </si>
  <si>
    <t>Escalation Factors</t>
  </si>
  <si>
    <t>Scheduled Capital Expenditures</t>
  </si>
  <si>
    <t>Total Asset</t>
  </si>
  <si>
    <t>Risk</t>
  </si>
  <si>
    <t>Oil &amp; Gas Prices</t>
  </si>
  <si>
    <t>Depreciable Assets</t>
  </si>
  <si>
    <t>Book Value</t>
  </si>
  <si>
    <t>Adjustments</t>
  </si>
  <si>
    <t>min</t>
  </si>
  <si>
    <t>likely</t>
  </si>
  <si>
    <t>max</t>
  </si>
  <si>
    <t>PDP</t>
  </si>
  <si>
    <t>PDNP</t>
  </si>
  <si>
    <t>PUD</t>
  </si>
  <si>
    <t>PROBABLES</t>
  </si>
  <si>
    <t xml:space="preserve">Acrerage Dev. Prog. </t>
  </si>
  <si>
    <t>Class F Reserves</t>
  </si>
  <si>
    <t>Hedging Profits/(Losses)</t>
  </si>
  <si>
    <t xml:space="preserve">   Total Reserves</t>
  </si>
  <si>
    <t>Oil &amp; Gas Summary Information</t>
  </si>
  <si>
    <t>Other Costs of Sales/G&amp;A Expense</t>
  </si>
  <si>
    <t>Fixed Assets</t>
  </si>
  <si>
    <t>Asset 1</t>
  </si>
  <si>
    <t>Net Asset Value Calculation</t>
  </si>
  <si>
    <t>Asset 2</t>
  </si>
  <si>
    <t>Multiple Calculation</t>
  </si>
  <si>
    <t>Asset 3</t>
  </si>
  <si>
    <t>TERAS Import Area</t>
  </si>
  <si>
    <t>Asset 4</t>
  </si>
  <si>
    <t>Asset 5</t>
  </si>
  <si>
    <t xml:space="preserve">   Total Fixed Assets</t>
  </si>
  <si>
    <t>Capitalized Construction Interest/Intangibles</t>
  </si>
  <si>
    <t>Rate:</t>
  </si>
  <si>
    <t>Funding 1</t>
  </si>
  <si>
    <t>Funding 2</t>
  </si>
  <si>
    <t xml:space="preserve">Subtotal  </t>
  </si>
  <si>
    <t>Non-Depreciable Assets (Land)</t>
  </si>
  <si>
    <t>Total Capital Expenditures</t>
  </si>
  <si>
    <t>Capital Expenditure Simulation Amounts</t>
  </si>
  <si>
    <t>Class</t>
  </si>
  <si>
    <t>A, B,C, D, F</t>
  </si>
  <si>
    <t>Class E</t>
  </si>
  <si>
    <t>Triangular</t>
  </si>
  <si>
    <t>Class A, B, C, D, F</t>
  </si>
  <si>
    <t>Minimum</t>
  </si>
  <si>
    <t xml:space="preserve">    Simulated amount</t>
  </si>
  <si>
    <t>Likeliest</t>
  </si>
  <si>
    <t>Maximum</t>
  </si>
  <si>
    <t xml:space="preserve">    Total Reserves</t>
  </si>
  <si>
    <t xml:space="preserve">    Total Fixed Assets</t>
  </si>
  <si>
    <t xml:space="preserve">    Total Cap. Interest</t>
  </si>
  <si>
    <t>Depreciation &amp; Amortization Parameters</t>
  </si>
  <si>
    <t>Oil &amp; Gas Reserve Information</t>
  </si>
  <si>
    <t>Book Capitalization and Depreciation</t>
  </si>
  <si>
    <t>Tax Depreciation</t>
  </si>
  <si>
    <t>Oil &amp; Gas Reserve Totals</t>
  </si>
  <si>
    <t>Start</t>
  </si>
  <si>
    <t>Simulated</t>
  </si>
  <si>
    <t>Residual/</t>
  </si>
  <si>
    <t>Depreciation</t>
  </si>
  <si>
    <t>Method</t>
  </si>
  <si>
    <t>DB Decline</t>
  </si>
  <si>
    <t>Desc.</t>
  </si>
  <si>
    <t>Cost</t>
  </si>
  <si>
    <t>Salvage</t>
  </si>
  <si>
    <t>(mm/dd/yy)</t>
  </si>
  <si>
    <t>Life (yrs)</t>
  </si>
  <si>
    <t>(SL/DB)</t>
  </si>
  <si>
    <t>Rate</t>
  </si>
  <si>
    <t>Life (yrs.)</t>
  </si>
  <si>
    <t>DB</t>
  </si>
  <si>
    <t>Asset A</t>
  </si>
  <si>
    <t>Asset B</t>
  </si>
  <si>
    <t>Asset C</t>
  </si>
  <si>
    <t>Asset D</t>
  </si>
  <si>
    <t>Asset E</t>
  </si>
  <si>
    <t xml:space="preserve">Subtotal </t>
  </si>
  <si>
    <t>SL</t>
  </si>
  <si>
    <t>ck:</t>
  </si>
  <si>
    <t>Scheduled Depreciation Expense - Book</t>
  </si>
  <si>
    <t>Depreciable Non-Reserve Assets</t>
  </si>
  <si>
    <t>Other</t>
  </si>
  <si>
    <t>Total Depreciation Expense</t>
  </si>
  <si>
    <t>Total Amortization of Capitalized Interest</t>
  </si>
  <si>
    <t>Total Book Depreciation/Amortization Expense</t>
  </si>
  <si>
    <t>Scheduled Depreciation Expense - Tax</t>
  </si>
  <si>
    <t>Total Tax Depreciation/Amortization Expense</t>
  </si>
  <si>
    <t>Net O&amp;G Book Value as of beginning of period</t>
  </si>
  <si>
    <t>Depletion Basis ($):</t>
  </si>
  <si>
    <t xml:space="preserve">ck: </t>
  </si>
  <si>
    <t>Type 1 Capital Expenditures (Financed with Cash Flow)</t>
  </si>
  <si>
    <t>Type 1 Capital Expenditures (default)</t>
  </si>
  <si>
    <t xml:space="preserve">    Total Type 1 Capital Expenditures</t>
  </si>
  <si>
    <t>Type 2 Capital Expenditures (Financed with Debt)</t>
  </si>
  <si>
    <t>Type 2 Capital Expenditures (input)</t>
  </si>
  <si>
    <t xml:space="preserve">    Total Type 2 Capital Expenditures (see Placement 2)</t>
  </si>
  <si>
    <t>O&amp;G Capital Expenditures</t>
  </si>
  <si>
    <t>Land</t>
  </si>
  <si>
    <t>Depreciation and  Amortization Expense - Book</t>
  </si>
  <si>
    <t>Depreciation Expense - Pre-Transaction Assets</t>
  </si>
  <si>
    <t>Add:  Book Depreciation Expense - Transaction Assets</t>
  </si>
  <si>
    <t xml:space="preserve">    Total Depreciation Expense - Book</t>
  </si>
  <si>
    <t>Amortization of Capitalized Costs - Book</t>
  </si>
  <si>
    <t>Depreciation and  Amortization Expense - Regular Tax</t>
  </si>
  <si>
    <t xml:space="preserve">    Net Depreciation Expense - Tax</t>
  </si>
  <si>
    <t>Depletion - Tax (default to book)</t>
  </si>
  <si>
    <t>Amortization of Capitalized Costs - Tax</t>
  </si>
  <si>
    <t>Escalation Factors - Dollars</t>
  </si>
  <si>
    <t>(1)</t>
  </si>
  <si>
    <t>CPI (GBM)</t>
  </si>
  <si>
    <t>Drift</t>
  </si>
  <si>
    <t>Price Index</t>
  </si>
  <si>
    <t xml:space="preserve">Inflation Rate </t>
  </si>
  <si>
    <t>Cumulative index equivalent</t>
  </si>
  <si>
    <t>(2)</t>
  </si>
  <si>
    <t>Constant Inflation</t>
  </si>
  <si>
    <t>(3)</t>
  </si>
  <si>
    <t>Custom Scenario</t>
  </si>
  <si>
    <t>Fuel Prices - USD Only</t>
  </si>
  <si>
    <r>
      <t>Gas Forward Price Curve</t>
    </r>
    <r>
      <rPr>
        <sz val="7"/>
        <rFont val="Arial"/>
        <family val="2"/>
      </rPr>
      <t xml:space="preserve"> ($/Mmbtu)</t>
    </r>
  </si>
  <si>
    <t>Market (GBM)</t>
  </si>
  <si>
    <t>Constant inflation (from escalation factors above)</t>
  </si>
  <si>
    <t>(4)</t>
  </si>
  <si>
    <t>Custom scenario (from escalation factors above)</t>
  </si>
  <si>
    <t>(5)</t>
  </si>
  <si>
    <t>(6)</t>
  </si>
  <si>
    <r>
      <t>Oil Forward Price Curve</t>
    </r>
    <r>
      <rPr>
        <sz val="7"/>
        <rFont val="Arial"/>
        <family val="2"/>
      </rPr>
      <t xml:space="preserve"> ($/Bbl)</t>
    </r>
  </si>
  <si>
    <t>NGL Pricing</t>
  </si>
  <si>
    <r>
      <t>Forward Price Curve</t>
    </r>
    <r>
      <rPr>
        <sz val="7"/>
        <rFont val="Arial"/>
        <family val="2"/>
      </rPr>
      <t xml:space="preserve"> ($/Bbl)</t>
    </r>
  </si>
  <si>
    <t>NGL Price % Oil</t>
  </si>
  <si>
    <t>Decline</t>
  </si>
  <si>
    <t>Gross Oil Production (MBbls)</t>
  </si>
  <si>
    <t>Qi</t>
  </si>
  <si>
    <t>Net Working Interest</t>
  </si>
  <si>
    <t>Net Oil Volumes (MBbls)</t>
  </si>
  <si>
    <t>Risked Oil Volumes (MBbls)</t>
  </si>
  <si>
    <t>Oil Pricing Scenario (1-5)</t>
  </si>
  <si>
    <t>Gross Gas Production - MMcf</t>
  </si>
  <si>
    <t>Net Gas Volumes - MMcf</t>
  </si>
  <si>
    <t>Gas Pricing Scenario (1-5)</t>
  </si>
  <si>
    <t>NGL</t>
  </si>
  <si>
    <t>Gross NGL Production (MBbls)</t>
  </si>
  <si>
    <t>Net NGL Volume (MBbls)</t>
  </si>
  <si>
    <t>Risked NGL Volume (MBbls)</t>
  </si>
  <si>
    <t>NGL Pricing Scenario (1-5)</t>
  </si>
  <si>
    <t>Final Price ($/Bbl)</t>
  </si>
  <si>
    <t>Min</t>
  </si>
  <si>
    <t>ML</t>
  </si>
  <si>
    <t>Max</t>
  </si>
  <si>
    <t>Tax Rate</t>
  </si>
  <si>
    <t>Allocated G&amp;A</t>
  </si>
  <si>
    <t>ml</t>
  </si>
  <si>
    <t>NGL Revenue ($Thousands)</t>
  </si>
  <si>
    <t>Ml</t>
  </si>
  <si>
    <t>NPI</t>
  </si>
  <si>
    <t>Net Oil &amp; Gas Income after NPI</t>
  </si>
  <si>
    <t>MIN</t>
  </si>
  <si>
    <t>MAX</t>
  </si>
  <si>
    <t>HEDGING PROFITS</t>
  </si>
  <si>
    <t>AND (LOSSES)</t>
  </si>
  <si>
    <t>TOTALS</t>
  </si>
  <si>
    <t>Weighted Average Oil Price/Bbl</t>
  </si>
  <si>
    <t>Oil Volumes (Mbbls)</t>
  </si>
  <si>
    <t>Total Oil Revenues before VPP</t>
  </si>
  <si>
    <t>Contractual Production Payment Volumes</t>
  </si>
  <si>
    <t>Actual Production Payment Volumes</t>
  </si>
  <si>
    <t>Actual Over/(Under) Contractual</t>
  </si>
  <si>
    <t>Cumulative Over/(Under) Contractual</t>
  </si>
  <si>
    <t>VPP Weighted Average Market Price</t>
  </si>
  <si>
    <t>VPP Market Revenues</t>
  </si>
  <si>
    <t>Oil Residual Revenues</t>
  </si>
  <si>
    <t>Weighted Average Gas Price/MMBtu</t>
  </si>
  <si>
    <t>Total Gas Revenues</t>
  </si>
  <si>
    <t>Gas Residual Revenues</t>
  </si>
  <si>
    <t>Weighted Average NGL Price/BBl</t>
  </si>
  <si>
    <t>NGL Volumes</t>
  </si>
  <si>
    <t>Total NGL Revenues</t>
  </si>
  <si>
    <t>NGL Residual Revenues</t>
  </si>
  <si>
    <t>Oil &amp; Gas Revenues before VPP</t>
  </si>
  <si>
    <t>Less: VPP Revenues at Weighted Average Market Price</t>
  </si>
  <si>
    <t>Oil &amp; Gas Residual Revenues after VPP</t>
  </si>
  <si>
    <t>Net O&amp;G Revenues + Hedging Profits b/f NPI</t>
  </si>
  <si>
    <t>Less:  NPI</t>
  </si>
  <si>
    <t>Net O&amp;G Revenues + Hedging Profits after NPI (Revenues)</t>
  </si>
  <si>
    <t>Less: Direct Production Costs</t>
  </si>
  <si>
    <t>SUMMARY INFORMATION</t>
  </si>
  <si>
    <t>O&amp;G</t>
  </si>
  <si>
    <t>Production:</t>
  </si>
  <si>
    <t>Avg. Price/Bbl</t>
  </si>
  <si>
    <t>Avg. Price/Mmbtu</t>
  </si>
  <si>
    <t>PV10 CALCULATION</t>
  </si>
  <si>
    <t>Cash Flows from proved reserves</t>
  </si>
  <si>
    <t>Discount percentage</t>
  </si>
  <si>
    <t>Discounting time (years)</t>
  </si>
  <si>
    <t>PV10 - GC</t>
  </si>
  <si>
    <t>TERAS IMPORT AREA</t>
  </si>
  <si>
    <t>Set Total Trials:</t>
  </si>
  <si>
    <t>Current Trial</t>
  </si>
  <si>
    <t xml:space="preserve">   (initialize at 0):</t>
  </si>
  <si>
    <t>=HLOOKUP(I$812,DATA!$B$2:$U$1202,+$G$813+1)</t>
  </si>
  <si>
    <t>SEC10 Value</t>
  </si>
  <si>
    <t>PRODUCTION SUMMARY - OIL</t>
  </si>
  <si>
    <t>PROBABLE</t>
  </si>
  <si>
    <t>DEVELOPMENT</t>
  </si>
  <si>
    <t>TOTAL</t>
  </si>
  <si>
    <t>PROVED</t>
  </si>
  <si>
    <t>NOT</t>
  </si>
  <si>
    <t>PRODUCTION SUMMARY - GAS</t>
  </si>
  <si>
    <t>Year 10</t>
  </si>
  <si>
    <t>Year 15</t>
  </si>
  <si>
    <t>Clampett Oil Company</t>
  </si>
  <si>
    <t xml:space="preserve">SCENARIO:    </t>
  </si>
  <si>
    <t>Texas Tea</t>
  </si>
  <si>
    <t>($ in</t>
  </si>
  <si>
    <t>Thousands</t>
  </si>
  <si>
    <t>)</t>
  </si>
  <si>
    <t>TRANSACTION OVERVIEW:</t>
  </si>
  <si>
    <t>TRANSACTION DATE:</t>
  </si>
  <si>
    <t>TRANSACTION FUNDS FLOW:</t>
  </si>
  <si>
    <t>PROFORMA CAPITALIZATION:</t>
  </si>
  <si>
    <t>Proforma</t>
  </si>
  <si>
    <t>Acquisition/Distribution/Expenditure</t>
  </si>
  <si>
    <t>Total Debt</t>
  </si>
  <si>
    <t>Common Equity</t>
  </si>
  <si>
    <t>Total Equity</t>
  </si>
  <si>
    <t>Total Capitalization</t>
  </si>
  <si>
    <t>5yr CAGR</t>
  </si>
  <si>
    <t>*Implied Interest Rate</t>
  </si>
  <si>
    <t>SELECTED OPERATING DATA:</t>
  </si>
  <si>
    <t>Revenues</t>
  </si>
  <si>
    <t>Revenue Growth</t>
  </si>
  <si>
    <t>Gross Margin</t>
  </si>
  <si>
    <t>EBDIT</t>
  </si>
  <si>
    <t>EBDIT Margin</t>
  </si>
  <si>
    <t>Adj. EBDIT [Adjusted for VPP]</t>
  </si>
  <si>
    <t>EBIT</t>
  </si>
  <si>
    <t>Adj. EBIT [Adjusted for VPP]</t>
  </si>
  <si>
    <t>Capital Expenditures</t>
  </si>
  <si>
    <t>Working</t>
  </si>
  <si>
    <t>Operating Cash Required (Days)</t>
  </si>
  <si>
    <t>Capital:</t>
  </si>
  <si>
    <t>Accounts Receivable Days</t>
  </si>
  <si>
    <t>Inventory Turnover (x)</t>
  </si>
  <si>
    <t>Accounts Payable Days</t>
  </si>
  <si>
    <t>SELECTED FINANCIAL DATA:</t>
  </si>
  <si>
    <t>Adjusted Interest  [Cash Interest + Implied PP Interest]</t>
  </si>
  <si>
    <t>Scheduled Sr Prin. Pymnts [Sr Debt + Implied PP Amortization]</t>
  </si>
  <si>
    <t>Scheduled Total Principal Payments</t>
  </si>
  <si>
    <t>Revolver Commitment</t>
  </si>
  <si>
    <t>Cash Balances</t>
  </si>
  <si>
    <t>Deficit Revolver (included in Senior Debt)</t>
  </si>
  <si>
    <t>Adjusted Senior Debt  [Senior Debt + Deferred Revenues]</t>
  </si>
  <si>
    <t>Subordinated Debt</t>
  </si>
  <si>
    <t>Preferred Stock</t>
  </si>
  <si>
    <t>SELECTED FINANCIAL RATIOS:</t>
  </si>
  <si>
    <t>Fxd Chrg Cov (Adj EBDIT/Adj. Int+Tot Prin+Cap Ex+Pref Div'd)</t>
  </si>
  <si>
    <t>Interest Coverage  (Adj. EBIT / Adj. Interest)</t>
  </si>
  <si>
    <t>Maintenance Cov. Ratio [(EBDIT-Cap Ex)/Adj Interest]</t>
  </si>
  <si>
    <t>Adj. Senior Debt / (Subordinated Debt + Equity)</t>
  </si>
  <si>
    <t>(Adj. Senior Debt + Subordinated Debt) / Equity</t>
  </si>
  <si>
    <t>Adj. Sr Debt to Cap [Adj. Sr Debt / (Total Debt + Equity)]</t>
  </si>
  <si>
    <t>Total Debt to Capitalization [Total Debt / (Total Debt + Equity)]</t>
  </si>
  <si>
    <t>Debt to Adjusted Cash Flow [Total Debt / (EBDIT-Cap Ex)]</t>
  </si>
  <si>
    <t>Current Ratio</t>
  </si>
  <si>
    <t>VALUATION STATISTICS:</t>
  </si>
  <si>
    <t>Multiple of EBDIT</t>
  </si>
  <si>
    <t>Corporate Value [EBDIT * Multiple]</t>
  </si>
  <si>
    <t>Market Equity Value [Corp. Value - Debt &amp; Pref Stk + Ex Cash]</t>
  </si>
  <si>
    <t>INCOME STATEMENT:</t>
  </si>
  <si>
    <t>Cost of Revenues</t>
  </si>
  <si>
    <t>Gross Profits</t>
  </si>
  <si>
    <t>Operating Expenses</t>
  </si>
  <si>
    <t>Depreciation and Depletion</t>
  </si>
  <si>
    <t>Amortization - Goodwill</t>
  </si>
  <si>
    <t>Amortization   -  ESOP Contributions/Dividends</t>
  </si>
  <si>
    <t xml:space="preserve">    Subtotal - Depreciation, Depletion, Amortization</t>
  </si>
  <si>
    <t>Other Income:</t>
  </si>
  <si>
    <t>Interest Income</t>
  </si>
  <si>
    <t>Financing Fees</t>
  </si>
  <si>
    <t>Total Other Income</t>
  </si>
  <si>
    <t>Interest Expense:</t>
  </si>
  <si>
    <t>Existing Senior and Sub Debt</t>
  </si>
  <si>
    <t>Total Interest Expense</t>
  </si>
  <si>
    <t>Income b/f Taxes and Gains</t>
  </si>
  <si>
    <t>Gain on Sale of Assets</t>
  </si>
  <si>
    <t>Income b/f Taxes</t>
  </si>
  <si>
    <t>Income Taxes</t>
  </si>
  <si>
    <t>Net Income</t>
  </si>
  <si>
    <t>Preferred Dividends</t>
  </si>
  <si>
    <t>Net Income Available to Common</t>
  </si>
  <si>
    <t>Common Dividends</t>
  </si>
  <si>
    <t>SOURCES AND USES:</t>
  </si>
  <si>
    <t>SOURCES:</t>
  </si>
  <si>
    <t>Depreciation &amp; Amortization</t>
  </si>
  <si>
    <t>Contribution from ESOP</t>
  </si>
  <si>
    <t>Deferred Income Taxes</t>
  </si>
  <si>
    <t>Non-Cash Interest and Dividends</t>
  </si>
  <si>
    <t>Net Proceeds from Sale of Assets</t>
  </si>
  <si>
    <t>Total Sources</t>
  </si>
  <si>
    <t>USES:</t>
  </si>
  <si>
    <t>Change in Adjusted W/C</t>
  </si>
  <si>
    <t>Amortization of Deferred Revenue</t>
  </si>
  <si>
    <t>Decrease in</t>
  </si>
  <si>
    <t>Dividends/Treasury Stock Acquisition/Preferred Stock Redemption</t>
  </si>
  <si>
    <t>Total Uses</t>
  </si>
  <si>
    <t>EXCESS/(DEFICIT)</t>
  </si>
  <si>
    <t>FINANCED BY:</t>
  </si>
  <si>
    <t>Total Scheduled Financing</t>
  </si>
  <si>
    <t>Increase/(Decrease) in Bank Revolver</t>
  </si>
  <si>
    <t>Increase/(Decrease) in Deficit Revolver</t>
  </si>
  <si>
    <t>Decrease/(Increase) in Excess Cash</t>
  </si>
  <si>
    <t>Total Financing</t>
  </si>
  <si>
    <t>AVAILABLE CASH:</t>
  </si>
  <si>
    <t>Beginning Cash</t>
  </si>
  <si>
    <t>Operating Increase/(Decrease)</t>
  </si>
  <si>
    <t>Excess Increase/(Decrease)</t>
  </si>
  <si>
    <t>Ending Cash</t>
  </si>
  <si>
    <t>BALANCE SHEET:</t>
  </si>
  <si>
    <t>Total Intangibles</t>
  </si>
  <si>
    <t>Proof</t>
  </si>
  <si>
    <t>CAPITALIZATION:</t>
  </si>
  <si>
    <t>Deficit Revolver:</t>
  </si>
  <si>
    <t>Beginning Balance</t>
  </si>
  <si>
    <t>(Addition)</t>
  </si>
  <si>
    <t>Repayment</t>
  </si>
  <si>
    <t>Ending Balance</t>
  </si>
  <si>
    <t xml:space="preserve">    Interest Rate</t>
  </si>
  <si>
    <t>(Scheduled Additions)</t>
  </si>
  <si>
    <t>(Bor. Base or Commitment Additions)</t>
  </si>
  <si>
    <t>Scheduled Repayment</t>
  </si>
  <si>
    <t>Bor. Base or Commitment Reductions</t>
  </si>
  <si>
    <t>Excess Cash Flow Recapture</t>
  </si>
  <si>
    <t>Borrowing Base/Commitment Level</t>
  </si>
  <si>
    <t>Avg. Balance (For Interest Calc Only)</t>
  </si>
  <si>
    <t xml:space="preserve"> Interest Rate</t>
  </si>
  <si>
    <t>CAPITALIZATION (Continued):</t>
  </si>
  <si>
    <t xml:space="preserve">    Dividend Yield</t>
  </si>
  <si>
    <t>Short-term</t>
  </si>
  <si>
    <t>Long-term</t>
  </si>
  <si>
    <t>Redemption</t>
  </si>
  <si>
    <t>TRANSACTION ASSUMPTIONS:</t>
  </si>
  <si>
    <t>Transaction Date:</t>
  </si>
  <si>
    <t>Transaction Date Adjustment:</t>
  </si>
  <si>
    <t>Fraction:</t>
  </si>
  <si>
    <t>Pre Transaction Revenues</t>
  </si>
  <si>
    <t>Months:</t>
  </si>
  <si>
    <t>and Expenses, and</t>
  </si>
  <si>
    <t>Post Transaction Revenues</t>
  </si>
  <si>
    <t>and Expenses in fiscal</t>
  </si>
  <si>
    <t>Fiscal Year End:</t>
  </si>
  <si>
    <t>Transaction Funds Flow</t>
  </si>
  <si>
    <t>Subsequent Fundings</t>
  </si>
  <si>
    <t>Transaction</t>
  </si>
  <si>
    <t>Sources:</t>
  </si>
  <si>
    <t>Revolving Loan</t>
  </si>
  <si>
    <t>Term Loan</t>
  </si>
  <si>
    <t>Production Payment</t>
  </si>
  <si>
    <t>ESOP Notes</t>
  </si>
  <si>
    <t>Placement 1</t>
  </si>
  <si>
    <t>Placement 2</t>
  </si>
  <si>
    <t>Sr Sub Notes</t>
  </si>
  <si>
    <t>Jr. Sub Notes</t>
  </si>
  <si>
    <t>Common Stock</t>
  </si>
  <si>
    <t>Cash on Hand</t>
  </si>
  <si>
    <t>Sources</t>
  </si>
  <si>
    <t>Uses:</t>
  </si>
  <si>
    <t>Capital Exp.:</t>
  </si>
  <si>
    <t>PP&amp;E</t>
  </si>
  <si>
    <t>Dividend/Distribution</t>
  </si>
  <si>
    <t>Treasury Stock Acquisition</t>
  </si>
  <si>
    <t>Transaction Fees</t>
  </si>
  <si>
    <t>Refinance Existing Sr Debt</t>
  </si>
  <si>
    <t>Refinance Existing Sub Debt</t>
  </si>
  <si>
    <t>Refinance Existing Pref Stk</t>
  </si>
  <si>
    <t>Working Capital</t>
  </si>
  <si>
    <t>Uses</t>
  </si>
  <si>
    <t>Proof:</t>
  </si>
  <si>
    <t>TRANSACTION FEES:</t>
  </si>
  <si>
    <t>Tax Life</t>
  </si>
  <si>
    <t>Accounting</t>
  </si>
  <si>
    <t>%</t>
  </si>
  <si>
    <t>$</t>
  </si>
  <si>
    <t>(Yrs)</t>
  </si>
  <si>
    <t>Treatment</t>
  </si>
  <si>
    <t>Transaction Advisory Fee</t>
  </si>
  <si>
    <t>NA</t>
  </si>
  <si>
    <t>Expensed:</t>
  </si>
  <si>
    <t>Other Fees and Expenses</t>
  </si>
  <si>
    <t>Capitalized:</t>
  </si>
  <si>
    <t>Upfront Placement Fees:</t>
  </si>
  <si>
    <t>Amortization:</t>
  </si>
  <si>
    <t>*(As % of Commitment)</t>
  </si>
  <si>
    <t xml:space="preserve">    Total</t>
  </si>
  <si>
    <t>HISTORICAL AND OPENING BALANCE SHEETS:</t>
  </si>
  <si>
    <t>ASSETS:</t>
  </si>
  <si>
    <t>Add</t>
  </si>
  <si>
    <t>Subtract</t>
  </si>
  <si>
    <t>Operating Cash</t>
  </si>
  <si>
    <t>Cash and Marketable Securities</t>
  </si>
  <si>
    <t>Accounts Receivable</t>
  </si>
  <si>
    <t>Inventories</t>
  </si>
  <si>
    <t>Other Current Assets</t>
  </si>
  <si>
    <t>Total Current Assets</t>
  </si>
  <si>
    <t>Intangibles</t>
  </si>
  <si>
    <t>Goodwill</t>
  </si>
  <si>
    <t>Gross PP&amp;E</t>
  </si>
  <si>
    <t>Accumulated Depreciation</t>
  </si>
  <si>
    <t>Net PP&amp;E</t>
  </si>
  <si>
    <t>Other Assets</t>
  </si>
  <si>
    <t>Total Assets</t>
  </si>
  <si>
    <t>LIABILITIES &amp; EQUITY:</t>
  </si>
  <si>
    <t>Accounts Payable</t>
  </si>
  <si>
    <t>Accrued Liabilities</t>
  </si>
  <si>
    <t>Capitalization</t>
  </si>
  <si>
    <t>Other Payables</t>
  </si>
  <si>
    <t>Current Maturities</t>
  </si>
  <si>
    <t>Short-term Debt</t>
  </si>
  <si>
    <t>Total Current Liabilities</t>
  </si>
  <si>
    <t>Senior Debt</t>
  </si>
  <si>
    <t>Deferred Taxes</t>
  </si>
  <si>
    <t>Commitments and Contingencies</t>
  </si>
  <si>
    <t>Other Liabilities</t>
  </si>
  <si>
    <t>Total Long-term Liabilities</t>
  </si>
  <si>
    <t>Total Liabilities</t>
  </si>
  <si>
    <t>Paid in Capital</t>
  </si>
  <si>
    <t>ESOP Equity</t>
  </si>
  <si>
    <t>Treasury Stock</t>
  </si>
  <si>
    <t>Retained Earnings</t>
  </si>
  <si>
    <t>Preferred and Common Dividends</t>
  </si>
  <si>
    <t>Contra Account</t>
  </si>
  <si>
    <t>Total Stockholders' Equity</t>
  </si>
  <si>
    <t>Total Liabilities &amp; Equity</t>
  </si>
  <si>
    <t>ADJUSTED WORKING CAPITAL INPUT:</t>
  </si>
  <si>
    <t>ADJ. WORKING CAPITAL ANALYSIS</t>
  </si>
  <si>
    <t>Operating Cash Balance</t>
  </si>
  <si>
    <t xml:space="preserve">Adjusted W/C Balance: </t>
  </si>
  <si>
    <t>Changes in Other Asset/Liability Accounts:</t>
  </si>
  <si>
    <t>Increase/(Decrease) in Other Liabilities</t>
  </si>
  <si>
    <t>Increase/(Decrease) in Other Assets</t>
  </si>
  <si>
    <t>BORROWING BASE ASSUMPTIONS:</t>
  </si>
  <si>
    <t>Bank Revolver Usage Related to Borrowing Base?</t>
  </si>
  <si>
    <t>YES</t>
  </si>
  <si>
    <t>Advance Rates:</t>
  </si>
  <si>
    <t>PV10 value</t>
  </si>
  <si>
    <t>Borrowing Base/Commitment Level:</t>
  </si>
  <si>
    <t>SCHEDULED DEBT AND STOCK</t>
  </si>
  <si>
    <t xml:space="preserve">    REPAYMENT AND ADDITIONS:</t>
  </si>
  <si>
    <t>Commitment</t>
  </si>
  <si>
    <t>Excess Cash Flow Recapture:</t>
  </si>
  <si>
    <t>W/C Line</t>
  </si>
  <si>
    <t>(Seasonal)</t>
  </si>
  <si>
    <t>(Input Avg. Balance for Interest Calc Only)</t>
  </si>
  <si>
    <t>(Additions)</t>
  </si>
  <si>
    <t>Gas Volumes:</t>
  </si>
  <si>
    <t>Oil Volumes:</t>
  </si>
  <si>
    <t>Discounted Gas Price ($/Mmbtu):</t>
  </si>
  <si>
    <t>Discounted Oil Price ($/Bbl):</t>
  </si>
  <si>
    <t>% of CF for Repayment of Principal &amp; Interest:</t>
  </si>
  <si>
    <t>Cash Flow Available</t>
  </si>
  <si>
    <r>
      <t>Interest</t>
    </r>
    <r>
      <rPr>
        <sz val="7"/>
        <rFont val="Arial"/>
        <family val="2"/>
      </rPr>
      <t xml:space="preserve"> (To input Interest Rate, see Debt Items) </t>
    </r>
  </si>
  <si>
    <t>% of Type 2 Capital Expenditures Financed:</t>
  </si>
  <si>
    <t>*Input Cash Flow may be changed to reflect transaction.</t>
  </si>
  <si>
    <t>Interest Deferral: (YES or NO)</t>
  </si>
  <si>
    <t>NO</t>
  </si>
  <si>
    <t>Interest Deferral Tax Deductible: (YES or NO)</t>
  </si>
  <si>
    <t>Interest Rate Deferred</t>
  </si>
  <si>
    <t>Amount Deferred (Accrued Semi-annually)</t>
  </si>
  <si>
    <t>Redemptions</t>
  </si>
  <si>
    <t>(Issues)</t>
  </si>
  <si>
    <t>Dividend Deferral: (YES or NO)</t>
  </si>
  <si>
    <t>Dividend Yield Deferred</t>
  </si>
  <si>
    <t>Amount Deferred (Accrued Quarterly)</t>
  </si>
  <si>
    <t>Treasury Stock Purchases</t>
  </si>
  <si>
    <t>Existing Sr Debt</t>
  </si>
  <si>
    <t>Gas Balancing</t>
  </si>
  <si>
    <t>Existing Preferred Stock</t>
  </si>
  <si>
    <t>INTEREST RATES, COUPON RATES AND</t>
  </si>
  <si>
    <t>DIVIDEND YIELDS:</t>
  </si>
  <si>
    <t>Hist Interest Exp/Existing Sr Debt</t>
  </si>
  <si>
    <t>Hist Interest Exp/Existing Sub Debt</t>
  </si>
  <si>
    <t>Hist Pref Div'ds/Existing Pref Stk Yld</t>
  </si>
  <si>
    <t>Hist Common Div'ds</t>
  </si>
  <si>
    <t>Deficit Revolver</t>
  </si>
  <si>
    <t xml:space="preserve">Commitment Fee on Unused Portion of Bank Revolver </t>
  </si>
  <si>
    <t>Annual Administration Fee</t>
  </si>
  <si>
    <t>Dividend Payout Ratio</t>
  </si>
  <si>
    <t>Interest Earned on Cash Balances?</t>
  </si>
  <si>
    <t>Hist Int Income/Int on Cash Balances</t>
  </si>
  <si>
    <t>HISTORICAL AND PROFORMA NON-OPERATING ASSUMPTIONS:</t>
  </si>
  <si>
    <t>FYE:</t>
  </si>
  <si>
    <t>Revenues:</t>
  </si>
  <si>
    <r>
      <t xml:space="preserve">Revenues </t>
    </r>
    <r>
      <rPr>
        <i/>
        <sz val="8"/>
        <rFont val="Arial"/>
      </rPr>
      <t>(from operating sheet)</t>
    </r>
  </si>
  <si>
    <t>Deferred Revenues from Production Payment:</t>
  </si>
  <si>
    <t xml:space="preserve">    Total Revenue</t>
  </si>
  <si>
    <t>Annual Revenue Growth Rate</t>
  </si>
  <si>
    <t>Amortization   -  Pre-Transaction Goodwill</t>
  </si>
  <si>
    <t>Amortization   -  Transaction Goodwill</t>
  </si>
  <si>
    <t>Amortization   -  Transaction Fees</t>
  </si>
  <si>
    <r>
      <t xml:space="preserve">Amortization   -  Intangibles </t>
    </r>
    <r>
      <rPr>
        <i/>
        <sz val="8"/>
        <rFont val="Arial"/>
      </rPr>
      <t>(from operating sheet)</t>
    </r>
  </si>
  <si>
    <t xml:space="preserve">    Total Amortization Expense</t>
  </si>
  <si>
    <t>Other Income (excluding interest income)</t>
  </si>
  <si>
    <t>ASSET SALES</t>
  </si>
  <si>
    <t>Gross Sale Price</t>
  </si>
  <si>
    <t>Gross Book Value of Assets Sold</t>
  </si>
  <si>
    <t>Accumulated Depreciation - Book</t>
  </si>
  <si>
    <t>Net Book Value of Assets Sold</t>
  </si>
  <si>
    <t>Pretax Gain/(Loss) - Book</t>
  </si>
  <si>
    <t>Change in Book Depreciation  Expense Associated with Assets Sold</t>
  </si>
  <si>
    <t>Net Tax Value - Regular Tax*</t>
  </si>
  <si>
    <t>Pretax Gain/(Loss) - Tax</t>
  </si>
  <si>
    <t>Change in Tax Depreciation Expense Associated with Assets Sold</t>
  </si>
  <si>
    <t>Net Tax Value Tax - AMT*</t>
  </si>
  <si>
    <t>Pretax Gain/(Loss) - AMT</t>
  </si>
  <si>
    <t>*Default to Book Gain/(Loss)</t>
  </si>
  <si>
    <t>ESOP ITEMS:</t>
  </si>
  <si>
    <t>Salaries (% of Net Sales)</t>
  </si>
  <si>
    <t>Eligible Salaries (% of Salaries)</t>
  </si>
  <si>
    <t>Rule 415 - 25% of Eligible Salaries</t>
  </si>
  <si>
    <t>Coupon on ESOP Equity</t>
  </si>
  <si>
    <t>ESOP Equity Dividends</t>
  </si>
  <si>
    <t>Available ESOP Contribution</t>
  </si>
  <si>
    <t>Actual ESOP Contributions for ESOP Notes Repayment</t>
  </si>
  <si>
    <t>ESOP Equity Dividends Paid post ESOP Notes Repayment</t>
  </si>
  <si>
    <t>TAX ASSUMPTIONS:</t>
  </si>
  <si>
    <t xml:space="preserve">    $</t>
  </si>
  <si>
    <t xml:space="preserve">    %</t>
  </si>
  <si>
    <t>Historical Book Taxes</t>
  </si>
  <si>
    <t>Federal Income Tax Rate</t>
  </si>
  <si>
    <t>State Income Tax Rate</t>
  </si>
  <si>
    <t>Alternative Minimum Tax (AMT) Rate</t>
  </si>
  <si>
    <t>Beginning Balance NOLs:</t>
  </si>
  <si>
    <t>Book:</t>
  </si>
  <si>
    <t>Regular Tax:</t>
  </si>
  <si>
    <t>AMT:</t>
  </si>
  <si>
    <t>Beginning Balance AMT Tax Credit</t>
  </si>
  <si>
    <t>IDC Tax Credit as a % of Oil &amp; Gas Capital Expenditures</t>
  </si>
  <si>
    <t>INCOME TAX CALCULATION:</t>
  </si>
  <si>
    <t>REGULAR IRS TAXES:</t>
  </si>
  <si>
    <t>Income before Taxes</t>
  </si>
  <si>
    <t>Add Back:</t>
  </si>
  <si>
    <t>Amortization of Goodwill</t>
  </si>
  <si>
    <t>Book Depreciation</t>
  </si>
  <si>
    <t>Book Depletion</t>
  </si>
  <si>
    <t>Book Loss/(Gain) on Asset Sales</t>
  </si>
  <si>
    <t>Tax Implied Revenues</t>
  </si>
  <si>
    <t xml:space="preserve">Deduct: </t>
  </si>
  <si>
    <t>Tax Depreciation (Regular)</t>
  </si>
  <si>
    <t>Tax Depletion</t>
  </si>
  <si>
    <t>Tax Loss/(Gain) on Asset Sales (Regular)</t>
  </si>
  <si>
    <t>Book Deferred Revenues from Production Payments</t>
  </si>
  <si>
    <t>Production Payment Implied Interest</t>
  </si>
  <si>
    <t>Taxable Income before NOL</t>
  </si>
  <si>
    <t>Beginning NOL Balance</t>
  </si>
  <si>
    <t>NOL (Addition)</t>
  </si>
  <si>
    <t>NOL Used</t>
  </si>
  <si>
    <t>Ending NOL Balance</t>
  </si>
  <si>
    <t>Taxable Income After NOL</t>
  </si>
  <si>
    <t>State Taxes @</t>
  </si>
  <si>
    <t>Federal Taxes @</t>
  </si>
  <si>
    <t>Regular Taxes before AMT Tax Credit</t>
  </si>
  <si>
    <t xml:space="preserve"> </t>
  </si>
  <si>
    <t>BOOK TAXES:</t>
  </si>
  <si>
    <t>Add Back:  Amortization of Goodwill</t>
  </si>
  <si>
    <t>Taxable Book Income before NOL</t>
  </si>
  <si>
    <t>Taxable Book Income After NOL</t>
  </si>
  <si>
    <t>Book Taxes</t>
  </si>
  <si>
    <t>INCOME TAX CALCULATION CONTINUED:</t>
  </si>
  <si>
    <t>ALTERNATIVE MINIMUM TAX</t>
  </si>
  <si>
    <t>Taxable Income</t>
  </si>
  <si>
    <t>Deduct:</t>
  </si>
  <si>
    <t>Tax Depreciation (AMT) (default to tax depreciation)</t>
  </si>
  <si>
    <t>AMT Income w/o IDC</t>
  </si>
  <si>
    <t>Add:  IDC (see below)</t>
  </si>
  <si>
    <t>Preliminary AMT Income w/IDC</t>
  </si>
  <si>
    <t>AMTI Adjustment %</t>
  </si>
  <si>
    <t>AMTI Adjustment</t>
  </si>
  <si>
    <t>AMT Income w/IDC</t>
  </si>
  <si>
    <t>Allowable IDC</t>
  </si>
  <si>
    <t>AMTI before NOL</t>
  </si>
  <si>
    <t>NOL Used (90% Limitation)</t>
  </si>
  <si>
    <t>AMT Taxable Income after NOL</t>
  </si>
  <si>
    <t>AMT Tax Rate</t>
  </si>
  <si>
    <t xml:space="preserve">AMT Taxes </t>
  </si>
  <si>
    <t>AMT Tax Credit Calculation:</t>
  </si>
  <si>
    <t>Beginning AMT Credit Balance</t>
  </si>
  <si>
    <t>AMT Credit (Addition)</t>
  </si>
  <si>
    <t>AMT Credit Used</t>
  </si>
  <si>
    <t>Ending AMT Credit Balance</t>
  </si>
  <si>
    <t>Regular Taxes after AMT Tax Credit</t>
  </si>
  <si>
    <t>Cash Taxes Paid (greater of AMT Taxes or Regular Taxes)</t>
  </si>
  <si>
    <t>IDC Limitations</t>
  </si>
  <si>
    <t>Total Oil &amp; Gas Capital Expenditures</t>
  </si>
  <si>
    <t>% Allocation to Intangible Drilling Costs</t>
  </si>
  <si>
    <t>IDC</t>
  </si>
  <si>
    <t>Excess IDC %</t>
  </si>
  <si>
    <t>Excess IDC</t>
  </si>
  <si>
    <t>Gross Margin from Oil &amp; Gas Activities</t>
  </si>
  <si>
    <t>Limitation</t>
  </si>
  <si>
    <t>IDC Under Limitation</t>
  </si>
  <si>
    <t>IDC Preference</t>
  </si>
  <si>
    <t>Production Payment Tax Calculations</t>
  </si>
  <si>
    <t>Gas Forward Price Curve  ($/Mmbtu):</t>
  </si>
  <si>
    <t>Oil Forward Price Curve  ($/Bbl):</t>
  </si>
  <si>
    <t>Implied PP Gas Revenues</t>
  </si>
  <si>
    <t>Implied PP Oil Revenues</t>
  </si>
  <si>
    <t>Implied PP Revenues</t>
  </si>
  <si>
    <t>T-bill rate @ inception</t>
  </si>
  <si>
    <t>Imputed Interest Expense - Gas</t>
  </si>
  <si>
    <t>Intererst rate on VPP</t>
  </si>
  <si>
    <t>Imputed Interest Expense - Oil</t>
  </si>
  <si>
    <t>Interest Expense - Total</t>
  </si>
  <si>
    <t>Tax PP Amortization:</t>
  </si>
  <si>
    <t>Payment</t>
  </si>
  <si>
    <t>Interest Payments</t>
  </si>
  <si>
    <t>Amortization</t>
  </si>
  <si>
    <t>Forgiveness of debt</t>
  </si>
  <si>
    <t>Implied Amortization (memo only)</t>
  </si>
  <si>
    <t>Implied Interest Rate:</t>
  </si>
  <si>
    <t>RETURNS ANALYSIS:</t>
  </si>
  <si>
    <t>Equity Allocation:</t>
  </si>
  <si>
    <t>Terminal Value:</t>
  </si>
  <si>
    <t>Year 3</t>
  </si>
  <si>
    <t>Year 4</t>
  </si>
  <si>
    <t>Year 5</t>
  </si>
  <si>
    <t>Terminal Value (PV10):</t>
  </si>
  <si>
    <t>Allocation</t>
  </si>
  <si>
    <r>
      <t xml:space="preserve">Adj EBDIT </t>
    </r>
    <r>
      <rPr>
        <sz val="7"/>
        <rFont val="Arial"/>
        <family val="2"/>
      </rPr>
      <t>(in Yr as Noted)</t>
    </r>
  </si>
  <si>
    <t>Multiple:</t>
  </si>
  <si>
    <t>Corporate Terminal Value:</t>
  </si>
  <si>
    <t>Less:</t>
  </si>
  <si>
    <t>Total Debt &amp; Pref Stock</t>
  </si>
  <si>
    <t>Plus:</t>
  </si>
  <si>
    <t xml:space="preserve">Excess Cash </t>
  </si>
  <si>
    <t>Common Equity Terminal Value:</t>
  </si>
  <si>
    <t>Staged Exit?</t>
  </si>
  <si>
    <t>no</t>
  </si>
  <si>
    <t xml:space="preserve">% Exit: </t>
  </si>
  <si>
    <t>Exit %</t>
  </si>
  <si>
    <t>Net Common Equity Terminal Value:</t>
  </si>
  <si>
    <t>DEFAULT/LIQUIDATION CALCULATION</t>
  </si>
  <si>
    <t>Year 1</t>
  </si>
  <si>
    <t>Year 2</t>
  </si>
  <si>
    <t>Year 6</t>
  </si>
  <si>
    <t>Year 7</t>
  </si>
  <si>
    <t>Year 8</t>
  </si>
  <si>
    <t>Year 9</t>
  </si>
  <si>
    <t>Deficit Revolver Balance</t>
  </si>
  <si>
    <t>PV 10 Value</t>
  </si>
  <si>
    <t>Discount</t>
  </si>
  <si>
    <t>Adjusted PV10</t>
  </si>
  <si>
    <t>Less:  Debt &amp; Preferred Stock</t>
  </si>
  <si>
    <t>Add:  Working Capital</t>
  </si>
  <si>
    <t>ECT Share</t>
  </si>
  <si>
    <t>Utilize liquidation value? (Y/N)</t>
  </si>
  <si>
    <t>Y</t>
  </si>
  <si>
    <t>Liquidation Value to Common</t>
  </si>
  <si>
    <t>Rf</t>
  </si>
  <si>
    <t>LIQUIDATION VALUES ACCRUED TO EXIT</t>
  </si>
  <si>
    <t>Year 1 def.</t>
  </si>
  <si>
    <t>Year 2 def.</t>
  </si>
  <si>
    <t>Year 3 def.</t>
  </si>
  <si>
    <t>Year 4 def.</t>
  </si>
  <si>
    <t>Year 5 def.</t>
  </si>
  <si>
    <t>Year 6 def.</t>
  </si>
  <si>
    <t>Year 7 def.</t>
  </si>
  <si>
    <t>LIQUIDATION CASH RECD AT EXIT - GROSS</t>
  </si>
  <si>
    <t>SHARE TO ECT</t>
  </si>
  <si>
    <t>LIQUIDATION CASH RECD AT EXIT - NET</t>
  </si>
  <si>
    <t>TERMINAL VALUE CALCULATION - 100% EXIT EACH YEAR</t>
  </si>
  <si>
    <t>Multiple (from model)</t>
  </si>
  <si>
    <t>Share to ECT</t>
  </si>
  <si>
    <t>Total Cashflows if 100%</t>
  </si>
  <si>
    <t>exit at indicated time</t>
  </si>
  <si>
    <t>iNVESTMENT CASH FLOWS</t>
  </si>
  <si>
    <t>Through:</t>
  </si>
  <si>
    <t>Cash Flows</t>
  </si>
  <si>
    <t>SENSITIVITY ANALYSES:</t>
  </si>
  <si>
    <t>YEAR 3:</t>
  </si>
  <si>
    <t>Return Sensitivities</t>
  </si>
  <si>
    <t>YEAR 5:</t>
  </si>
  <si>
    <t>Allocation:</t>
  </si>
  <si>
    <t>DISCOUNTED CASHFLOW VALUATION ANALYSIS:</t>
  </si>
  <si>
    <t>OPERATING CASH FLOWS:</t>
  </si>
  <si>
    <t>EBIT (Operating Profit)</t>
  </si>
  <si>
    <t>Less:  Cash Taxes before Interest Tax Shield</t>
  </si>
  <si>
    <t>After Tax EBIT (After Tax Operating Profit)</t>
  </si>
  <si>
    <t>Depreciation &amp; Depletion</t>
  </si>
  <si>
    <t>Amortization &amp; ESOP Contributions</t>
  </si>
  <si>
    <t>Implied Production Payment Interest</t>
  </si>
  <si>
    <t>Increase/(Decrease) in Adjusted W/C</t>
  </si>
  <si>
    <t>Cash Flow From Operations After Tax (Unlevered Cash Flow)</t>
  </si>
  <si>
    <t>Credit Risk Factor (default = 1)</t>
  </si>
  <si>
    <t>Sovereign Risk Factor (default =1)</t>
  </si>
  <si>
    <t>Credit and Sovereign Risk-Adjusted Cash Flow From Operations After Tax</t>
  </si>
  <si>
    <t>Perpetuity</t>
  </si>
  <si>
    <t>Adj EBDIT</t>
  </si>
  <si>
    <t>VALUATION VARIABLES:</t>
  </si>
  <si>
    <t>RESIDUAL VALUE:</t>
  </si>
  <si>
    <t>Annuity</t>
  </si>
  <si>
    <t>Growth</t>
  </si>
  <si>
    <t>Term (Horizon)</t>
  </si>
  <si>
    <t>Adjusted EBDIT</t>
  </si>
  <si>
    <t>Investments (Excess Cash) Outstanding at Value Date</t>
  </si>
  <si>
    <t xml:space="preserve">Operating Profit After Tax </t>
  </si>
  <si>
    <t>Debt Outstanding at Value Date</t>
  </si>
  <si>
    <t>Number of Shares Outstanding at Value Date (000)</t>
  </si>
  <si>
    <t>Discount Rate (ATWACOC)</t>
  </si>
  <si>
    <t>Perpetuity Growth Rate</t>
  </si>
  <si>
    <t>EBDIT Multiple</t>
  </si>
  <si>
    <t>EBIT Multiple</t>
  </si>
  <si>
    <t>Corporate Residual Value</t>
  </si>
  <si>
    <t>DISCOUNT RATE:</t>
  </si>
  <si>
    <t>Discounted Operating Cash Flows</t>
  </si>
  <si>
    <t>Target Debt/Capitalization</t>
  </si>
  <si>
    <t>Discounted Terminal Value</t>
  </si>
  <si>
    <t>Cost of Equity (unlevered)</t>
  </si>
  <si>
    <t>Investments (Excess Cash)</t>
  </si>
  <si>
    <t>Cost of Equity (levered)</t>
  </si>
  <si>
    <t>Firm Value Today</t>
  </si>
  <si>
    <t>Weighted Avg Cost of Debt</t>
  </si>
  <si>
    <t>Weighted Avg After Tax Cost of Debt</t>
  </si>
  <si>
    <t>Debt Outstanding</t>
  </si>
  <si>
    <t>A-T Weighted Average Cost of Capital (ATWACOC)</t>
  </si>
  <si>
    <t>Equity Value</t>
  </si>
  <si>
    <t>COST OF EQUITY (UNLEVERED):</t>
  </si>
  <si>
    <t>Risk-Free Rate</t>
  </si>
  <si>
    <t>30-Year Treasury Bond</t>
  </si>
  <si>
    <t>Beta</t>
  </si>
  <si>
    <t>Company Specific (Unlevered)</t>
  </si>
  <si>
    <t>Market Risk Premium</t>
  </si>
  <si>
    <t>Equity Value per Share</t>
  </si>
  <si>
    <t>Cost of Equity</t>
  </si>
  <si>
    <t>Data from Operating Sheet</t>
  </si>
  <si>
    <t>Oil &amp; Gas Related</t>
  </si>
  <si>
    <t>Data to Operating Sheet</t>
  </si>
  <si>
    <t>Fraction of current year</t>
  </si>
  <si>
    <t xml:space="preserve">Cash </t>
  </si>
  <si>
    <t>COMMON-SIZED INCOME STATEMENT:</t>
  </si>
  <si>
    <t>FASB CASH FLOW ANALYSIS</t>
  </si>
  <si>
    <t>Cash Flow From Operating Activities:</t>
  </si>
  <si>
    <t>Deferred Revenues</t>
  </si>
  <si>
    <t>Losses/(Gains)</t>
  </si>
  <si>
    <t>Add/</t>
  </si>
  <si>
    <t>(Subtract)</t>
  </si>
  <si>
    <t>Change in:</t>
  </si>
  <si>
    <t>Cash Flow From Investing Activities:</t>
  </si>
  <si>
    <t>Cash Flow From Financing Activities:</t>
  </si>
  <si>
    <t>Dividends Paid</t>
  </si>
  <si>
    <t>Scheduled Debt and Preferred Stock Reductions</t>
  </si>
  <si>
    <t>Proceeds of Debt &amp; Stock Issues</t>
  </si>
  <si>
    <t>Borrowing/(Repayment) under Bank Revolver</t>
  </si>
  <si>
    <t>Borrowing/(Repayment) under Deficit Revolver</t>
  </si>
  <si>
    <t>Net Increase/(Decrease) in Cash and Cash Equivalents</t>
  </si>
  <si>
    <t>Set Calc (s)</t>
  </si>
  <si>
    <t>Optimize</t>
  </si>
  <si>
    <t>PP Yield</t>
  </si>
  <si>
    <t>Version 4 Macros still used:</t>
  </si>
  <si>
    <t>set calc</t>
  </si>
  <si>
    <t>optimize</t>
  </si>
  <si>
    <t>general box</t>
  </si>
  <si>
    <t>all the sensitivities</t>
  </si>
  <si>
    <t>opto</t>
  </si>
  <si>
    <t>Quick.Move</t>
  </si>
  <si>
    <t>teras</t>
  </si>
  <si>
    <t>Quick.Move.Box</t>
  </si>
  <si>
    <t>Go To ...</t>
  </si>
  <si>
    <t>Overview</t>
  </si>
  <si>
    <t>Income Statement</t>
  </si>
  <si>
    <t>Common Sized Statement</t>
  </si>
  <si>
    <t>Sources/Uses</t>
  </si>
  <si>
    <t>Balance Sheet</t>
  </si>
  <si>
    <t>Opening Balance Sheet</t>
  </si>
  <si>
    <t>Capitalization 1</t>
  </si>
  <si>
    <t>Capitalization 2</t>
  </si>
  <si>
    <t>Income Tax</t>
  </si>
  <si>
    <t>QM.Lookup</t>
  </si>
  <si>
    <t>Cancel</t>
  </si>
  <si>
    <t>&amp;CF Input</t>
  </si>
  <si>
    <t>&amp;General Information</t>
  </si>
  <si>
    <t>General</t>
  </si>
  <si>
    <t>Input Company Name, Scenario, FYE &amp; Units</t>
  </si>
  <si>
    <t>&amp;Transaction</t>
  </si>
  <si>
    <t>Input Transaction Funds Flow, Fees and Date</t>
  </si>
  <si>
    <t>&amp;Cash Flow Items</t>
  </si>
  <si>
    <t>Cash.Flow</t>
  </si>
  <si>
    <t>Input Operating Cash Items, Tax Items, ESOP Items &amp; Asset Sales</t>
  </si>
  <si>
    <t>&amp;Balance Sheet Items</t>
  </si>
  <si>
    <t>Bal.Sheet</t>
  </si>
  <si>
    <t>Input Opening Balance Sheet &amp; Working Capital</t>
  </si>
  <si>
    <t>&amp;Debt Items</t>
  </si>
  <si>
    <t>Input Repayment Schedules &amp; Interest Rates</t>
  </si>
  <si>
    <t>&amp;Oil and Gas Reserve Items</t>
  </si>
  <si>
    <t>Oil.Gas</t>
  </si>
  <si>
    <t>Input Specific Oil &amp; Gas Reserves Information</t>
  </si>
  <si>
    <t>&amp;Analyses</t>
  </si>
  <si>
    <t>Analyses.Input</t>
  </si>
  <si>
    <t>Input Information for Analyses</t>
  </si>
  <si>
    <t>Iterations:</t>
  </si>
  <si>
    <t>General.Box</t>
  </si>
  <si>
    <t>GENERAL INFORMATION</t>
  </si>
  <si>
    <t>Up&amp;date</t>
  </si>
  <si>
    <t>C&amp;ancel</t>
  </si>
  <si>
    <t>Company &amp;Name:</t>
  </si>
  <si>
    <t>&amp;Scenario:</t>
  </si>
  <si>
    <t>&amp;Fiscal Year End:</t>
  </si>
  <si>
    <t>&amp;Units ($ in .....)</t>
  </si>
  <si>
    <t>Millions</t>
  </si>
  <si>
    <t>Actual</t>
  </si>
  <si>
    <t>l</t>
  </si>
  <si>
    <t>r</t>
  </si>
  <si>
    <t>Proj</t>
  </si>
  <si>
    <t>Hist</t>
  </si>
  <si>
    <t>Transaction.Box</t>
  </si>
  <si>
    <t>TRANSACTION ITEMS</t>
  </si>
  <si>
    <t>Transaction &amp;Date:</t>
  </si>
  <si>
    <t>Transaction &amp;Fees</t>
  </si>
  <si>
    <t>&amp;Transaction Funds Flow</t>
  </si>
  <si>
    <t>Cash.Flow.Box</t>
  </si>
  <si>
    <t>CASH FLOW ITEMS</t>
  </si>
  <si>
    <t>&amp;Operating Data</t>
  </si>
  <si>
    <t>&amp;Tax Items</t>
  </si>
  <si>
    <t>Asset &amp;Sales</t>
  </si>
  <si>
    <t>&amp;ESOP Items</t>
  </si>
  <si>
    <t>Bal.Sheet.Box</t>
  </si>
  <si>
    <t>BALANCE SHEET ITEMS</t>
  </si>
  <si>
    <t>&amp;Opening B/S</t>
  </si>
  <si>
    <t>&amp;Working Capital</t>
  </si>
  <si>
    <t>&amp;Borrowing Base</t>
  </si>
  <si>
    <t>&amp;Unused</t>
  </si>
  <si>
    <t>Debt.Box</t>
  </si>
  <si>
    <t>DEBT ITEMS</t>
  </si>
  <si>
    <t>&amp;Debt Repayment</t>
  </si>
  <si>
    <t>&amp;Interest Rates</t>
  </si>
  <si>
    <t>Print</t>
  </si>
  <si>
    <t>Statements</t>
  </si>
  <si>
    <t>Analyses</t>
  </si>
  <si>
    <t>Input.Statements</t>
  </si>
  <si>
    <t>Everything</t>
  </si>
  <si>
    <t>Print.Box</t>
  </si>
  <si>
    <t>PRINT ....</t>
  </si>
  <si>
    <t>Print Financial Statements</t>
  </si>
  <si>
    <t>Print Oil and Gas Reserves</t>
  </si>
  <si>
    <t>Print Individual Statements ....</t>
  </si>
  <si>
    <t>Print Tax Calculation</t>
  </si>
  <si>
    <t>Print Analyses ....</t>
  </si>
  <si>
    <t>Print Everything</t>
  </si>
  <si>
    <t>Print Input Assumptions ....</t>
  </si>
  <si>
    <t>Statement.Box</t>
  </si>
  <si>
    <t>PRINT STATEMENTS ....</t>
  </si>
  <si>
    <t>Print Overview</t>
  </si>
  <si>
    <t>Print Income Statement</t>
  </si>
  <si>
    <t>Print Cash Flow Statement</t>
  </si>
  <si>
    <t>Print Balance Sheet</t>
  </si>
  <si>
    <t>Print Opening Bal Sheet</t>
  </si>
  <si>
    <t>Print Capitalization 1</t>
  </si>
  <si>
    <t>Print Capitalization 2</t>
  </si>
  <si>
    <t>Analyses.Box</t>
  </si>
  <si>
    <t>PRINT ANALYSES ....</t>
  </si>
  <si>
    <t>Print Returns Analysis</t>
  </si>
  <si>
    <t>Print DCF Valuation</t>
  </si>
  <si>
    <t>Print Chg. in W/C Analysis</t>
  </si>
  <si>
    <t>Print FASB Cash Flow</t>
  </si>
  <si>
    <t>Unused</t>
  </si>
  <si>
    <t>Input.Statements.Box</t>
  </si>
  <si>
    <t>PRINT INPUT ....</t>
  </si>
  <si>
    <t>Operating Assumptions</t>
  </si>
  <si>
    <t>Debt Repayment Assumptions</t>
  </si>
  <si>
    <t>Interest Rate Assumptions</t>
  </si>
  <si>
    <t>Working Capital Assumptions</t>
  </si>
  <si>
    <t>Borrowing Base Assumptions</t>
  </si>
  <si>
    <t>Tax Assumptions</t>
  </si>
  <si>
    <t>Oil/Gas Reserves Assumptions</t>
  </si>
  <si>
    <t>PP</t>
  </si>
  <si>
    <t>Non.PPPC</t>
  </si>
  <si>
    <t>Deplete</t>
  </si>
  <si>
    <t>Hedge</t>
  </si>
  <si>
    <t>Tail</t>
  </si>
  <si>
    <t>Oil.Gas.Box</t>
  </si>
  <si>
    <t>y</t>
  </si>
  <si>
    <t>w</t>
  </si>
  <si>
    <t>h</t>
  </si>
  <si>
    <t>OIL &amp; GAS RESERVES....</t>
  </si>
  <si>
    <t>Production Payment Assumptions</t>
  </si>
  <si>
    <t>PP Prices and Volumes</t>
  </si>
  <si>
    <t>VPP Market Price Curves</t>
  </si>
  <si>
    <t>Reserves Assumptions</t>
  </si>
  <si>
    <t>Hedging Profit/(Losses)</t>
  </si>
  <si>
    <t>Oil/Gas Income Projections</t>
  </si>
  <si>
    <t>Tail Assumptions</t>
  </si>
  <si>
    <t>Gas/Oil</t>
  </si>
  <si>
    <t>Mmbtu/Bbl</t>
  </si>
  <si>
    <t>Bbtu/Mbbl</t>
  </si>
  <si>
    <t>Tbtu/MMbbl</t>
  </si>
  <si>
    <t>Select Units:</t>
  </si>
  <si>
    <t>Analyses.Input.Box</t>
  </si>
  <si>
    <t>ANALYSES ....</t>
  </si>
  <si>
    <t>&amp;Returns Analysis</t>
  </si>
  <si>
    <t>DCF &amp;Valuation</t>
  </si>
  <si>
    <t>&amp;FASB Analysis</t>
  </si>
  <si>
    <t>&amp;Overview</t>
  </si>
  <si>
    <t>Sensitivity3.Select</t>
  </si>
  <si>
    <t>Term.Loan3</t>
  </si>
  <si>
    <t>Sr.Sub3</t>
  </si>
  <si>
    <t>Jr.Sub3</t>
  </si>
  <si>
    <t>Preferred3</t>
  </si>
  <si>
    <t>Common3</t>
  </si>
  <si>
    <t>copies name of debt category chosen to cell g889 (title)</t>
  </si>
  <si>
    <t>copies the allocation % to cell e892 (left column title)</t>
  </si>
  <si>
    <t xml:space="preserve">range value it </t>
  </si>
  <si>
    <t>"   "</t>
  </si>
  <si>
    <t>copies the base multiple to the row header</t>
  </si>
  <si>
    <t>calc</t>
  </si>
  <si>
    <t>copies the irr formula in the equity allocation section to cell e891</t>
  </si>
  <si>
    <t>makes a table using the formula</t>
  </si>
  <si>
    <t>copies it</t>
  </si>
  <si>
    <t>Sensitivity3.Select.Box</t>
  </si>
  <si>
    <t>SENSITIVITIES</t>
  </si>
  <si>
    <t>&amp;Term Loan</t>
  </si>
  <si>
    <t>&amp;Sr Sub Notes</t>
  </si>
  <si>
    <t>&amp;Jr Sub Notes</t>
  </si>
  <si>
    <t>&amp;Preferred Stock</t>
  </si>
  <si>
    <t>&amp;Common Stock</t>
  </si>
  <si>
    <t>Sensitivity5.Select</t>
  </si>
  <si>
    <t>Term.Loan5</t>
  </si>
  <si>
    <t>Sr.Sub5</t>
  </si>
  <si>
    <t>Jr.Sub5</t>
  </si>
  <si>
    <t>Preferred5</t>
  </si>
  <si>
    <t>Common5</t>
  </si>
  <si>
    <t>Sensitivity5.Select.Box</t>
  </si>
  <si>
    <t>Go.By for RUN TABLE</t>
  </si>
  <si>
    <t>Information for Risk Factors</t>
  </si>
  <si>
    <t>BASE</t>
  </si>
  <si>
    <t>$/BOE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</si>
</sst>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h:mm\ AM/PM_)"/>
    <numFmt numFmtId="165" formatCode="mm/dd/yy_)"/>
    <numFmt numFmtId="166" formatCode="General_)"/>
    <numFmt numFmtId="167" formatCode="0_)"/>
    <numFmt numFmtId="168" formatCode="dd\-mmm_)"/>
    <numFmt numFmtId="169" formatCode="0.0_)"/>
    <numFmt numFmtId="170" formatCode="0.00_)"/>
    <numFmt numFmtId="171" formatCode="0.0%"/>
    <numFmt numFmtId="172" formatCode="#,##0.0_);\(#,##0.0\)"/>
    <numFmt numFmtId="173" formatCode=";;;"/>
    <numFmt numFmtId="174" formatCode="0.000%"/>
    <numFmt numFmtId="176" formatCode="#,##0.000_);\(#,##0.000\)"/>
    <numFmt numFmtId="178" formatCode="#,##0.00000_);\(#,##0.00000\)"/>
    <numFmt numFmtId="179" formatCode="#,##0.000000_);\(#,##0.000000\)"/>
    <numFmt numFmtId="181" formatCode="#,##0.000_);[Red]\(#,##0.000\)"/>
    <numFmt numFmtId="190" formatCode="0.000"/>
    <numFmt numFmtId="191" formatCode="0.0000"/>
    <numFmt numFmtId="196" formatCode="mmm\-dd"/>
    <numFmt numFmtId="197" formatCode="&quot;$&quot;#,##0.000_);[Red]\(&quot;$&quot;#,##0.000\)"/>
  </numFmts>
  <fonts count="50">
    <font>
      <sz val="8"/>
      <name val="Arial"/>
    </font>
    <font>
      <b/>
      <sz val="10"/>
      <name val="Arial"/>
    </font>
    <font>
      <sz val="10"/>
      <name val="Arial"/>
    </font>
    <font>
      <sz val="8"/>
      <name val="Arial"/>
    </font>
    <font>
      <sz val="8"/>
      <name val="Arial"/>
    </font>
    <font>
      <sz val="7"/>
      <name val="Arial"/>
    </font>
    <font>
      <b/>
      <sz val="8"/>
      <name val="Arial"/>
    </font>
    <font>
      <sz val="8"/>
      <color indexed="12"/>
      <name val="Arial"/>
    </font>
    <font>
      <i/>
      <sz val="8"/>
      <name val="Arial"/>
    </font>
    <font>
      <b/>
      <i/>
      <sz val="8"/>
      <name val="Arial"/>
    </font>
    <font>
      <sz val="8"/>
      <color indexed="8"/>
      <name val="Arial"/>
    </font>
    <font>
      <sz val="8"/>
      <name val="Arial MT"/>
    </font>
    <font>
      <sz val="8"/>
      <color indexed="16"/>
      <name val="Arial"/>
    </font>
    <font>
      <sz val="8"/>
      <color indexed="9"/>
      <name val="Arial"/>
    </font>
    <font>
      <sz val="10"/>
      <color indexed="14"/>
      <name val="Arial"/>
    </font>
    <font>
      <sz val="8"/>
      <color indexed="12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7.5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b/>
      <sz val="7"/>
      <name val="Arial"/>
    </font>
    <font>
      <sz val="8"/>
      <color indexed="8"/>
      <name val="Arial MT"/>
    </font>
    <font>
      <i/>
      <sz val="7.5"/>
      <name val="Arial"/>
      <family val="2"/>
    </font>
    <font>
      <sz val="8"/>
      <color indexed="9"/>
      <name val="ARIEL"/>
    </font>
    <font>
      <sz val="10"/>
      <color indexed="8"/>
      <name val="Arial"/>
      <family val="2"/>
    </font>
    <font>
      <i/>
      <sz val="8"/>
      <name val="Arial"/>
    </font>
    <font>
      <b/>
      <sz val="8"/>
      <name val="Arial"/>
      <family val="2"/>
    </font>
    <font>
      <b/>
      <sz val="8"/>
      <color indexed="10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i/>
      <u/>
      <sz val="8"/>
      <name val="Arial"/>
      <family val="2"/>
    </font>
    <font>
      <sz val="8"/>
      <name val="Arial"/>
    </font>
    <font>
      <i/>
      <sz val="8"/>
      <name val="Arial"/>
      <family val="2"/>
    </font>
    <font>
      <i/>
      <sz val="8"/>
      <color indexed="10"/>
      <name val="Arial"/>
      <family val="2"/>
    </font>
    <font>
      <sz val="6"/>
      <name val="Arial"/>
      <family val="2"/>
    </font>
    <font>
      <u/>
      <sz val="7"/>
      <name val="Arial"/>
      <family val="2"/>
    </font>
    <font>
      <sz val="8"/>
      <name val="Tms Rmn"/>
    </font>
    <font>
      <sz val="10"/>
      <name val="Tms Rmn"/>
    </font>
    <font>
      <b/>
      <u/>
      <sz val="10"/>
      <name val="Arial"/>
      <family val="2"/>
    </font>
    <font>
      <b/>
      <u/>
      <sz val="8"/>
      <name val="Arial"/>
    </font>
    <font>
      <b/>
      <sz val="8"/>
      <color indexed="9"/>
      <name val="Arial"/>
    </font>
    <font>
      <i/>
      <u/>
      <sz val="8"/>
      <name val="Arial"/>
    </font>
    <font>
      <b/>
      <sz val="8"/>
      <color indexed="10"/>
      <name val="MS Sans Serif"/>
    </font>
    <font>
      <sz val="8"/>
      <name val="Tahoma"/>
      <family val="2"/>
    </font>
    <font>
      <sz val="8"/>
      <color indexed="81"/>
      <name val="Tahoma"/>
    </font>
    <font>
      <sz val="8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lightGray">
        <fgColor indexed="13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15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9"/>
      </patternFill>
    </fill>
  </fills>
  <borders count="8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8"/>
      </left>
      <right style="double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64"/>
      </top>
      <bottom style="double">
        <color indexed="8"/>
      </bottom>
      <diagonal/>
    </border>
    <border>
      <left style="double">
        <color indexed="64"/>
      </left>
      <right/>
      <top/>
      <bottom/>
      <diagonal/>
    </border>
    <border>
      <left style="double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64"/>
      </right>
      <top style="thin">
        <color indexed="8"/>
      </top>
      <bottom style="double">
        <color indexed="8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8"/>
      </top>
      <bottom/>
      <diagonal/>
    </border>
    <border>
      <left/>
      <right style="double">
        <color indexed="64"/>
      </right>
      <top style="thin">
        <color indexed="8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double">
        <color indexed="64"/>
      </right>
      <top style="thin">
        <color indexed="8"/>
      </top>
      <bottom style="double">
        <color indexed="64"/>
      </bottom>
      <diagonal/>
    </border>
    <border>
      <left style="double">
        <color indexed="8"/>
      </left>
      <right style="double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double">
        <color indexed="8"/>
      </bottom>
      <diagonal/>
    </border>
    <border>
      <left style="thin">
        <color indexed="64"/>
      </left>
      <right/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29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8"/>
      </bottom>
      <diagonal/>
    </border>
    <border>
      <left style="double">
        <color indexed="8"/>
      </left>
      <right style="double">
        <color indexed="64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64"/>
      </bottom>
      <diagonal/>
    </border>
    <border>
      <left/>
      <right/>
      <top/>
      <bottom style="medium">
        <color indexed="1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thick">
        <color indexed="29"/>
      </bottom>
      <diagonal/>
    </border>
  </borders>
  <cellStyleXfs count="8">
    <xf numFmtId="37" fontId="0" fillId="0" borderId="0" applyBorder="0" applyAlignment="0" applyProtection="0">
      <alignment horizontal="center"/>
    </xf>
    <xf numFmtId="40" fontId="2" fillId="2" borderId="0" applyFont="0" applyFill="0" applyBorder="0" applyAlignment="0" applyProtection="0"/>
    <xf numFmtId="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37" fontId="19" fillId="3" borderId="0" applyNumberFormat="0" applyBorder="0" applyAlignment="0" applyProtection="0"/>
    <xf numFmtId="37" fontId="4" fillId="0" borderId="0"/>
    <xf numFmtId="37" fontId="19" fillId="3" borderId="0" applyBorder="0" applyAlignment="0" applyProtection="0"/>
    <xf numFmtId="3" fontId="15" fillId="0" borderId="1" applyProtection="0"/>
  </cellStyleXfs>
  <cellXfs count="785">
    <xf numFmtId="37" fontId="0" fillId="0" borderId="0" xfId="0" applyAlignment="1"/>
    <xf numFmtId="166" fontId="4" fillId="0" borderId="0" xfId="0" applyNumberFormat="1" applyFont="1" applyAlignment="1" applyProtection="1"/>
    <xf numFmtId="37" fontId="0" fillId="0" borderId="0" xfId="0" applyAlignment="1" applyProtection="1"/>
    <xf numFmtId="37" fontId="30" fillId="0" borderId="0" xfId="0" applyFont="1" applyAlignment="1"/>
    <xf numFmtId="14" fontId="19" fillId="3" borderId="0" xfId="0" applyNumberFormat="1" applyFont="1" applyFill="1" applyBorder="1" applyAlignment="1">
      <alignment horizontal="center"/>
    </xf>
    <xf numFmtId="37" fontId="4" fillId="0" borderId="0" xfId="0" applyFont="1" applyAlignment="1"/>
    <xf numFmtId="37" fontId="0" fillId="0" borderId="0" xfId="0" applyAlignment="1">
      <alignment horizontal="right"/>
    </xf>
    <xf numFmtId="176" fontId="4" fillId="0" borderId="0" xfId="0" applyNumberFormat="1" applyFont="1" applyAlignment="1">
      <alignment horizontal="left"/>
    </xf>
    <xf numFmtId="167" fontId="4" fillId="4" borderId="2" xfId="0" applyNumberFormat="1" applyFont="1" applyFill="1" applyBorder="1" applyAlignment="1" applyProtection="1">
      <alignment horizontal="center"/>
    </xf>
    <xf numFmtId="167" fontId="4" fillId="5" borderId="2" xfId="0" applyNumberFormat="1" applyFont="1" applyFill="1" applyBorder="1" applyAlignment="1" applyProtection="1">
      <alignment horizontal="center"/>
    </xf>
    <xf numFmtId="37" fontId="5" fillId="0" borderId="0" xfId="0" applyFont="1" applyAlignment="1"/>
    <xf numFmtId="37" fontId="4" fillId="5" borderId="2" xfId="0" applyFont="1" applyFill="1" applyBorder="1" applyAlignment="1">
      <alignment horizontal="center"/>
    </xf>
    <xf numFmtId="167" fontId="4" fillId="4" borderId="3" xfId="0" applyNumberFormat="1" applyFont="1" applyFill="1" applyBorder="1" applyAlignment="1" applyProtection="1">
      <alignment horizontal="center"/>
    </xf>
    <xf numFmtId="167" fontId="4" fillId="4" borderId="4" xfId="0" applyNumberFormat="1" applyFont="1" applyFill="1" applyBorder="1" applyAlignment="1" applyProtection="1">
      <alignment horizontal="center"/>
    </xf>
    <xf numFmtId="167" fontId="4" fillId="5" borderId="4" xfId="0" applyNumberFormat="1" applyFont="1" applyFill="1" applyBorder="1" applyAlignment="1" applyProtection="1">
      <alignment horizontal="center"/>
    </xf>
    <xf numFmtId="37" fontId="6" fillId="0" borderId="0" xfId="0" applyFont="1" applyAlignment="1"/>
    <xf numFmtId="37" fontId="7" fillId="0" borderId="0" xfId="0" applyFont="1" applyAlignment="1" applyProtection="1">
      <protection locked="0"/>
    </xf>
    <xf numFmtId="164" fontId="4" fillId="0" borderId="0" xfId="0" applyNumberFormat="1" applyFont="1" applyAlignment="1" applyProtection="1"/>
    <xf numFmtId="165" fontId="4" fillId="0" borderId="0" xfId="0" applyNumberFormat="1" applyFont="1" applyAlignment="1" applyProtection="1"/>
    <xf numFmtId="37" fontId="6" fillId="0" borderId="0" xfId="0" applyFont="1" applyAlignment="1">
      <alignment horizontal="left"/>
    </xf>
    <xf numFmtId="37" fontId="4" fillId="0" borderId="0" xfId="0" quotePrefix="1" applyFont="1" applyAlignment="1">
      <alignment horizontal="right"/>
    </xf>
    <xf numFmtId="37" fontId="0" fillId="0" borderId="0" xfId="0" applyFont="1" applyAlignment="1">
      <alignment horizontal="center"/>
    </xf>
    <xf numFmtId="167" fontId="4" fillId="0" borderId="0" xfId="0" applyNumberFormat="1" applyFont="1" applyAlignment="1" applyProtection="1"/>
    <xf numFmtId="37" fontId="1" fillId="0" borderId="0" xfId="0" applyFont="1" applyBorder="1" applyAlignment="1"/>
    <xf numFmtId="37" fontId="6" fillId="0" borderId="0" xfId="0" applyFont="1" applyBorder="1" applyAlignment="1">
      <alignment horizontal="right"/>
    </xf>
    <xf numFmtId="14" fontId="4" fillId="0" borderId="0" xfId="0" applyNumberFormat="1" applyFont="1" applyBorder="1" applyAlignment="1">
      <alignment horizontal="right"/>
    </xf>
    <xf numFmtId="37" fontId="9" fillId="0" borderId="5" xfId="0" applyFont="1" applyBorder="1" applyAlignment="1">
      <alignment horizontal="centerContinuous"/>
    </xf>
    <xf numFmtId="37" fontId="4" fillId="0" borderId="6" xfId="0" applyFont="1" applyBorder="1" applyAlignment="1">
      <alignment horizontal="centerContinuous"/>
    </xf>
    <xf numFmtId="37" fontId="0" fillId="0" borderId="6" xfId="0" applyBorder="1" applyAlignment="1">
      <alignment horizontal="centerContinuous"/>
    </xf>
    <xf numFmtId="37" fontId="0" fillId="0" borderId="7" xfId="0" applyBorder="1" applyAlignment="1">
      <alignment horizontal="centerContinuous"/>
    </xf>
    <xf numFmtId="37" fontId="9" fillId="0" borderId="8" xfId="0" applyFont="1" applyBorder="1" applyAlignment="1">
      <alignment horizontal="left"/>
    </xf>
    <xf numFmtId="37" fontId="6" fillId="0" borderId="9" xfId="0" applyFont="1" applyBorder="1" applyAlignment="1"/>
    <xf numFmtId="37" fontId="6" fillId="0" borderId="8" xfId="0" applyFont="1" applyBorder="1" applyAlignment="1">
      <alignment horizontal="center"/>
    </xf>
    <xf numFmtId="37" fontId="6" fillId="0" borderId="9" xfId="0" applyFont="1" applyBorder="1" applyAlignment="1">
      <alignment horizontal="center"/>
    </xf>
    <xf numFmtId="37" fontId="6" fillId="0" borderId="10" xfId="0" applyFont="1" applyBorder="1" applyAlignment="1">
      <alignment horizontal="center"/>
    </xf>
    <xf numFmtId="37" fontId="6" fillId="0" borderId="11" xfId="0" applyFont="1" applyBorder="1" applyAlignment="1">
      <alignment horizontal="center"/>
    </xf>
    <xf numFmtId="37" fontId="8" fillId="0" borderId="8" xfId="0" applyFont="1" applyBorder="1" applyAlignment="1">
      <alignment horizontal="centerContinuous"/>
    </xf>
    <xf numFmtId="37" fontId="0" fillId="0" borderId="0" xfId="0" applyAlignment="1">
      <alignment horizontal="centerContinuous"/>
    </xf>
    <xf numFmtId="37" fontId="4" fillId="0" borderId="9" xfId="0" applyFont="1" applyBorder="1" applyAlignment="1">
      <alignment horizontal="centerContinuous"/>
    </xf>
    <xf numFmtId="37" fontId="8" fillId="0" borderId="10" xfId="0" applyFont="1" applyBorder="1" applyAlignment="1">
      <alignment horizontal="center"/>
    </xf>
    <xf numFmtId="37" fontId="4" fillId="0" borderId="10" xfId="0" applyFont="1" applyBorder="1" applyAlignment="1">
      <alignment horizontal="centerContinuous"/>
    </xf>
    <xf numFmtId="37" fontId="6" fillId="0" borderId="12" xfId="0" applyFont="1" applyBorder="1" applyAlignment="1"/>
    <xf numFmtId="37" fontId="6" fillId="0" borderId="13" xfId="0" applyFont="1" applyBorder="1" applyAlignment="1"/>
    <xf numFmtId="165" fontId="6" fillId="0" borderId="12" xfId="0" applyNumberFormat="1" applyFont="1" applyBorder="1" applyAlignment="1" applyProtection="1">
      <alignment horizontal="center"/>
    </xf>
    <xf numFmtId="37" fontId="6" fillId="0" borderId="13" xfId="0" applyFont="1" applyBorder="1" applyAlignment="1">
      <alignment horizontal="center"/>
    </xf>
    <xf numFmtId="165" fontId="6" fillId="0" borderId="14" xfId="0" applyNumberFormat="1" applyFont="1" applyBorder="1" applyAlignment="1" applyProtection="1">
      <alignment horizontal="center"/>
    </xf>
    <xf numFmtId="37" fontId="4" fillId="0" borderId="15" xfId="0" applyFont="1" applyBorder="1" applyAlignment="1"/>
    <xf numFmtId="171" fontId="4" fillId="0" borderId="16" xfId="0" applyNumberFormat="1" applyFont="1" applyBorder="1" applyAlignment="1" applyProtection="1"/>
    <xf numFmtId="37" fontId="4" fillId="0" borderId="0" xfId="0" applyFont="1" applyBorder="1" applyAlignment="1">
      <alignment horizontal="right"/>
    </xf>
    <xf numFmtId="37" fontId="4" fillId="0" borderId="16" xfId="0" applyFont="1" applyBorder="1" applyAlignment="1"/>
    <xf numFmtId="37" fontId="4" fillId="0" borderId="17" xfId="0" applyFont="1" applyBorder="1" applyAlignment="1"/>
    <xf numFmtId="10" fontId="4" fillId="0" borderId="18" xfId="0" applyNumberFormat="1" applyFont="1" applyBorder="1" applyAlignment="1" applyProtection="1"/>
    <xf numFmtId="37" fontId="4" fillId="0" borderId="15" xfId="0" applyFont="1" applyBorder="1" applyAlignment="1">
      <alignment horizontal="right"/>
    </xf>
    <xf numFmtId="171" fontId="4" fillId="0" borderId="19" xfId="3" applyNumberFormat="1" applyFont="1" applyBorder="1" applyAlignment="1">
      <alignment horizontal="right"/>
    </xf>
    <xf numFmtId="171" fontId="4" fillId="0" borderId="0" xfId="0" applyNumberFormat="1" applyFont="1" applyAlignment="1"/>
    <xf numFmtId="10" fontId="4" fillId="0" borderId="0" xfId="0" applyNumberFormat="1" applyFont="1" applyAlignment="1" applyProtection="1"/>
    <xf numFmtId="37" fontId="4" fillId="0" borderId="15" xfId="0" applyFont="1" applyBorder="1" applyAlignment="1" applyProtection="1">
      <alignment horizontal="right"/>
    </xf>
    <xf numFmtId="10" fontId="4" fillId="0" borderId="20" xfId="0" applyNumberFormat="1" applyFont="1" applyBorder="1" applyAlignment="1" applyProtection="1"/>
    <xf numFmtId="37" fontId="4" fillId="0" borderId="18" xfId="0" applyFont="1" applyBorder="1" applyAlignment="1"/>
    <xf numFmtId="9" fontId="4" fillId="0" borderId="0" xfId="0" applyNumberFormat="1" applyFont="1" applyAlignment="1"/>
    <xf numFmtId="37" fontId="4" fillId="0" borderId="13" xfId="0" applyFont="1" applyBorder="1" applyAlignment="1"/>
    <xf numFmtId="37" fontId="4" fillId="0" borderId="21" xfId="0" applyFont="1" applyBorder="1" applyAlignment="1"/>
    <xf numFmtId="37" fontId="4" fillId="0" borderId="22" xfId="0" applyFont="1" applyBorder="1" applyAlignment="1"/>
    <xf numFmtId="10" fontId="4" fillId="0" borderId="23" xfId="0" applyNumberFormat="1" applyFont="1" applyBorder="1" applyAlignment="1" applyProtection="1"/>
    <xf numFmtId="171" fontId="4" fillId="0" borderId="16" xfId="0" applyNumberFormat="1" applyFont="1" applyBorder="1" applyAlignment="1"/>
    <xf numFmtId="37" fontId="0" fillId="0" borderId="24" xfId="0" applyBorder="1" applyAlignment="1"/>
    <xf numFmtId="37" fontId="0" fillId="0" borderId="19" xfId="0" applyBorder="1" applyAlignment="1"/>
    <xf numFmtId="37" fontId="8" fillId="0" borderId="25" xfId="0" applyFont="1" applyBorder="1" applyAlignment="1"/>
    <xf numFmtId="37" fontId="5" fillId="0" borderId="0" xfId="0" applyFont="1" applyAlignment="1">
      <alignment vertical="top"/>
    </xf>
    <xf numFmtId="37" fontId="4" fillId="0" borderId="0" xfId="0" applyFont="1" applyBorder="1" applyAlignment="1"/>
    <xf numFmtId="37" fontId="8" fillId="0" borderId="0" xfId="0" applyFont="1" applyAlignment="1">
      <alignment horizontal="left"/>
    </xf>
    <xf numFmtId="37" fontId="4" fillId="0" borderId="0" xfId="0" applyFont="1" applyAlignment="1">
      <alignment horizontal="right"/>
    </xf>
    <xf numFmtId="168" fontId="4" fillId="0" borderId="0" xfId="0" applyNumberFormat="1" applyFont="1" applyAlignment="1" applyProtection="1">
      <alignment horizontal="left"/>
    </xf>
    <xf numFmtId="167" fontId="4" fillId="0" borderId="3" xfId="0" applyNumberFormat="1" applyFont="1" applyBorder="1" applyAlignment="1" applyProtection="1">
      <alignment horizontal="center"/>
    </xf>
    <xf numFmtId="37" fontId="4" fillId="0" borderId="0" xfId="0" applyFont="1" applyAlignment="1">
      <alignment horizontal="left"/>
    </xf>
    <xf numFmtId="37" fontId="4" fillId="0" borderId="26" xfId="0" applyFont="1" applyBorder="1" applyAlignment="1"/>
    <xf numFmtId="10" fontId="4" fillId="0" borderId="0" xfId="0" applyNumberFormat="1" applyFont="1" applyAlignment="1" applyProtection="1">
      <alignment horizontal="right"/>
    </xf>
    <xf numFmtId="37" fontId="8" fillId="0" borderId="0" xfId="0" applyFont="1" applyAlignment="1"/>
    <xf numFmtId="169" fontId="4" fillId="0" borderId="0" xfId="0" applyNumberFormat="1" applyFont="1" applyAlignment="1" applyProtection="1">
      <alignment horizontal="right"/>
    </xf>
    <xf numFmtId="37" fontId="0" fillId="0" borderId="0" xfId="0" applyNumberFormat="1" applyAlignment="1"/>
    <xf numFmtId="37" fontId="0" fillId="0" borderId="0" xfId="0" applyNumberFormat="1" applyBorder="1" applyAlignment="1"/>
    <xf numFmtId="170" fontId="4" fillId="0" borderId="0" xfId="0" applyNumberFormat="1" applyFont="1" applyAlignment="1" applyProtection="1">
      <alignment horizontal="right"/>
    </xf>
    <xf numFmtId="170" fontId="4" fillId="0" borderId="0" xfId="0" applyNumberFormat="1" applyFont="1" applyBorder="1" applyAlignment="1" applyProtection="1">
      <alignment horizontal="right"/>
    </xf>
    <xf numFmtId="37" fontId="4" fillId="0" borderId="0" xfId="0" quotePrefix="1" applyFont="1" applyAlignment="1">
      <alignment horizontal="left"/>
    </xf>
    <xf numFmtId="10" fontId="10" fillId="0" borderId="0" xfId="0" applyNumberFormat="1" applyFont="1" applyAlignment="1" applyProtection="1">
      <alignment horizontal="right"/>
    </xf>
    <xf numFmtId="37" fontId="0" fillId="0" borderId="0" xfId="0" applyFont="1" applyAlignment="1"/>
    <xf numFmtId="167" fontId="4" fillId="0" borderId="1" xfId="0" applyNumberFormat="1" applyFont="1" applyFill="1" applyBorder="1" applyAlignment="1" applyProtection="1">
      <alignment horizontal="center"/>
    </xf>
    <xf numFmtId="167" fontId="4" fillId="0" borderId="27" xfId="0" applyNumberFormat="1" applyFont="1" applyFill="1" applyBorder="1" applyAlignment="1" applyProtection="1">
      <alignment horizontal="center"/>
    </xf>
    <xf numFmtId="37" fontId="0" fillId="0" borderId="28" xfId="0" applyBorder="1" applyAlignment="1"/>
    <xf numFmtId="37" fontId="7" fillId="0" borderId="0" xfId="0" applyNumberFormat="1" applyFont="1" applyAlignment="1" applyProtection="1">
      <protection locked="0"/>
    </xf>
    <xf numFmtId="37" fontId="4" fillId="0" borderId="0" xfId="0" applyNumberFormat="1" applyFont="1" applyAlignment="1" applyProtection="1"/>
    <xf numFmtId="37" fontId="4" fillId="0" borderId="28" xfId="0" applyNumberFormat="1" applyFont="1" applyBorder="1" applyAlignment="1" applyProtection="1"/>
    <xf numFmtId="37" fontId="4" fillId="0" borderId="17" xfId="0" applyNumberFormat="1" applyFont="1" applyBorder="1" applyAlignment="1" applyProtection="1"/>
    <xf numFmtId="37" fontId="4" fillId="0" borderId="29" xfId="0" applyNumberFormat="1" applyFont="1" applyBorder="1" applyAlignment="1" applyProtection="1"/>
    <xf numFmtId="37" fontId="4" fillId="0" borderId="30" xfId="0" applyNumberFormat="1" applyFont="1" applyBorder="1" applyAlignment="1" applyProtection="1"/>
    <xf numFmtId="37" fontId="4" fillId="0" borderId="30" xfId="0" applyFont="1" applyBorder="1" applyAlignment="1"/>
    <xf numFmtId="37" fontId="4" fillId="0" borderId="31" xfId="0" applyNumberFormat="1" applyFont="1" applyBorder="1" applyAlignment="1" applyProtection="1"/>
    <xf numFmtId="37" fontId="4" fillId="0" borderId="31" xfId="0" applyFont="1" applyBorder="1" applyAlignment="1"/>
    <xf numFmtId="37" fontId="7" fillId="0" borderId="30" xfId="0" applyNumberFormat="1" applyFont="1" applyBorder="1" applyAlignment="1" applyProtection="1">
      <protection locked="0"/>
    </xf>
    <xf numFmtId="37" fontId="4" fillId="0" borderId="28" xfId="0" applyFont="1" applyBorder="1" applyAlignment="1"/>
    <xf numFmtId="37" fontId="4" fillId="0" borderId="29" xfId="0" applyFont="1" applyBorder="1" applyAlignment="1"/>
    <xf numFmtId="37" fontId="4" fillId="0" borderId="21" xfId="0" applyNumberFormat="1" applyFont="1" applyBorder="1" applyAlignment="1" applyProtection="1"/>
    <xf numFmtId="37" fontId="4" fillId="0" borderId="32" xfId="0" applyNumberFormat="1" applyFont="1" applyBorder="1" applyAlignment="1" applyProtection="1"/>
    <xf numFmtId="37" fontId="4" fillId="0" borderId="32" xfId="0" applyFont="1" applyBorder="1" applyAlignment="1"/>
    <xf numFmtId="167" fontId="4" fillId="0" borderId="3" xfId="0" applyNumberFormat="1" applyFont="1" applyBorder="1" applyAlignment="1" applyProtection="1"/>
    <xf numFmtId="171" fontId="4" fillId="0" borderId="0" xfId="0" applyNumberFormat="1" applyFont="1" applyAlignment="1" applyProtection="1">
      <alignment horizontal="right"/>
    </xf>
    <xf numFmtId="171" fontId="4" fillId="0" borderId="28" xfId="0" applyNumberFormat="1" applyFont="1" applyBorder="1" applyAlignment="1" applyProtection="1">
      <alignment horizontal="right"/>
    </xf>
    <xf numFmtId="171" fontId="4" fillId="0" borderId="17" xfId="0" applyNumberFormat="1" applyFont="1" applyBorder="1" applyAlignment="1" applyProtection="1">
      <alignment horizontal="right"/>
    </xf>
    <xf numFmtId="171" fontId="4" fillId="0" borderId="29" xfId="0" applyNumberFormat="1" applyFont="1" applyBorder="1" applyAlignment="1" applyProtection="1">
      <alignment horizontal="right"/>
    </xf>
    <xf numFmtId="171" fontId="4" fillId="0" borderId="21" xfId="0" applyNumberFormat="1" applyFont="1" applyBorder="1" applyAlignment="1" applyProtection="1">
      <alignment horizontal="right"/>
    </xf>
    <xf numFmtId="171" fontId="4" fillId="0" borderId="33" xfId="0" applyNumberFormat="1" applyFont="1" applyBorder="1" applyAlignment="1" applyProtection="1">
      <alignment horizontal="right"/>
    </xf>
    <xf numFmtId="171" fontId="4" fillId="0" borderId="0" xfId="0" applyNumberFormat="1" applyFont="1" applyAlignment="1" applyProtection="1"/>
    <xf numFmtId="14" fontId="4" fillId="0" borderId="1" xfId="0" applyNumberFormat="1" applyFont="1" applyFill="1" applyBorder="1" applyAlignment="1" applyProtection="1">
      <alignment horizontal="center"/>
    </xf>
    <xf numFmtId="172" fontId="4" fillId="0" borderId="0" xfId="0" applyNumberFormat="1" applyFont="1" applyAlignment="1" applyProtection="1"/>
    <xf numFmtId="37" fontId="3" fillId="0" borderId="0" xfId="0" applyFont="1" applyAlignment="1"/>
    <xf numFmtId="37" fontId="4" fillId="0" borderId="0" xfId="0" applyNumberFormat="1" applyFont="1" applyBorder="1" applyAlignment="1" applyProtection="1"/>
    <xf numFmtId="37" fontId="4" fillId="0" borderId="28" xfId="0" applyNumberFormat="1" applyFont="1" applyBorder="1" applyAlignment="1" applyProtection="1">
      <alignment horizontal="right"/>
    </xf>
    <xf numFmtId="10" fontId="4" fillId="0" borderId="0" xfId="3" applyNumberFormat="1" applyFont="1"/>
    <xf numFmtId="37" fontId="4" fillId="0" borderId="3" xfId="0" applyFont="1" applyBorder="1" applyAlignment="1">
      <alignment horizontal="center"/>
    </xf>
    <xf numFmtId="37" fontId="0" fillId="0" borderId="34" xfId="0" applyBorder="1" applyAlignment="1">
      <alignment horizontal="centerContinuous"/>
    </xf>
    <xf numFmtId="37" fontId="0" fillId="0" borderId="35" xfId="0" applyBorder="1" applyAlignment="1">
      <alignment horizontal="centerContinuous"/>
    </xf>
    <xf numFmtId="37" fontId="0" fillId="0" borderId="36" xfId="0" applyBorder="1" applyAlignment="1">
      <alignment horizontal="centerContinuous"/>
    </xf>
    <xf numFmtId="37" fontId="0" fillId="0" borderId="37" xfId="0" applyBorder="1" applyAlignment="1">
      <alignment horizontal="centerContinuous"/>
    </xf>
    <xf numFmtId="37" fontId="10" fillId="0" borderId="0" xfId="0" applyNumberFormat="1" applyFont="1" applyAlignment="1" applyProtection="1">
      <protection locked="0"/>
    </xf>
    <xf numFmtId="37" fontId="10" fillId="0" borderId="0" xfId="0" applyNumberFormat="1" applyFont="1" applyAlignment="1" applyProtection="1"/>
    <xf numFmtId="37" fontId="4" fillId="0" borderId="8" xfId="0" applyNumberFormat="1" applyFont="1" applyBorder="1" applyAlignment="1" applyProtection="1">
      <alignment horizontal="centerContinuous"/>
    </xf>
    <xf numFmtId="37" fontId="4" fillId="0" borderId="10" xfId="0" applyNumberFormat="1" applyFont="1" applyBorder="1" applyAlignment="1" applyProtection="1">
      <alignment horizontal="centerContinuous"/>
    </xf>
    <xf numFmtId="37" fontId="4" fillId="0" borderId="12" xfId="0" applyNumberFormat="1" applyFont="1" applyBorder="1" applyAlignment="1" applyProtection="1">
      <alignment horizontal="centerContinuous"/>
    </xf>
    <xf numFmtId="37" fontId="4" fillId="0" borderId="14" xfId="0" applyNumberFormat="1" applyFont="1" applyBorder="1" applyAlignment="1" applyProtection="1">
      <alignment horizontal="centerContinuous"/>
    </xf>
    <xf numFmtId="37" fontId="4" fillId="0" borderId="0" xfId="0" applyFont="1" applyAlignment="1">
      <alignment horizontal="center"/>
    </xf>
    <xf numFmtId="10" fontId="4" fillId="0" borderId="38" xfId="0" applyNumberFormat="1" applyFont="1" applyBorder="1" applyAlignment="1" applyProtection="1"/>
    <xf numFmtId="37" fontId="7" fillId="0" borderId="0" xfId="0" applyFont="1" applyAlignment="1"/>
    <xf numFmtId="10" fontId="4" fillId="0" borderId="39" xfId="0" applyNumberFormat="1" applyFont="1" applyBorder="1" applyAlignment="1" applyProtection="1"/>
    <xf numFmtId="10" fontId="4" fillId="0" borderId="40" xfId="0" applyNumberFormat="1" applyFont="1" applyBorder="1" applyAlignment="1" applyProtection="1"/>
    <xf numFmtId="37" fontId="4" fillId="0" borderId="41" xfId="0" applyFont="1" applyBorder="1" applyAlignment="1"/>
    <xf numFmtId="37" fontId="11" fillId="0" borderId="0" xfId="0" applyFont="1" applyAlignment="1"/>
    <xf numFmtId="37" fontId="8" fillId="0" borderId="0" xfId="0" applyFont="1" applyAlignment="1">
      <alignment horizontal="right"/>
    </xf>
    <xf numFmtId="37" fontId="0" fillId="0" borderId="2" xfId="0" applyFont="1" applyBorder="1" applyAlignment="1">
      <alignment horizontal="center"/>
    </xf>
    <xf numFmtId="37" fontId="0" fillId="6" borderId="2" xfId="0" applyFont="1" applyFill="1" applyBorder="1" applyAlignment="1">
      <alignment horizontal="center"/>
    </xf>
    <xf numFmtId="168" fontId="4" fillId="0" borderId="0" xfId="0" applyNumberFormat="1" applyFont="1" applyAlignment="1" applyProtection="1"/>
    <xf numFmtId="167" fontId="4" fillId="6" borderId="3" xfId="0" applyNumberFormat="1" applyFont="1" applyFill="1" applyBorder="1" applyAlignment="1" applyProtection="1">
      <alignment horizontal="center"/>
    </xf>
    <xf numFmtId="167" fontId="4" fillId="0" borderId="0" xfId="0" applyNumberFormat="1" applyFont="1" applyAlignment="1" applyProtection="1">
      <alignment horizontal="center"/>
    </xf>
    <xf numFmtId="37" fontId="10" fillId="0" borderId="38" xfId="0" applyNumberFormat="1" applyFont="1" applyBorder="1" applyAlignment="1" applyProtection="1"/>
    <xf numFmtId="10" fontId="7" fillId="0" borderId="0" xfId="0" applyNumberFormat="1" applyFont="1" applyAlignment="1" applyProtection="1">
      <protection locked="0"/>
    </xf>
    <xf numFmtId="167" fontId="7" fillId="0" borderId="0" xfId="0" applyNumberFormat="1" applyFont="1" applyAlignment="1" applyProtection="1">
      <protection locked="0"/>
    </xf>
    <xf numFmtId="37" fontId="4" fillId="0" borderId="0" xfId="0" applyFont="1" applyAlignment="1" applyProtection="1">
      <protection locked="0"/>
    </xf>
    <xf numFmtId="167" fontId="4" fillId="6" borderId="1" xfId="0" applyNumberFormat="1" applyFont="1" applyFill="1" applyBorder="1" applyAlignment="1" applyProtection="1">
      <alignment horizontal="center"/>
    </xf>
    <xf numFmtId="173" fontId="4" fillId="0" borderId="0" xfId="0" applyNumberFormat="1" applyFont="1" applyAlignment="1" applyProtection="1"/>
    <xf numFmtId="167" fontId="4" fillId="0" borderId="0" xfId="0" applyNumberFormat="1" applyFont="1" applyFill="1" applyAlignment="1" applyProtection="1">
      <alignment horizontal="center"/>
    </xf>
    <xf numFmtId="10" fontId="12" fillId="0" borderId="0" xfId="0" applyNumberFormat="1" applyFont="1" applyAlignment="1" applyProtection="1">
      <protection locked="0"/>
    </xf>
    <xf numFmtId="37" fontId="0" fillId="0" borderId="0" xfId="0" quotePrefix="1" applyAlignment="1"/>
    <xf numFmtId="37" fontId="4" fillId="0" borderId="0" xfId="0" applyFont="1" applyAlignment="1" applyProtection="1">
      <alignment horizontal="right"/>
      <protection locked="0"/>
    </xf>
    <xf numFmtId="173" fontId="7" fillId="0" borderId="0" xfId="0" applyNumberFormat="1" applyFont="1" applyAlignment="1" applyProtection="1">
      <protection locked="0"/>
    </xf>
    <xf numFmtId="167" fontId="4" fillId="0" borderId="11" xfId="0" applyNumberFormat="1" applyFont="1" applyBorder="1" applyAlignment="1" applyProtection="1">
      <alignment horizontal="center"/>
    </xf>
    <xf numFmtId="167" fontId="4" fillId="0" borderId="42" xfId="0" applyNumberFormat="1" applyFont="1" applyBorder="1" applyAlignment="1" applyProtection="1">
      <alignment horizontal="center"/>
    </xf>
    <xf numFmtId="167" fontId="4" fillId="0" borderId="2" xfId="0" applyNumberFormat="1" applyFont="1" applyFill="1" applyBorder="1" applyAlignment="1" applyProtection="1">
      <alignment horizontal="center"/>
    </xf>
    <xf numFmtId="167" fontId="4" fillId="6" borderId="2" xfId="0" applyNumberFormat="1" applyFont="1" applyFill="1" applyBorder="1" applyAlignment="1" applyProtection="1">
      <alignment horizontal="center"/>
    </xf>
    <xf numFmtId="167" fontId="4" fillId="6" borderId="35" xfId="0" applyNumberFormat="1" applyFont="1" applyFill="1" applyBorder="1" applyAlignment="1" applyProtection="1">
      <alignment horizontal="center"/>
    </xf>
    <xf numFmtId="37" fontId="4" fillId="0" borderId="43" xfId="0" applyFont="1" applyBorder="1" applyAlignment="1">
      <alignment horizontal="center"/>
    </xf>
    <xf numFmtId="37" fontId="4" fillId="0" borderId="4" xfId="0" applyFont="1" applyFill="1" applyBorder="1" applyAlignment="1">
      <alignment horizontal="center"/>
    </xf>
    <xf numFmtId="37" fontId="4" fillId="6" borderId="4" xfId="0" applyFont="1" applyFill="1" applyBorder="1" applyAlignment="1">
      <alignment horizontal="center"/>
    </xf>
    <xf numFmtId="37" fontId="4" fillId="6" borderId="37" xfId="0" applyFont="1" applyFill="1" applyBorder="1" applyAlignment="1">
      <alignment horizontal="center"/>
    </xf>
    <xf numFmtId="37" fontId="0" fillId="0" borderId="0" xfId="0" applyNumberFormat="1" applyFont="1" applyAlignment="1"/>
    <xf numFmtId="172" fontId="0" fillId="0" borderId="0" xfId="0" applyNumberFormat="1" applyFont="1" applyAlignment="1"/>
    <xf numFmtId="6" fontId="4" fillId="0" borderId="0" xfId="2" applyNumberFormat="1" applyFont="1"/>
    <xf numFmtId="7" fontId="4" fillId="0" borderId="0" xfId="0" applyNumberFormat="1" applyFont="1" applyAlignment="1" applyProtection="1">
      <protection locked="0"/>
    </xf>
    <xf numFmtId="167" fontId="4" fillId="0" borderId="3" xfId="0" applyNumberFormat="1" applyFont="1" applyFill="1" applyBorder="1" applyAlignment="1" applyProtection="1">
      <alignment horizontal="center"/>
    </xf>
    <xf numFmtId="167" fontId="4" fillId="0" borderId="0" xfId="0" applyNumberFormat="1" applyFont="1" applyBorder="1" applyAlignment="1" applyProtection="1">
      <alignment horizontal="center"/>
    </xf>
    <xf numFmtId="37" fontId="4" fillId="0" borderId="38" xfId="0" applyFont="1" applyBorder="1" applyAlignment="1"/>
    <xf numFmtId="37" fontId="0" fillId="0" borderId="0" xfId="0" applyFont="1" applyAlignment="1">
      <alignment horizontal="right"/>
    </xf>
    <xf numFmtId="37" fontId="4" fillId="0" borderId="2" xfId="0" applyFont="1" applyBorder="1" applyAlignment="1">
      <alignment horizontal="center"/>
    </xf>
    <xf numFmtId="37" fontId="4" fillId="0" borderId="34" xfId="0" applyFont="1" applyBorder="1" applyAlignment="1">
      <alignment horizontal="centerContinuous"/>
    </xf>
    <xf numFmtId="37" fontId="4" fillId="0" borderId="35" xfId="0" applyFont="1" applyBorder="1" applyAlignment="1">
      <alignment horizontal="centerContinuous"/>
    </xf>
    <xf numFmtId="37" fontId="4" fillId="0" borderId="1" xfId="0" applyFont="1" applyBorder="1" applyAlignment="1">
      <alignment horizontal="center"/>
    </xf>
    <xf numFmtId="37" fontId="4" fillId="0" borderId="4" xfId="0" applyFont="1" applyBorder="1" applyAlignment="1">
      <alignment horizontal="center"/>
    </xf>
    <xf numFmtId="37" fontId="4" fillId="0" borderId="36" xfId="0" applyFont="1" applyBorder="1" applyAlignment="1">
      <alignment horizontal="centerContinuous"/>
    </xf>
    <xf numFmtId="167" fontId="4" fillId="0" borderId="37" xfId="0" applyNumberFormat="1" applyFont="1" applyBorder="1" applyAlignment="1" applyProtection="1">
      <alignment horizontal="centerContinuous"/>
    </xf>
    <xf numFmtId="37" fontId="4" fillId="0" borderId="44" xfId="0" applyFont="1" applyBorder="1" applyAlignment="1"/>
    <xf numFmtId="37" fontId="4" fillId="0" borderId="33" xfId="0" applyFont="1" applyBorder="1" applyAlignment="1"/>
    <xf numFmtId="37" fontId="4" fillId="0" borderId="38" xfId="0" applyNumberFormat="1" applyFont="1" applyBorder="1" applyAlignment="1" applyProtection="1"/>
    <xf numFmtId="37" fontId="4" fillId="0" borderId="0" xfId="0" applyNumberFormat="1" applyFont="1" applyAlignment="1" applyProtection="1">
      <alignment horizontal="right"/>
    </xf>
    <xf numFmtId="37" fontId="13" fillId="0" borderId="0" xfId="0" applyNumberFormat="1" applyFont="1" applyBorder="1" applyAlignment="1" applyProtection="1"/>
    <xf numFmtId="37" fontId="4" fillId="0" borderId="33" xfId="0" applyNumberFormat="1" applyFont="1" applyBorder="1" applyAlignment="1" applyProtection="1"/>
    <xf numFmtId="37" fontId="11" fillId="0" borderId="28" xfId="0" applyFont="1" applyBorder="1" applyAlignment="1"/>
    <xf numFmtId="37" fontId="6" fillId="0" borderId="11" xfId="0" applyFont="1" applyFill="1" applyBorder="1" applyAlignment="1">
      <alignment horizontal="center"/>
    </xf>
    <xf numFmtId="37" fontId="6" fillId="0" borderId="43" xfId="0" applyFont="1" applyFill="1" applyBorder="1" applyAlignment="1">
      <alignment horizontal="center"/>
    </xf>
    <xf numFmtId="37" fontId="8" fillId="0" borderId="43" xfId="0" applyFont="1" applyFill="1" applyBorder="1" applyAlignment="1">
      <alignment horizontal="center"/>
    </xf>
    <xf numFmtId="10" fontId="4" fillId="0" borderId="44" xfId="0" applyNumberFormat="1" applyFont="1" applyFill="1" applyBorder="1" applyAlignment="1" applyProtection="1"/>
    <xf numFmtId="10" fontId="8" fillId="0" borderId="1" xfId="0" applyNumberFormat="1" applyFont="1" applyBorder="1" applyAlignment="1" applyProtection="1">
      <alignment horizontal="center"/>
    </xf>
    <xf numFmtId="171" fontId="4" fillId="0" borderId="0" xfId="3" applyNumberFormat="1" applyFont="1"/>
    <xf numFmtId="37" fontId="4" fillId="0" borderId="0" xfId="0" applyFont="1" applyBorder="1" applyAlignment="1">
      <alignment horizontal="left"/>
    </xf>
    <xf numFmtId="37" fontId="4" fillId="0" borderId="0" xfId="0" applyNumberFormat="1" applyFont="1" applyAlignment="1">
      <alignment horizontal="left"/>
    </xf>
    <xf numFmtId="37" fontId="4" fillId="0" borderId="0" xfId="0" applyNumberFormat="1" applyFont="1" applyAlignment="1">
      <alignment horizontal="right"/>
    </xf>
    <xf numFmtId="37" fontId="0" fillId="0" borderId="0" xfId="0" applyAlignment="1">
      <alignment horizontal="center"/>
    </xf>
    <xf numFmtId="8" fontId="0" fillId="0" borderId="0" xfId="0" applyNumberFormat="1" applyAlignment="1"/>
    <xf numFmtId="37" fontId="4" fillId="0" borderId="11" xfId="0" applyFont="1" applyFill="1" applyBorder="1" applyAlignment="1">
      <alignment horizontal="center"/>
    </xf>
    <xf numFmtId="37" fontId="4" fillId="0" borderId="43" xfId="0" applyFont="1" applyFill="1" applyBorder="1" applyAlignment="1">
      <alignment horizontal="center"/>
    </xf>
    <xf numFmtId="169" fontId="4" fillId="0" borderId="0" xfId="0" applyNumberFormat="1" applyFont="1" applyAlignment="1" applyProtection="1"/>
    <xf numFmtId="10" fontId="4" fillId="0" borderId="21" xfId="0" applyNumberFormat="1" applyFont="1" applyBorder="1" applyAlignment="1" applyProtection="1"/>
    <xf numFmtId="7" fontId="4" fillId="0" borderId="13" xfId="0" applyNumberFormat="1" applyFont="1" applyBorder="1" applyAlignment="1" applyProtection="1"/>
    <xf numFmtId="167" fontId="4" fillId="0" borderId="0" xfId="0" applyNumberFormat="1" applyFont="1" applyAlignment="1" applyProtection="1">
      <alignment horizontal="left"/>
    </xf>
    <xf numFmtId="37" fontId="0" fillId="0" borderId="45" xfId="0" applyBorder="1" applyAlignment="1"/>
    <xf numFmtId="37" fontId="0" fillId="0" borderId="46" xfId="0" applyBorder="1" applyAlignment="1"/>
    <xf numFmtId="37" fontId="0" fillId="0" borderId="47" xfId="0" applyBorder="1" applyAlignment="1"/>
    <xf numFmtId="37" fontId="0" fillId="0" borderId="48" xfId="0" applyBorder="1" applyAlignment="1"/>
    <xf numFmtId="37" fontId="0" fillId="0" borderId="38" xfId="0" applyBorder="1" applyAlignment="1"/>
    <xf numFmtId="37" fontId="0" fillId="0" borderId="49" xfId="0" applyBorder="1" applyAlignment="1"/>
    <xf numFmtId="37" fontId="0" fillId="0" borderId="26" xfId="0" applyBorder="1" applyAlignment="1"/>
    <xf numFmtId="37" fontId="0" fillId="0" borderId="0" xfId="0" applyBorder="1" applyAlignment="1"/>
    <xf numFmtId="37" fontId="2" fillId="0" borderId="0" xfId="0" applyFont="1" applyBorder="1" applyAlignment="1"/>
    <xf numFmtId="37" fontId="0" fillId="0" borderId="50" xfId="0" applyBorder="1" applyAlignment="1"/>
    <xf numFmtId="37" fontId="0" fillId="0" borderId="51" xfId="0" applyBorder="1" applyAlignment="1"/>
    <xf numFmtId="37" fontId="2" fillId="0" borderId="51" xfId="0" applyFont="1" applyFill="1" applyBorder="1" applyAlignment="1"/>
    <xf numFmtId="37" fontId="0" fillId="0" borderId="52" xfId="0" applyBorder="1" applyAlignment="1"/>
    <xf numFmtId="37" fontId="14" fillId="0" borderId="0" xfId="0" applyFont="1" applyAlignment="1"/>
    <xf numFmtId="14" fontId="4" fillId="0" borderId="0" xfId="0" applyNumberFormat="1" applyFont="1" applyAlignment="1"/>
    <xf numFmtId="167" fontId="4" fillId="7" borderId="1" xfId="0" applyNumberFormat="1" applyFont="1" applyFill="1" applyBorder="1" applyAlignment="1" applyProtection="1">
      <alignment horizontal="center"/>
    </xf>
    <xf numFmtId="167" fontId="4" fillId="7" borderId="3" xfId="0" applyNumberFormat="1" applyFont="1" applyFill="1" applyBorder="1" applyAlignment="1" applyProtection="1">
      <alignment horizontal="center"/>
    </xf>
    <xf numFmtId="38" fontId="19" fillId="3" borderId="0" xfId="4" applyNumberFormat="1" applyAlignment="1" applyProtection="1">
      <alignment horizontal="right"/>
    </xf>
    <xf numFmtId="37" fontId="19" fillId="3" borderId="41" xfId="4" applyBorder="1"/>
    <xf numFmtId="37" fontId="15" fillId="0" borderId="0" xfId="0" applyFont="1" applyAlignment="1"/>
    <xf numFmtId="176" fontId="4" fillId="0" borderId="0" xfId="0" applyNumberFormat="1" applyFont="1" applyAlignment="1" applyProtection="1"/>
    <xf numFmtId="10" fontId="17" fillId="0" borderId="41" xfId="3" applyNumberFormat="1" applyFont="1" applyBorder="1" applyAlignment="1" applyProtection="1">
      <alignment horizontal="center"/>
    </xf>
    <xf numFmtId="37" fontId="16" fillId="0" borderId="0" xfId="0" applyFont="1" applyAlignment="1" applyProtection="1">
      <protection locked="0"/>
    </xf>
    <xf numFmtId="37" fontId="9" fillId="0" borderId="0" xfId="0" applyFont="1" applyAlignment="1">
      <alignment horizontal="left"/>
    </xf>
    <xf numFmtId="37" fontId="8" fillId="0" borderId="0" xfId="0" quotePrefix="1" applyFont="1" applyAlignment="1">
      <alignment horizontal="left"/>
    </xf>
    <xf numFmtId="37" fontId="9" fillId="0" borderId="0" xfId="0" applyFont="1" applyAlignment="1"/>
    <xf numFmtId="37" fontId="18" fillId="0" borderId="0" xfId="0" applyFont="1" applyAlignment="1"/>
    <xf numFmtId="37" fontId="18" fillId="0" borderId="0" xfId="0" applyFont="1" applyAlignment="1">
      <alignment horizontal="left"/>
    </xf>
    <xf numFmtId="37" fontId="19" fillId="0" borderId="0" xfId="0" applyFont="1" applyAlignment="1">
      <alignment horizontal="left"/>
    </xf>
    <xf numFmtId="37" fontId="18" fillId="0" borderId="0" xfId="0" quotePrefix="1" applyFont="1" applyAlignment="1">
      <alignment horizontal="center"/>
    </xf>
    <xf numFmtId="37" fontId="19" fillId="0" borderId="0" xfId="0" applyFont="1" applyAlignment="1"/>
    <xf numFmtId="37" fontId="22" fillId="0" borderId="0" xfId="0" applyFont="1" applyAlignment="1"/>
    <xf numFmtId="37" fontId="22" fillId="0" borderId="0" xfId="0" applyNumberFormat="1" applyFont="1" applyBorder="1" applyAlignment="1" applyProtection="1"/>
    <xf numFmtId="37" fontId="4" fillId="0" borderId="49" xfId="0" applyNumberFormat="1" applyFont="1" applyBorder="1" applyAlignment="1" applyProtection="1"/>
    <xf numFmtId="37" fontId="2" fillId="0" borderId="0" xfId="0" applyFont="1" applyAlignment="1"/>
    <xf numFmtId="37" fontId="23" fillId="0" borderId="0" xfId="0" applyFont="1" applyAlignment="1"/>
    <xf numFmtId="14" fontId="4" fillId="0" borderId="0" xfId="0" applyNumberFormat="1" applyFont="1" applyAlignment="1" applyProtection="1"/>
    <xf numFmtId="167" fontId="4" fillId="0" borderId="53" xfId="0" applyNumberFormat="1" applyFont="1" applyFill="1" applyBorder="1" applyAlignment="1" applyProtection="1">
      <alignment horizontal="center"/>
    </xf>
    <xf numFmtId="14" fontId="4" fillId="0" borderId="1" xfId="0" applyNumberFormat="1" applyFont="1" applyBorder="1" applyAlignment="1">
      <alignment horizontal="center"/>
    </xf>
    <xf numFmtId="37" fontId="25" fillId="0" borderId="0" xfId="0" applyFont="1" applyAlignment="1">
      <alignment horizontal="right"/>
    </xf>
    <xf numFmtId="14" fontId="4" fillId="0" borderId="3" xfId="0" applyNumberFormat="1" applyFont="1" applyFill="1" applyBorder="1" applyAlignment="1" applyProtection="1">
      <alignment horizontal="center"/>
    </xf>
    <xf numFmtId="167" fontId="4" fillId="5" borderId="3" xfId="0" applyNumberFormat="1" applyFont="1" applyFill="1" applyBorder="1" applyAlignment="1" applyProtection="1">
      <alignment horizontal="center"/>
    </xf>
    <xf numFmtId="171" fontId="4" fillId="0" borderId="54" xfId="3" applyNumberFormat="1" applyFont="1" applyBorder="1" applyAlignment="1">
      <alignment horizontal="right"/>
    </xf>
    <xf numFmtId="171" fontId="4" fillId="0" borderId="40" xfId="3" applyNumberFormat="1" applyFont="1" applyBorder="1" applyAlignment="1">
      <alignment horizontal="right"/>
    </xf>
    <xf numFmtId="171" fontId="4" fillId="0" borderId="55" xfId="3" applyNumberFormat="1" applyFont="1" applyBorder="1" applyAlignment="1">
      <alignment horizontal="right"/>
    </xf>
    <xf numFmtId="37" fontId="26" fillId="0" borderId="0" xfId="0" applyFont="1" applyAlignment="1">
      <alignment horizontal="center"/>
    </xf>
    <xf numFmtId="37" fontId="4" fillId="0" borderId="34" xfId="0" applyFont="1" applyBorder="1" applyAlignment="1"/>
    <xf numFmtId="37" fontId="4" fillId="0" borderId="56" xfId="0" applyFont="1" applyBorder="1" applyAlignment="1"/>
    <xf numFmtId="37" fontId="4" fillId="0" borderId="35" xfId="0" applyFont="1" applyBorder="1" applyAlignment="1"/>
    <xf numFmtId="37" fontId="4" fillId="0" borderId="24" xfId="0" applyFont="1" applyBorder="1" applyAlignment="1"/>
    <xf numFmtId="37" fontId="4" fillId="0" borderId="19" xfId="0" applyFont="1" applyBorder="1" applyAlignment="1"/>
    <xf numFmtId="37" fontId="4" fillId="0" borderId="57" xfId="0" applyFont="1" applyBorder="1" applyAlignment="1"/>
    <xf numFmtId="37" fontId="4" fillId="0" borderId="58" xfId="0" applyFont="1" applyBorder="1" applyAlignment="1"/>
    <xf numFmtId="37" fontId="0" fillId="0" borderId="59" xfId="0" applyNumberFormat="1" applyBorder="1" applyAlignment="1"/>
    <xf numFmtId="37" fontId="0" fillId="0" borderId="60" xfId="0" applyNumberFormat="1" applyBorder="1" applyAlignment="1"/>
    <xf numFmtId="37" fontId="4" fillId="0" borderId="61" xfId="0" applyFont="1" applyBorder="1" applyAlignment="1"/>
    <xf numFmtId="37" fontId="4" fillId="0" borderId="62" xfId="0" applyFont="1" applyBorder="1" applyAlignment="1"/>
    <xf numFmtId="37" fontId="4" fillId="0" borderId="63" xfId="0" applyFont="1" applyBorder="1" applyAlignment="1"/>
    <xf numFmtId="10" fontId="4" fillId="0" borderId="64" xfId="0" applyNumberFormat="1" applyFont="1" applyBorder="1" applyAlignment="1" applyProtection="1"/>
    <xf numFmtId="37" fontId="4" fillId="0" borderId="24" xfId="0" applyFont="1" applyBorder="1" applyAlignment="1">
      <alignment horizontal="left"/>
    </xf>
    <xf numFmtId="37" fontId="4" fillId="0" borderId="36" xfId="0" applyFont="1" applyBorder="1" applyAlignment="1">
      <alignment horizontal="left"/>
    </xf>
    <xf numFmtId="37" fontId="4" fillId="0" borderId="65" xfId="0" applyFont="1" applyBorder="1" applyAlignment="1"/>
    <xf numFmtId="37" fontId="4" fillId="0" borderId="37" xfId="0" applyFont="1" applyBorder="1" applyAlignment="1"/>
    <xf numFmtId="10" fontId="4" fillId="0" borderId="0" xfId="0" applyNumberFormat="1" applyFont="1" applyBorder="1" applyAlignment="1" applyProtection="1">
      <alignment horizontal="right"/>
    </xf>
    <xf numFmtId="169" fontId="4" fillId="0" borderId="0" xfId="0" applyNumberFormat="1" applyFont="1" applyBorder="1" applyAlignment="1" applyProtection="1">
      <alignment horizontal="right"/>
    </xf>
    <xf numFmtId="10" fontId="10" fillId="0" borderId="0" xfId="0" applyNumberFormat="1" applyFont="1" applyBorder="1" applyAlignment="1" applyProtection="1">
      <alignment horizontal="right"/>
    </xf>
    <xf numFmtId="171" fontId="4" fillId="0" borderId="0" xfId="0" applyNumberFormat="1" applyFont="1" applyAlignment="1" applyProtection="1">
      <alignment horizontal="left"/>
    </xf>
    <xf numFmtId="37" fontId="27" fillId="0" borderId="0" xfId="0" applyFont="1" applyAlignment="1"/>
    <xf numFmtId="8" fontId="19" fillId="3" borderId="41" xfId="4" applyNumberFormat="1" applyBorder="1"/>
    <xf numFmtId="37" fontId="6" fillId="0" borderId="0" xfId="0" applyFont="1" applyAlignment="1">
      <alignment horizontal="right"/>
    </xf>
    <xf numFmtId="169" fontId="19" fillId="0" borderId="44" xfId="0" applyNumberFormat="1" applyFont="1" applyFill="1" applyBorder="1" applyAlignment="1" applyProtection="1">
      <alignment horizontal="center"/>
      <protection locked="0"/>
    </xf>
    <xf numFmtId="10" fontId="19" fillId="0" borderId="44" xfId="0" applyNumberFormat="1" applyFont="1" applyFill="1" applyBorder="1" applyAlignment="1" applyProtection="1">
      <protection locked="0"/>
    </xf>
    <xf numFmtId="173" fontId="27" fillId="0" borderId="0" xfId="0" applyNumberFormat="1" applyFont="1" applyAlignment="1" applyProtection="1">
      <protection locked="0"/>
    </xf>
    <xf numFmtId="169" fontId="16" fillId="0" borderId="44" xfId="0" applyNumberFormat="1" applyFont="1" applyFill="1" applyBorder="1" applyAlignment="1" applyProtection="1">
      <alignment horizontal="center"/>
      <protection locked="0"/>
    </xf>
    <xf numFmtId="10" fontId="16" fillId="0" borderId="44" xfId="0" applyNumberFormat="1" applyFont="1" applyFill="1" applyBorder="1" applyAlignment="1" applyProtection="1">
      <protection locked="0"/>
    </xf>
    <xf numFmtId="10" fontId="4" fillId="0" borderId="0" xfId="0" applyNumberFormat="1" applyFont="1" applyFill="1" applyBorder="1" applyAlignment="1" applyProtection="1"/>
    <xf numFmtId="37" fontId="16" fillId="0" borderId="0" xfId="0" applyFont="1" applyAlignment="1">
      <alignment horizontal="left"/>
    </xf>
    <xf numFmtId="14" fontId="4" fillId="0" borderId="1" xfId="0" applyNumberFormat="1" applyFont="1" applyBorder="1" applyAlignment="1" applyProtection="1">
      <alignment horizontal="center"/>
    </xf>
    <xf numFmtId="171" fontId="10" fillId="0" borderId="0" xfId="0" applyNumberFormat="1" applyFont="1" applyAlignment="1" applyProtection="1">
      <alignment horizontal="right"/>
    </xf>
    <xf numFmtId="8" fontId="0" fillId="0" borderId="0" xfId="2" applyFont="1"/>
    <xf numFmtId="167" fontId="4" fillId="0" borderId="0" xfId="0" applyNumberFormat="1" applyFont="1" applyFill="1" applyBorder="1" applyAlignment="1" applyProtection="1">
      <alignment horizontal="center"/>
    </xf>
    <xf numFmtId="37" fontId="0" fillId="0" borderId="0" xfId="0" applyFont="1" applyBorder="1" applyAlignment="1">
      <alignment horizontal="center"/>
    </xf>
    <xf numFmtId="37" fontId="16" fillId="0" borderId="0" xfId="0" applyNumberFormat="1" applyFont="1" applyAlignment="1" applyProtection="1">
      <protection locked="0"/>
    </xf>
    <xf numFmtId="37" fontId="26" fillId="0" borderId="2" xfId="0" applyFont="1" applyBorder="1" applyAlignment="1">
      <alignment horizontal="center"/>
    </xf>
    <xf numFmtId="37" fontId="26" fillId="0" borderId="4" xfId="0" applyFont="1" applyFill="1" applyBorder="1" applyAlignment="1">
      <alignment horizontal="center"/>
    </xf>
    <xf numFmtId="37" fontId="4" fillId="0" borderId="66" xfId="0" applyFont="1" applyBorder="1" applyAlignment="1"/>
    <xf numFmtId="37" fontId="4" fillId="0" borderId="67" xfId="0" applyFont="1" applyBorder="1" applyAlignment="1"/>
    <xf numFmtId="37" fontId="4" fillId="0" borderId="68" xfId="0" applyNumberFormat="1" applyFont="1" applyBorder="1" applyAlignment="1" applyProtection="1"/>
    <xf numFmtId="37" fontId="0" fillId="0" borderId="0" xfId="0" applyFont="1" applyFill="1" applyBorder="1" applyAlignment="1">
      <alignment horizontal="center"/>
    </xf>
    <xf numFmtId="37" fontId="28" fillId="0" borderId="0" xfId="0" applyFont="1" applyAlignment="1"/>
    <xf numFmtId="37" fontId="21" fillId="0" borderId="0" xfId="0" applyFont="1" applyAlignment="1"/>
    <xf numFmtId="37" fontId="0" fillId="0" borderId="28" xfId="0" applyNumberFormat="1" applyBorder="1" applyAlignment="1"/>
    <xf numFmtId="8" fontId="0" fillId="0" borderId="28" xfId="2" applyFont="1" applyBorder="1"/>
    <xf numFmtId="37" fontId="29" fillId="0" borderId="0" xfId="0" applyFont="1" applyAlignment="1"/>
    <xf numFmtId="8" fontId="16" fillId="0" borderId="0" xfId="2" applyFont="1" applyBorder="1" applyAlignment="1">
      <alignment horizontal="right"/>
    </xf>
    <xf numFmtId="37" fontId="8" fillId="0" borderId="0" xfId="0" applyFont="1" applyAlignment="1">
      <alignment horizontal="center"/>
    </xf>
    <xf numFmtId="37" fontId="0" fillId="0" borderId="0" xfId="0" quotePrefix="1" applyNumberFormat="1" applyAlignment="1">
      <alignment horizontal="left"/>
    </xf>
    <xf numFmtId="167" fontId="4" fillId="4" borderId="69" xfId="0" applyNumberFormat="1" applyFont="1" applyFill="1" applyBorder="1" applyAlignment="1" applyProtection="1">
      <alignment horizontal="center"/>
    </xf>
    <xf numFmtId="167" fontId="4" fillId="5" borderId="69" xfId="0" applyNumberFormat="1" applyFont="1" applyFill="1" applyBorder="1" applyAlignment="1" applyProtection="1">
      <alignment horizontal="center"/>
    </xf>
    <xf numFmtId="37" fontId="17" fillId="0" borderId="0" xfId="0" applyFont="1" applyAlignment="1"/>
    <xf numFmtId="37" fontId="0" fillId="0" borderId="70" xfId="0" applyBorder="1" applyAlignment="1"/>
    <xf numFmtId="37" fontId="0" fillId="0" borderId="71" xfId="0" applyBorder="1" applyAlignment="1"/>
    <xf numFmtId="37" fontId="4" fillId="0" borderId="71" xfId="0" applyFont="1" applyBorder="1" applyAlignment="1"/>
    <xf numFmtId="37" fontId="4" fillId="0" borderId="70" xfId="0" applyFont="1" applyBorder="1" applyAlignment="1"/>
    <xf numFmtId="37" fontId="19" fillId="0" borderId="0" xfId="0" applyNumberFormat="1" applyFont="1" applyAlignment="1"/>
    <xf numFmtId="167" fontId="4" fillId="0" borderId="0" xfId="0" quotePrefix="1" applyNumberFormat="1" applyFont="1" applyAlignment="1" applyProtection="1">
      <alignment horizontal="left"/>
    </xf>
    <xf numFmtId="196" fontId="4" fillId="0" borderId="0" xfId="0" applyNumberFormat="1" applyFont="1" applyAlignment="1" applyProtection="1"/>
    <xf numFmtId="37" fontId="0" fillId="0" borderId="0" xfId="0" applyAlignment="1">
      <alignment horizontal="left"/>
    </xf>
    <xf numFmtId="37" fontId="19" fillId="0" borderId="0" xfId="0" applyNumberFormat="1" applyFont="1" applyAlignment="1" applyProtection="1">
      <protection locked="0"/>
    </xf>
    <xf numFmtId="37" fontId="31" fillId="0" borderId="0" xfId="0" quotePrefix="1" applyFont="1" applyAlignment="1">
      <alignment horizontal="left"/>
    </xf>
    <xf numFmtId="37" fontId="19" fillId="0" borderId="0" xfId="0" applyFont="1" applyAlignment="1" applyProtection="1">
      <protection locked="0"/>
    </xf>
    <xf numFmtId="37" fontId="33" fillId="0" borderId="0" xfId="0" quotePrefix="1" applyFont="1" applyAlignment="1">
      <alignment horizontal="left"/>
    </xf>
    <xf numFmtId="37" fontId="33" fillId="0" borderId="48" xfId="0" applyFont="1" applyBorder="1" applyAlignment="1">
      <alignment horizontal="centerContinuous"/>
    </xf>
    <xf numFmtId="37" fontId="33" fillId="0" borderId="38" xfId="0" applyFont="1" applyBorder="1" applyAlignment="1">
      <alignment horizontal="centerContinuous"/>
    </xf>
    <xf numFmtId="37" fontId="0" fillId="0" borderId="38" xfId="0" applyBorder="1" applyAlignment="1">
      <alignment horizontal="centerContinuous"/>
    </xf>
    <xf numFmtId="37" fontId="33" fillId="0" borderId="49" xfId="0" applyFont="1" applyBorder="1" applyAlignment="1">
      <alignment horizontal="centerContinuous"/>
    </xf>
    <xf numFmtId="37" fontId="0" fillId="0" borderId="49" xfId="0" applyBorder="1" applyAlignment="1">
      <alignment horizontal="centerContinuous"/>
    </xf>
    <xf numFmtId="37" fontId="19" fillId="0" borderId="0" xfId="0" applyFont="1" applyFill="1" applyAlignment="1"/>
    <xf numFmtId="37" fontId="19" fillId="0" borderId="26" xfId="0" applyFont="1" applyBorder="1" applyAlignment="1"/>
    <xf numFmtId="37" fontId="0" fillId="0" borderId="0" xfId="0" applyBorder="1" applyAlignment="1">
      <alignment horizontal="right"/>
    </xf>
    <xf numFmtId="37" fontId="0" fillId="0" borderId="0" xfId="0" applyBorder="1" applyAlignment="1">
      <alignment horizontal="center"/>
    </xf>
    <xf numFmtId="37" fontId="32" fillId="0" borderId="26" xfId="0" applyFont="1" applyBorder="1" applyAlignment="1"/>
    <xf numFmtId="37" fontId="32" fillId="0" borderId="0" xfId="0" applyFont="1" applyBorder="1" applyAlignment="1">
      <alignment horizontal="right"/>
    </xf>
    <xf numFmtId="37" fontId="32" fillId="0" borderId="0" xfId="0" quotePrefix="1" applyFont="1" applyBorder="1" applyAlignment="1">
      <alignment horizontal="right"/>
    </xf>
    <xf numFmtId="37" fontId="32" fillId="0" borderId="0" xfId="0" quotePrefix="1" applyFont="1" applyBorder="1" applyAlignment="1">
      <alignment horizontal="center"/>
    </xf>
    <xf numFmtId="37" fontId="32" fillId="0" borderId="28" xfId="0" applyFont="1" applyBorder="1" applyAlignment="1">
      <alignment horizontal="center"/>
    </xf>
    <xf numFmtId="3" fontId="15" fillId="0" borderId="0" xfId="0" applyNumberFormat="1" applyFont="1" applyBorder="1" applyAlignment="1"/>
    <xf numFmtId="3" fontId="19" fillId="0" borderId="0" xfId="0" applyNumberFormat="1" applyFont="1" applyBorder="1" applyAlignment="1"/>
    <xf numFmtId="17" fontId="15" fillId="0" borderId="0" xfId="0" applyNumberFormat="1" applyFont="1" applyBorder="1" applyAlignment="1"/>
    <xf numFmtId="37" fontId="15" fillId="0" borderId="0" xfId="0" applyFont="1" applyBorder="1" applyAlignment="1"/>
    <xf numFmtId="37" fontId="15" fillId="0" borderId="0" xfId="0" applyFont="1" applyBorder="1" applyAlignment="1">
      <alignment horizontal="right"/>
    </xf>
    <xf numFmtId="9" fontId="15" fillId="0" borderId="28" xfId="0" applyNumberFormat="1" applyFont="1" applyBorder="1" applyAlignment="1"/>
    <xf numFmtId="37" fontId="0" fillId="0" borderId="26" xfId="0" quotePrefix="1" applyBorder="1" applyAlignment="1">
      <alignment horizontal="right"/>
    </xf>
    <xf numFmtId="3" fontId="0" fillId="0" borderId="0" xfId="0" applyNumberFormat="1" applyBorder="1" applyAlignment="1"/>
    <xf numFmtId="3" fontId="0" fillId="0" borderId="0" xfId="0" applyNumberFormat="1" applyAlignment="1"/>
    <xf numFmtId="3" fontId="0" fillId="0" borderId="28" xfId="0" applyNumberFormat="1" applyBorder="1" applyAlignment="1"/>
    <xf numFmtId="37" fontId="6" fillId="0" borderId="0" xfId="0" quotePrefix="1" applyFont="1" applyAlignment="1">
      <alignment horizontal="left"/>
    </xf>
    <xf numFmtId="3" fontId="16" fillId="0" borderId="0" xfId="0" quotePrefix="1" applyNumberFormat="1" applyFont="1" applyAlignment="1">
      <alignment horizontal="right"/>
    </xf>
    <xf numFmtId="37" fontId="0" fillId="0" borderId="0" xfId="0" quotePrefix="1" applyAlignment="1">
      <alignment horizontal="left"/>
    </xf>
    <xf numFmtId="37" fontId="19" fillId="0" borderId="26" xfId="0" quotePrefix="1" applyFont="1" applyBorder="1" applyAlignment="1">
      <alignment horizontal="left"/>
    </xf>
    <xf numFmtId="37" fontId="0" fillId="0" borderId="0" xfId="0" quotePrefix="1" applyAlignment="1">
      <alignment horizontal="right"/>
    </xf>
    <xf numFmtId="37" fontId="19" fillId="3" borderId="38" xfId="4" applyBorder="1"/>
    <xf numFmtId="38" fontId="19" fillId="3" borderId="0" xfId="4" applyNumberFormat="1"/>
    <xf numFmtId="10" fontId="19" fillId="3" borderId="41" xfId="4" applyNumberFormat="1" applyBorder="1"/>
    <xf numFmtId="3" fontId="32" fillId="0" borderId="0" xfId="0" applyNumberFormat="1" applyFont="1" applyAlignment="1"/>
    <xf numFmtId="37" fontId="0" fillId="0" borderId="0" xfId="0" quotePrefix="1" applyBorder="1" applyAlignment="1">
      <alignment horizontal="left"/>
    </xf>
    <xf numFmtId="37" fontId="6" fillId="0" borderId="71" xfId="0" quotePrefix="1" applyFont="1" applyBorder="1" applyAlignment="1">
      <alignment horizontal="left"/>
    </xf>
    <xf numFmtId="3" fontId="0" fillId="0" borderId="71" xfId="0" applyNumberFormat="1" applyBorder="1" applyAlignment="1"/>
    <xf numFmtId="37" fontId="19" fillId="0" borderId="0" xfId="0" quotePrefix="1" applyFont="1" applyAlignment="1">
      <alignment horizontal="left"/>
    </xf>
    <xf numFmtId="37" fontId="33" fillId="0" borderId="0" xfId="0" applyFont="1" applyAlignment="1">
      <alignment horizontal="left"/>
    </xf>
    <xf numFmtId="37" fontId="23" fillId="0" borderId="0" xfId="0" quotePrefix="1" applyFont="1" applyAlignment="1">
      <alignment horizontal="left"/>
    </xf>
    <xf numFmtId="10" fontId="19" fillId="0" borderId="55" xfId="0" applyNumberFormat="1" applyFont="1" applyBorder="1" applyAlignment="1" applyProtection="1">
      <protection locked="0"/>
    </xf>
    <xf numFmtId="37" fontId="32" fillId="0" borderId="0" xfId="0" applyNumberFormat="1" applyFont="1" applyAlignment="1" applyProtection="1">
      <protection locked="0"/>
    </xf>
    <xf numFmtId="10" fontId="4" fillId="0" borderId="70" xfId="0" applyNumberFormat="1" applyFont="1" applyBorder="1" applyAlignment="1" applyProtection="1"/>
    <xf numFmtId="37" fontId="4" fillId="0" borderId="71" xfId="0" applyFont="1" applyBorder="1" applyAlignment="1">
      <alignment horizontal="left"/>
    </xf>
    <xf numFmtId="37" fontId="4" fillId="0" borderId="70" xfId="0" applyFont="1" applyBorder="1" applyAlignment="1">
      <alignment horizontal="left"/>
    </xf>
    <xf numFmtId="37" fontId="19" fillId="0" borderId="0" xfId="0" applyNumberFormat="1" applyFont="1" applyAlignment="1" applyProtection="1"/>
    <xf numFmtId="37" fontId="19" fillId="0" borderId="26" xfId="0" applyNumberFormat="1" applyFont="1" applyBorder="1" applyAlignment="1" applyProtection="1"/>
    <xf numFmtId="37" fontId="34" fillId="0" borderId="0" xfId="0" applyFont="1" applyAlignment="1">
      <alignment horizontal="left"/>
    </xf>
    <xf numFmtId="167" fontId="4" fillId="0" borderId="70" xfId="0" applyNumberFormat="1" applyFont="1" applyBorder="1" applyAlignment="1" applyProtection="1"/>
    <xf numFmtId="37" fontId="4" fillId="0" borderId="0" xfId="0" quotePrefix="1" applyFont="1" applyAlignment="1">
      <alignment horizontal="center"/>
    </xf>
    <xf numFmtId="37" fontId="32" fillId="0" borderId="0" xfId="0" quotePrefix="1" applyFont="1" applyAlignment="1">
      <alignment horizontal="center"/>
    </xf>
    <xf numFmtId="37" fontId="4" fillId="0" borderId="41" xfId="0" quotePrefix="1" applyFont="1" applyBorder="1" applyAlignment="1">
      <alignment horizontal="center"/>
    </xf>
    <xf numFmtId="37" fontId="4" fillId="0" borderId="54" xfId="0" applyFont="1" applyBorder="1" applyAlignment="1"/>
    <xf numFmtId="37" fontId="4" fillId="0" borderId="40" xfId="0" applyNumberFormat="1" applyFont="1" applyBorder="1" applyAlignment="1" applyProtection="1"/>
    <xf numFmtId="40" fontId="19" fillId="3" borderId="41" xfId="4" applyNumberFormat="1" applyBorder="1" applyAlignment="1">
      <alignment horizontal="center"/>
    </xf>
    <xf numFmtId="37" fontId="4" fillId="0" borderId="51" xfId="0" applyFont="1" applyBorder="1" applyAlignment="1"/>
    <xf numFmtId="37" fontId="4" fillId="0" borderId="52" xfId="0" applyFont="1" applyBorder="1" applyAlignment="1"/>
    <xf numFmtId="10" fontId="4" fillId="0" borderId="26" xfId="0" applyNumberFormat="1" applyFont="1" applyBorder="1" applyAlignment="1" applyProtection="1">
      <alignment horizontal="right"/>
    </xf>
    <xf numFmtId="37" fontId="0" fillId="0" borderId="26" xfId="0" applyNumberFormat="1" applyBorder="1" applyAlignment="1"/>
    <xf numFmtId="169" fontId="4" fillId="0" borderId="26" xfId="0" applyNumberFormat="1" applyFont="1" applyBorder="1" applyAlignment="1" applyProtection="1">
      <alignment horizontal="right"/>
    </xf>
    <xf numFmtId="170" fontId="4" fillId="0" borderId="26" xfId="0" applyNumberFormat="1" applyFont="1" applyBorder="1" applyAlignment="1" applyProtection="1">
      <alignment horizontal="right"/>
    </xf>
    <xf numFmtId="171" fontId="4" fillId="0" borderId="26" xfId="0" applyNumberFormat="1" applyFont="1" applyBorder="1" applyAlignment="1" applyProtection="1">
      <alignment horizontal="right"/>
    </xf>
    <xf numFmtId="171" fontId="10" fillId="0" borderId="26" xfId="0" applyNumberFormat="1" applyFont="1" applyBorder="1" applyAlignment="1" applyProtection="1">
      <alignment horizontal="right"/>
    </xf>
    <xf numFmtId="37" fontId="0" fillId="0" borderId="0" xfId="0" quotePrefix="1" applyAlignment="1">
      <alignment horizontal="center"/>
    </xf>
    <xf numFmtId="37" fontId="4" fillId="0" borderId="55" xfId="0" applyFont="1" applyBorder="1" applyAlignment="1"/>
    <xf numFmtId="37" fontId="4" fillId="0" borderId="40" xfId="0" applyFont="1" applyBorder="1" applyAlignment="1"/>
    <xf numFmtId="171" fontId="4" fillId="0" borderId="38" xfId="0" applyNumberFormat="1" applyFont="1" applyBorder="1" applyAlignment="1" applyProtection="1">
      <alignment horizontal="right"/>
    </xf>
    <xf numFmtId="171" fontId="4" fillId="0" borderId="49" xfId="0" applyNumberFormat="1" applyFont="1" applyBorder="1" applyAlignment="1" applyProtection="1">
      <alignment horizontal="right"/>
    </xf>
    <xf numFmtId="37" fontId="4" fillId="0" borderId="70" xfId="0" applyNumberFormat="1" applyFont="1" applyBorder="1" applyAlignment="1" applyProtection="1"/>
    <xf numFmtId="37" fontId="4" fillId="0" borderId="71" xfId="0" applyFont="1" applyBorder="1" applyAlignment="1">
      <alignment horizontal="right"/>
    </xf>
    <xf numFmtId="37" fontId="7" fillId="0" borderId="71" xfId="0" applyFont="1" applyBorder="1" applyAlignment="1" applyProtection="1">
      <protection locked="0"/>
    </xf>
    <xf numFmtId="37" fontId="7" fillId="0" borderId="71" xfId="0" applyNumberFormat="1" applyFont="1" applyBorder="1" applyAlignment="1" applyProtection="1">
      <protection locked="0"/>
    </xf>
    <xf numFmtId="37" fontId="4" fillId="0" borderId="72" xfId="0" applyFont="1" applyBorder="1" applyAlignment="1"/>
    <xf numFmtId="37" fontId="4" fillId="0" borderId="49" xfId="0" applyFont="1" applyBorder="1" applyAlignment="1"/>
    <xf numFmtId="165" fontId="4" fillId="0" borderId="3" xfId="0" applyNumberFormat="1" applyFont="1" applyBorder="1" applyAlignment="1" applyProtection="1">
      <alignment horizontal="center"/>
    </xf>
    <xf numFmtId="165" fontId="6" fillId="0" borderId="43" xfId="0" applyNumberFormat="1" applyFont="1" applyBorder="1" applyAlignment="1" applyProtection="1">
      <alignment horizontal="center"/>
    </xf>
    <xf numFmtId="37" fontId="35" fillId="0" borderId="0" xfId="0" applyFont="1" applyAlignment="1">
      <alignment horizontal="left"/>
    </xf>
    <xf numFmtId="37" fontId="4" fillId="0" borderId="0" xfId="0" quotePrefix="1" applyFont="1" applyBorder="1" applyAlignment="1">
      <alignment horizontal="right"/>
    </xf>
    <xf numFmtId="37" fontId="36" fillId="0" borderId="0" xfId="0" applyFont="1" applyAlignment="1">
      <alignment horizontal="left"/>
    </xf>
    <xf numFmtId="37" fontId="19" fillId="0" borderId="0" xfId="0" applyFont="1" applyAlignment="1">
      <alignment horizontal="right"/>
    </xf>
    <xf numFmtId="172" fontId="19" fillId="0" borderId="0" xfId="0" applyNumberFormat="1" applyFont="1" applyAlignment="1"/>
    <xf numFmtId="37" fontId="19" fillId="0" borderId="0" xfId="0" applyFont="1" applyBorder="1" applyAlignment="1">
      <alignment horizontal="right"/>
    </xf>
    <xf numFmtId="37" fontId="4" fillId="0" borderId="0" xfId="0" applyFont="1" applyBorder="1" applyAlignment="1">
      <alignment horizontal="center"/>
    </xf>
    <xf numFmtId="37" fontId="4" fillId="0" borderId="0" xfId="0" applyFont="1" applyFill="1" applyBorder="1" applyAlignment="1">
      <alignment horizontal="center"/>
    </xf>
    <xf numFmtId="3" fontId="0" fillId="0" borderId="38" xfId="0" applyNumberFormat="1" applyBorder="1" applyAlignment="1"/>
    <xf numFmtId="37" fontId="36" fillId="0" borderId="0" xfId="0" applyFont="1" applyAlignment="1"/>
    <xf numFmtId="37" fontId="30" fillId="0" borderId="0" xfId="0" quotePrefix="1" applyFont="1" applyAlignment="1">
      <alignment horizontal="left"/>
    </xf>
    <xf numFmtId="37" fontId="0" fillId="0" borderId="38" xfId="0" quotePrefix="1" applyBorder="1" applyAlignment="1">
      <alignment horizontal="left"/>
    </xf>
    <xf numFmtId="3" fontId="19" fillId="0" borderId="0" xfId="0" applyNumberFormat="1" applyFont="1" applyAlignment="1"/>
    <xf numFmtId="37" fontId="19" fillId="0" borderId="0" xfId="0" applyFont="1" applyBorder="1" applyAlignment="1"/>
    <xf numFmtId="14" fontId="0" fillId="0" borderId="1" xfId="0" applyNumberFormat="1" applyBorder="1" applyAlignment="1"/>
    <xf numFmtId="37" fontId="37" fillId="0" borderId="0" xfId="0" quotePrefix="1" applyFont="1" applyAlignment="1">
      <alignment horizontal="left"/>
    </xf>
    <xf numFmtId="37" fontId="6" fillId="0" borderId="0" xfId="0" quotePrefix="1" applyFont="1" applyAlignment="1">
      <alignment horizontal="right"/>
    </xf>
    <xf numFmtId="190" fontId="0" fillId="0" borderId="0" xfId="0" applyNumberFormat="1" applyAlignment="1"/>
    <xf numFmtId="37" fontId="0" fillId="0" borderId="71" xfId="0" quotePrefix="1" applyBorder="1" applyAlignment="1">
      <alignment horizontal="left"/>
    </xf>
    <xf numFmtId="37" fontId="19" fillId="0" borderId="71" xfId="0" applyFont="1" applyBorder="1" applyAlignment="1"/>
    <xf numFmtId="2" fontId="0" fillId="0" borderId="0" xfId="0" applyNumberFormat="1" applyAlignment="1"/>
    <xf numFmtId="10" fontId="0" fillId="0" borderId="0" xfId="0" applyNumberFormat="1" applyAlignment="1"/>
    <xf numFmtId="37" fontId="0" fillId="0" borderId="0" xfId="0" quotePrefix="1" applyBorder="1" applyAlignment="1">
      <alignment horizontal="center"/>
    </xf>
    <xf numFmtId="37" fontId="0" fillId="0" borderId="0" xfId="0" applyBorder="1" applyAlignment="1">
      <alignment horizontal="left"/>
    </xf>
    <xf numFmtId="9" fontId="0" fillId="0" borderId="0" xfId="3" applyFont="1"/>
    <xf numFmtId="37" fontId="33" fillId="0" borderId="0" xfId="0" applyFont="1" applyAlignment="1"/>
    <xf numFmtId="37" fontId="19" fillId="0" borderId="38" xfId="0" applyFont="1" applyBorder="1" applyAlignment="1"/>
    <xf numFmtId="197" fontId="19" fillId="0" borderId="0" xfId="2" applyNumberFormat="1" applyFont="1" applyProtection="1">
      <protection locked="0"/>
    </xf>
    <xf numFmtId="37" fontId="19" fillId="0" borderId="0" xfId="0" quotePrefix="1" applyFont="1" applyBorder="1" applyAlignment="1">
      <alignment horizontal="right"/>
    </xf>
    <xf numFmtId="37" fontId="6" fillId="0" borderId="0" xfId="0" applyFont="1" applyBorder="1" applyAlignment="1">
      <alignment horizontal="left"/>
    </xf>
    <xf numFmtId="167" fontId="4" fillId="0" borderId="0" xfId="0" applyNumberFormat="1" applyFont="1" applyAlignment="1">
      <alignment horizontal="center"/>
    </xf>
    <xf numFmtId="37" fontId="6" fillId="0" borderId="0" xfId="0" quotePrefix="1" applyFont="1" applyBorder="1" applyAlignment="1">
      <alignment horizontal="left"/>
    </xf>
    <xf numFmtId="37" fontId="32" fillId="0" borderId="0" xfId="0" applyFont="1" applyBorder="1" applyAlignment="1"/>
    <xf numFmtId="37" fontId="0" fillId="0" borderId="0" xfId="0" quotePrefix="1" applyBorder="1" applyAlignment="1">
      <alignment horizontal="right"/>
    </xf>
    <xf numFmtId="37" fontId="30" fillId="0" borderId="0" xfId="0" applyFont="1" applyBorder="1" applyAlignment="1"/>
    <xf numFmtId="37" fontId="19" fillId="0" borderId="0" xfId="0" quotePrefix="1" applyFont="1" applyBorder="1" applyAlignment="1">
      <alignment horizontal="left"/>
    </xf>
    <xf numFmtId="37" fontId="33" fillId="0" borderId="0" xfId="0" quotePrefix="1" applyFont="1" applyBorder="1" applyAlignment="1">
      <alignment horizontal="left"/>
    </xf>
    <xf numFmtId="37" fontId="30" fillId="0" borderId="71" xfId="0" applyFont="1" applyBorder="1" applyAlignment="1"/>
    <xf numFmtId="37" fontId="0" fillId="0" borderId="71" xfId="0" quotePrefix="1" applyBorder="1" applyAlignment="1">
      <alignment horizontal="right"/>
    </xf>
    <xf numFmtId="3" fontId="0" fillId="0" borderId="0" xfId="0" quotePrefix="1" applyNumberFormat="1" applyBorder="1" applyAlignment="1">
      <alignment horizontal="left"/>
    </xf>
    <xf numFmtId="3" fontId="19" fillId="3" borderId="0" xfId="4" applyNumberFormat="1" applyBorder="1"/>
    <xf numFmtId="37" fontId="19" fillId="3" borderId="0" xfId="4" applyBorder="1"/>
    <xf numFmtId="37" fontId="19" fillId="3" borderId="0" xfId="4" quotePrefix="1" applyBorder="1" applyAlignment="1">
      <alignment horizontal="left"/>
    </xf>
    <xf numFmtId="10" fontId="19" fillId="3" borderId="41" xfId="4" quotePrefix="1" applyNumberFormat="1" applyBorder="1" applyAlignment="1">
      <alignment horizontal="right"/>
    </xf>
    <xf numFmtId="37" fontId="19" fillId="3" borderId="0" xfId="4" quotePrefix="1" applyAlignment="1">
      <alignment horizontal="left"/>
    </xf>
    <xf numFmtId="3" fontId="19" fillId="3" borderId="0" xfId="4" applyNumberFormat="1"/>
    <xf numFmtId="17" fontId="19" fillId="3" borderId="0" xfId="4" applyNumberFormat="1" applyBorder="1"/>
    <xf numFmtId="37" fontId="19" fillId="3" borderId="0" xfId="4" applyBorder="1" applyAlignment="1">
      <alignment horizontal="right"/>
    </xf>
    <xf numFmtId="9" fontId="19" fillId="3" borderId="28" xfId="4" applyNumberFormat="1" applyBorder="1"/>
    <xf numFmtId="37" fontId="19" fillId="3" borderId="26" xfId="4" quotePrefix="1" applyBorder="1" applyAlignment="1">
      <alignment horizontal="left"/>
    </xf>
    <xf numFmtId="37" fontId="30" fillId="0" borderId="0" xfId="0" quotePrefix="1" applyFont="1" applyBorder="1" applyAlignment="1">
      <alignment horizontal="left"/>
    </xf>
    <xf numFmtId="3" fontId="16" fillId="0" borderId="38" xfId="0" quotePrefix="1" applyNumberFormat="1" applyFont="1" applyBorder="1" applyAlignment="1">
      <alignment horizontal="right"/>
    </xf>
    <xf numFmtId="3" fontId="0" fillId="0" borderId="51" xfId="0" applyNumberFormat="1" applyBorder="1" applyAlignment="1"/>
    <xf numFmtId="8" fontId="0" fillId="0" borderId="0" xfId="0" applyNumberFormat="1" applyBorder="1" applyAlignment="1"/>
    <xf numFmtId="37" fontId="33" fillId="0" borderId="0" xfId="0" applyFont="1" applyBorder="1" applyAlignment="1">
      <alignment horizontal="left"/>
    </xf>
    <xf numFmtId="37" fontId="0" fillId="0" borderId="73" xfId="0" applyBorder="1" applyAlignment="1"/>
    <xf numFmtId="197" fontId="7" fillId="0" borderId="0" xfId="2" applyNumberFormat="1" applyFont="1" applyAlignment="1" applyProtection="1">
      <alignment horizontal="right"/>
    </xf>
    <xf numFmtId="197" fontId="15" fillId="0" borderId="0" xfId="2" applyNumberFormat="1" applyFont="1" applyAlignment="1" applyProtection="1">
      <alignment horizontal="right"/>
    </xf>
    <xf numFmtId="37" fontId="0" fillId="0" borderId="50" xfId="0" quotePrefix="1" applyBorder="1" applyAlignment="1">
      <alignment horizontal="right"/>
    </xf>
    <xf numFmtId="167" fontId="4" fillId="5" borderId="1" xfId="0" applyNumberFormat="1" applyFont="1" applyFill="1" applyBorder="1" applyAlignment="1" applyProtection="1">
      <alignment horizontal="center"/>
    </xf>
    <xf numFmtId="37" fontId="4" fillId="5" borderId="2" xfId="0" quotePrefix="1" applyFont="1" applyFill="1" applyBorder="1" applyAlignment="1">
      <alignment horizontal="center"/>
    </xf>
    <xf numFmtId="167" fontId="4" fillId="5" borderId="43" xfId="0" applyNumberFormat="1" applyFont="1" applyFill="1" applyBorder="1" applyAlignment="1" applyProtection="1">
      <alignment horizontal="center"/>
    </xf>
    <xf numFmtId="167" fontId="4" fillId="5" borderId="2" xfId="0" quotePrefix="1" applyNumberFormat="1" applyFont="1" applyFill="1" applyBorder="1" applyAlignment="1" applyProtection="1">
      <alignment horizontal="center"/>
    </xf>
    <xf numFmtId="167" fontId="4" fillId="5" borderId="74" xfId="0" applyNumberFormat="1" applyFont="1" applyFill="1" applyBorder="1" applyAlignment="1" applyProtection="1">
      <alignment horizontal="center"/>
    </xf>
    <xf numFmtId="167" fontId="4" fillId="5" borderId="75" xfId="0" applyNumberFormat="1" applyFont="1" applyFill="1" applyBorder="1" applyAlignment="1" applyProtection="1">
      <alignment horizontal="center"/>
    </xf>
    <xf numFmtId="167" fontId="4" fillId="5" borderId="76" xfId="0" applyNumberFormat="1" applyFont="1" applyFill="1" applyBorder="1" applyAlignment="1" applyProtection="1">
      <alignment horizontal="center"/>
    </xf>
    <xf numFmtId="37" fontId="30" fillId="0" borderId="0" xfId="0" applyFont="1" applyAlignment="1">
      <alignment horizontal="center"/>
    </xf>
    <xf numFmtId="37" fontId="6" fillId="0" borderId="0" xfId="0" applyFont="1" applyAlignment="1">
      <alignment horizontal="center"/>
    </xf>
    <xf numFmtId="37" fontId="20" fillId="0" borderId="0" xfId="0" applyFont="1" applyAlignment="1">
      <alignment horizontal="center"/>
    </xf>
    <xf numFmtId="37" fontId="38" fillId="0" borderId="0" xfId="0" applyFont="1" applyAlignment="1"/>
    <xf numFmtId="167" fontId="38" fillId="0" borderId="0" xfId="0" applyNumberFormat="1" applyFont="1" applyAlignment="1" applyProtection="1">
      <alignment horizontal="center"/>
    </xf>
    <xf numFmtId="167" fontId="38" fillId="0" borderId="0" xfId="0" quotePrefix="1" applyNumberFormat="1" applyFont="1" applyAlignment="1" applyProtection="1">
      <alignment horizontal="center"/>
    </xf>
    <xf numFmtId="167" fontId="18" fillId="4" borderId="2" xfId="0" applyNumberFormat="1" applyFont="1" applyFill="1" applyBorder="1" applyAlignment="1" applyProtection="1">
      <alignment horizontal="center"/>
    </xf>
    <xf numFmtId="167" fontId="18" fillId="5" borderId="2" xfId="0" applyNumberFormat="1" applyFont="1" applyFill="1" applyBorder="1" applyAlignment="1" applyProtection="1">
      <alignment horizontal="center"/>
    </xf>
    <xf numFmtId="167" fontId="18" fillId="4" borderId="4" xfId="0" applyNumberFormat="1" applyFont="1" applyFill="1" applyBorder="1" applyAlignment="1" applyProtection="1">
      <alignment horizontal="center"/>
    </xf>
    <xf numFmtId="167" fontId="18" fillId="5" borderId="4" xfId="0" applyNumberFormat="1" applyFont="1" applyFill="1" applyBorder="1" applyAlignment="1" applyProtection="1">
      <alignment horizontal="center"/>
    </xf>
    <xf numFmtId="3" fontId="19" fillId="0" borderId="0" xfId="0" quotePrefix="1" applyNumberFormat="1" applyFont="1" applyBorder="1" applyAlignment="1">
      <alignment horizontal="center"/>
    </xf>
    <xf numFmtId="37" fontId="39" fillId="0" borderId="0" xfId="0" quotePrefix="1" applyFont="1" applyBorder="1" applyAlignment="1">
      <alignment horizontal="right"/>
    </xf>
    <xf numFmtId="167" fontId="4" fillId="4" borderId="75" xfId="0" applyNumberFormat="1" applyFont="1" applyFill="1" applyBorder="1" applyAlignment="1" applyProtection="1">
      <alignment horizontal="center"/>
    </xf>
    <xf numFmtId="37" fontId="4" fillId="0" borderId="0" xfId="0" applyFont="1" applyAlignment="1">
      <alignment horizontal="centerContinuous"/>
    </xf>
    <xf numFmtId="37" fontId="18" fillId="0" borderId="0" xfId="0" quotePrefix="1" applyFont="1" applyAlignment="1">
      <alignment horizontal="left"/>
    </xf>
    <xf numFmtId="37" fontId="22" fillId="0" borderId="0" xfId="0" applyFont="1" applyAlignment="1">
      <alignment horizontal="centerContinuous"/>
    </xf>
    <xf numFmtId="37" fontId="4" fillId="0" borderId="39" xfId="0" applyFont="1" applyBorder="1" applyAlignment="1"/>
    <xf numFmtId="37" fontId="6" fillId="0" borderId="70" xfId="0" applyFont="1" applyBorder="1" applyAlignment="1"/>
    <xf numFmtId="167" fontId="4" fillId="0" borderId="70" xfId="0" applyNumberFormat="1" applyFont="1" applyBorder="1" applyAlignment="1" applyProtection="1">
      <alignment horizontal="center"/>
    </xf>
    <xf numFmtId="37" fontId="41" fillId="0" borderId="0" xfId="0" applyFont="1" applyAlignment="1"/>
    <xf numFmtId="37" fontId="40" fillId="0" borderId="0" xfId="0" applyFont="1" applyFill="1" applyAlignment="1"/>
    <xf numFmtId="37" fontId="40" fillId="7" borderId="0" xfId="0" applyFont="1" applyFill="1" applyAlignment="1"/>
    <xf numFmtId="37" fontId="0" fillId="0" borderId="0" xfId="0" applyFill="1" applyAlignment="1"/>
    <xf numFmtId="37" fontId="4" fillId="0" borderId="0" xfId="0" applyFont="1" applyFill="1" applyBorder="1" applyAlignment="1"/>
    <xf numFmtId="37" fontId="4" fillId="7" borderId="0" xfId="0" quotePrefix="1" applyFont="1" applyFill="1" applyBorder="1" applyAlignment="1" applyProtection="1">
      <alignment horizontal="left"/>
    </xf>
    <xf numFmtId="39" fontId="0" fillId="0" borderId="0" xfId="0" applyNumberFormat="1" applyAlignment="1"/>
    <xf numFmtId="1" fontId="0" fillId="0" borderId="0" xfId="0" applyNumberFormat="1" applyAlignment="1"/>
    <xf numFmtId="17" fontId="30" fillId="7" borderId="0" xfId="0" applyNumberFormat="1" applyFont="1" applyFill="1" applyAlignment="1">
      <alignment horizontal="centerContinuous"/>
    </xf>
    <xf numFmtId="37" fontId="19" fillId="7" borderId="0" xfId="0" applyFont="1" applyFill="1" applyAlignment="1">
      <alignment horizontal="centerContinuous"/>
    </xf>
    <xf numFmtId="17" fontId="19" fillId="7" borderId="0" xfId="0" applyNumberFormat="1" applyFont="1" applyFill="1" applyAlignment="1">
      <alignment horizontal="centerContinuous"/>
    </xf>
    <xf numFmtId="37" fontId="19" fillId="3" borderId="0" xfId="4"/>
    <xf numFmtId="37" fontId="30" fillId="7" borderId="0" xfId="0" applyFont="1" applyFill="1" applyAlignment="1"/>
    <xf numFmtId="37" fontId="19" fillId="7" borderId="0" xfId="0" applyFont="1" applyFill="1" applyAlignment="1"/>
    <xf numFmtId="17" fontId="30" fillId="7" borderId="0" xfId="0" applyNumberFormat="1" applyFont="1" applyFill="1" applyAlignment="1">
      <alignment horizontal="center"/>
    </xf>
    <xf numFmtId="37" fontId="30" fillId="7" borderId="0" xfId="0" applyFont="1" applyFill="1" applyAlignment="1">
      <alignment horizontal="right"/>
    </xf>
    <xf numFmtId="37" fontId="30" fillId="7" borderId="0" xfId="0" quotePrefix="1" applyFont="1" applyFill="1" applyAlignment="1">
      <alignment horizontal="right"/>
    </xf>
    <xf numFmtId="17" fontId="19" fillId="0" borderId="0" xfId="0" applyNumberFormat="1" applyFont="1" applyFill="1" applyAlignment="1"/>
    <xf numFmtId="197" fontId="19" fillId="0" borderId="0" xfId="0" applyNumberFormat="1" applyFont="1" applyFill="1" applyAlignment="1"/>
    <xf numFmtId="17" fontId="19" fillId="0" borderId="0" xfId="0" applyNumberFormat="1" applyFont="1" applyFill="1" applyAlignment="1" applyProtection="1"/>
    <xf numFmtId="17" fontId="19" fillId="7" borderId="0" xfId="0" applyNumberFormat="1" applyFont="1" applyFill="1" applyAlignment="1"/>
    <xf numFmtId="37" fontId="19" fillId="7" borderId="0" xfId="0" applyFont="1" applyFill="1" applyAlignment="1">
      <alignment horizontal="right"/>
    </xf>
    <xf numFmtId="37" fontId="30" fillId="7" borderId="0" xfId="0" applyFont="1" applyFill="1" applyAlignment="1">
      <alignment horizontal="center"/>
    </xf>
    <xf numFmtId="8" fontId="19" fillId="7" borderId="0" xfId="0" applyNumberFormat="1" applyFont="1" applyFill="1" applyAlignment="1"/>
    <xf numFmtId="17" fontId="19" fillId="7" borderId="0" xfId="0" applyNumberFormat="1" applyFont="1" applyFill="1" applyAlignment="1">
      <alignment horizontal="right"/>
    </xf>
    <xf numFmtId="8" fontId="30" fillId="7" borderId="0" xfId="0" applyNumberFormat="1" applyFont="1" applyFill="1" applyAlignment="1"/>
    <xf numFmtId="197" fontId="19" fillId="7" borderId="0" xfId="0" applyNumberFormat="1" applyFont="1" applyFill="1" applyAlignment="1"/>
    <xf numFmtId="37" fontId="19" fillId="7" borderId="0" xfId="0" quotePrefix="1" applyFont="1" applyFill="1" applyAlignment="1">
      <alignment horizontal="right"/>
    </xf>
    <xf numFmtId="14" fontId="30" fillId="0" borderId="0" xfId="0" applyNumberFormat="1" applyFont="1" applyAlignment="1">
      <alignment horizontal="right"/>
    </xf>
    <xf numFmtId="37" fontId="19" fillId="3" borderId="41" xfId="4" applyBorder="1" applyAlignment="1">
      <alignment horizontal="center"/>
    </xf>
    <xf numFmtId="3" fontId="19" fillId="3" borderId="41" xfId="4" applyNumberFormat="1" applyBorder="1" applyAlignment="1">
      <alignment horizontal="center"/>
    </xf>
    <xf numFmtId="38" fontId="19" fillId="3" borderId="0" xfId="4" applyNumberFormat="1" applyBorder="1"/>
    <xf numFmtId="38" fontId="19" fillId="3" borderId="38" xfId="4" applyNumberFormat="1" applyBorder="1"/>
    <xf numFmtId="37" fontId="42" fillId="0" borderId="0" xfId="0" quotePrefix="1" applyFont="1" applyAlignment="1">
      <alignment horizontal="left"/>
    </xf>
    <xf numFmtId="9" fontId="19" fillId="3" borderId="0" xfId="4" applyNumberFormat="1"/>
    <xf numFmtId="10" fontId="19" fillId="3" borderId="0" xfId="4" applyNumberFormat="1"/>
    <xf numFmtId="2" fontId="19" fillId="3" borderId="0" xfId="4" applyNumberFormat="1"/>
    <xf numFmtId="190" fontId="19" fillId="3" borderId="0" xfId="4" applyNumberFormat="1"/>
    <xf numFmtId="197" fontId="19" fillId="3" borderId="0" xfId="4" applyNumberFormat="1"/>
    <xf numFmtId="8" fontId="19" fillId="3" borderId="0" xfId="4" applyNumberFormat="1"/>
    <xf numFmtId="6" fontId="19" fillId="3" borderId="0" xfId="4" applyNumberFormat="1" applyBorder="1"/>
    <xf numFmtId="6" fontId="19" fillId="3" borderId="0" xfId="4" applyNumberFormat="1"/>
    <xf numFmtId="3" fontId="19" fillId="3" borderId="38" xfId="4" applyNumberFormat="1" applyBorder="1"/>
    <xf numFmtId="3" fontId="19" fillId="0" borderId="38" xfId="0" applyNumberFormat="1" applyFont="1" applyBorder="1" applyAlignment="1"/>
    <xf numFmtId="38" fontId="19" fillId="3" borderId="0" xfId="4" applyNumberFormat="1" applyAlignment="1" applyProtection="1"/>
    <xf numFmtId="8" fontId="0" fillId="0" borderId="0" xfId="2" applyFont="1" applyAlignment="1"/>
    <xf numFmtId="40" fontId="19" fillId="3" borderId="0" xfId="4" applyNumberFormat="1" applyAlignment="1" applyProtection="1"/>
    <xf numFmtId="8" fontId="19" fillId="0" borderId="0" xfId="2" applyFont="1" applyAlignment="1" applyProtection="1"/>
    <xf numFmtId="8" fontId="7" fillId="0" borderId="0" xfId="2" applyFont="1" applyAlignment="1" applyProtection="1"/>
    <xf numFmtId="8" fontId="15" fillId="0" borderId="0" xfId="2" applyFont="1" applyAlignment="1" applyProtection="1"/>
    <xf numFmtId="8" fontId="19" fillId="3" borderId="0" xfId="4" applyNumberFormat="1" applyAlignment="1" applyProtection="1"/>
    <xf numFmtId="167" fontId="38" fillId="0" borderId="0" xfId="0" applyNumberFormat="1" applyFont="1" applyAlignment="1" applyProtection="1"/>
    <xf numFmtId="167" fontId="38" fillId="0" borderId="0" xfId="0" quotePrefix="1" applyNumberFormat="1" applyFont="1" applyAlignment="1" applyProtection="1"/>
    <xf numFmtId="181" fontId="19" fillId="3" borderId="0" xfId="4" applyNumberFormat="1" applyAlignment="1" applyProtection="1"/>
    <xf numFmtId="38" fontId="19" fillId="3" borderId="38" xfId="4" applyNumberFormat="1" applyBorder="1" applyAlignment="1" applyProtection="1"/>
    <xf numFmtId="197" fontId="0" fillId="0" borderId="0" xfId="2" applyNumberFormat="1" applyFont="1" applyAlignment="1"/>
    <xf numFmtId="197" fontId="7" fillId="0" borderId="0" xfId="2" applyNumberFormat="1" applyFont="1" applyAlignment="1" applyProtection="1"/>
    <xf numFmtId="197" fontId="15" fillId="0" borderId="0" xfId="2" applyNumberFormat="1" applyFont="1" applyAlignment="1" applyProtection="1"/>
    <xf numFmtId="197" fontId="19" fillId="3" borderId="0" xfId="4" applyNumberFormat="1" applyAlignment="1" applyProtection="1"/>
    <xf numFmtId="197" fontId="19" fillId="0" borderId="0" xfId="2" applyNumberFormat="1" applyFont="1" applyAlignment="1" applyProtection="1"/>
    <xf numFmtId="8" fontId="19" fillId="3" borderId="0" xfId="4" applyNumberFormat="1" applyAlignment="1"/>
    <xf numFmtId="9" fontId="19" fillId="3" borderId="0" xfId="4" applyNumberFormat="1" applyAlignment="1"/>
    <xf numFmtId="38" fontId="19" fillId="3" borderId="0" xfId="4" applyNumberFormat="1" applyAlignment="1"/>
    <xf numFmtId="38" fontId="19" fillId="3" borderId="0" xfId="4" applyNumberFormat="1" applyBorder="1" applyAlignment="1"/>
    <xf numFmtId="38" fontId="19" fillId="3" borderId="38" xfId="4" applyNumberFormat="1" applyBorder="1" applyAlignment="1"/>
    <xf numFmtId="38" fontId="19" fillId="3" borderId="0" xfId="4" applyNumberFormat="1" applyBorder="1" applyAlignment="1" applyProtection="1"/>
    <xf numFmtId="167" fontId="4" fillId="0" borderId="0" xfId="0" applyNumberFormat="1" applyFont="1" applyBorder="1" applyAlignment="1" applyProtection="1"/>
    <xf numFmtId="167" fontId="4" fillId="0" borderId="0" xfId="0" applyNumberFormat="1" applyFont="1" applyFill="1" applyBorder="1" applyAlignment="1" applyProtection="1"/>
    <xf numFmtId="38" fontId="0" fillId="0" borderId="38" xfId="0" applyNumberFormat="1" applyBorder="1" applyAlignment="1"/>
    <xf numFmtId="37" fontId="19" fillId="3" borderId="0" xfId="4" applyBorder="1" applyAlignment="1"/>
    <xf numFmtId="7" fontId="4" fillId="0" borderId="0" xfId="0" applyNumberFormat="1" applyFont="1" applyAlignment="1"/>
    <xf numFmtId="37" fontId="10" fillId="0" borderId="0" xfId="0" applyFont="1" applyAlignment="1"/>
    <xf numFmtId="37" fontId="19" fillId="3" borderId="0" xfId="4" applyAlignment="1"/>
    <xf numFmtId="8" fontId="10" fillId="0" borderId="0" xfId="2" applyFont="1" applyAlignment="1"/>
    <xf numFmtId="37" fontId="10" fillId="0" borderId="38" xfId="0" applyFont="1" applyBorder="1" applyAlignment="1"/>
    <xf numFmtId="37" fontId="16" fillId="0" borderId="38" xfId="0" applyFont="1" applyBorder="1" applyAlignment="1"/>
    <xf numFmtId="37" fontId="16" fillId="0" borderId="0" xfId="0" applyFont="1" applyAlignment="1"/>
    <xf numFmtId="37" fontId="16" fillId="0" borderId="0" xfId="0" applyFont="1" applyBorder="1" applyAlignment="1"/>
    <xf numFmtId="17" fontId="19" fillId="3" borderId="0" xfId="4" applyNumberFormat="1"/>
    <xf numFmtId="6" fontId="19" fillId="3" borderId="0" xfId="4" applyNumberFormat="1" applyProtection="1">
      <protection locked="0"/>
    </xf>
    <xf numFmtId="37" fontId="19" fillId="3" borderId="0" xfId="4" applyNumberFormat="1" applyProtection="1">
      <protection locked="0"/>
    </xf>
    <xf numFmtId="37" fontId="19" fillId="3" borderId="0" xfId="4" applyProtection="1">
      <protection locked="0"/>
    </xf>
    <xf numFmtId="38" fontId="19" fillId="3" borderId="40" xfId="4" applyNumberFormat="1" applyBorder="1"/>
    <xf numFmtId="38" fontId="19" fillId="3" borderId="54" xfId="4" applyNumberFormat="1" applyBorder="1"/>
    <xf numFmtId="37" fontId="19" fillId="3" borderId="54" xfId="4" applyBorder="1"/>
    <xf numFmtId="37" fontId="19" fillId="3" borderId="55" xfId="4" applyBorder="1"/>
    <xf numFmtId="37" fontId="19" fillId="3" borderId="0" xfId="4" applyAlignment="1">
      <alignment horizontal="left"/>
    </xf>
    <xf numFmtId="38" fontId="19" fillId="3" borderId="48" xfId="4" applyNumberFormat="1" applyBorder="1"/>
    <xf numFmtId="38" fontId="19" fillId="3" borderId="26" xfId="4" applyNumberFormat="1" applyBorder="1"/>
    <xf numFmtId="38" fontId="19" fillId="3" borderId="50" xfId="4" applyNumberFormat="1" applyBorder="1"/>
    <xf numFmtId="38" fontId="19" fillId="3" borderId="49" xfId="4" applyNumberFormat="1" applyBorder="1"/>
    <xf numFmtId="174" fontId="19" fillId="3" borderId="0" xfId="4" applyNumberFormat="1" applyProtection="1">
      <protection locked="0"/>
    </xf>
    <xf numFmtId="167" fontId="19" fillId="3" borderId="0" xfId="4" applyNumberFormat="1" applyProtection="1"/>
    <xf numFmtId="172" fontId="19" fillId="3" borderId="0" xfId="4" applyNumberFormat="1"/>
    <xf numFmtId="37" fontId="19" fillId="3" borderId="26" xfId="4" applyBorder="1" applyProtection="1">
      <protection locked="0"/>
    </xf>
    <xf numFmtId="10" fontId="19" fillId="3" borderId="0" xfId="4" applyNumberFormat="1" applyProtection="1">
      <protection locked="0"/>
    </xf>
    <xf numFmtId="7" fontId="19" fillId="3" borderId="55" xfId="4" applyNumberFormat="1" applyBorder="1"/>
    <xf numFmtId="167" fontId="19" fillId="3" borderId="0" xfId="4" applyNumberFormat="1" applyAlignment="1" applyProtection="1">
      <alignment horizontal="right"/>
      <protection locked="0"/>
    </xf>
    <xf numFmtId="37" fontId="19" fillId="3" borderId="0" xfId="4" applyNumberFormat="1" applyAlignment="1" applyProtection="1">
      <alignment horizontal="right"/>
      <protection locked="0"/>
    </xf>
    <xf numFmtId="37" fontId="19" fillId="3" borderId="38" xfId="4" applyBorder="1" applyProtection="1">
      <protection locked="0"/>
    </xf>
    <xf numFmtId="171" fontId="19" fillId="3" borderId="0" xfId="4" applyNumberFormat="1" applyProtection="1">
      <protection locked="0"/>
    </xf>
    <xf numFmtId="10" fontId="19" fillId="3" borderId="54" xfId="4" applyNumberFormat="1" applyBorder="1" applyProtection="1">
      <protection locked="0"/>
    </xf>
    <xf numFmtId="169" fontId="19" fillId="3" borderId="0" xfId="4" applyNumberFormat="1" applyProtection="1">
      <protection locked="0"/>
    </xf>
    <xf numFmtId="176" fontId="19" fillId="3" borderId="0" xfId="4" applyNumberFormat="1" applyBorder="1"/>
    <xf numFmtId="170" fontId="19" fillId="3" borderId="0" xfId="4" applyNumberFormat="1" applyProtection="1">
      <protection locked="0"/>
    </xf>
    <xf numFmtId="9" fontId="19" fillId="3" borderId="41" xfId="4" applyNumberFormat="1" applyBorder="1" applyAlignment="1">
      <alignment horizontal="center"/>
    </xf>
    <xf numFmtId="9" fontId="19" fillId="3" borderId="41" xfId="4" applyNumberFormat="1" applyBorder="1"/>
    <xf numFmtId="167" fontId="19" fillId="3" borderId="41" xfId="4" applyNumberFormat="1" applyBorder="1" applyAlignment="1" applyProtection="1"/>
    <xf numFmtId="167" fontId="19" fillId="3" borderId="41" xfId="4" applyNumberFormat="1" applyBorder="1" applyAlignment="1" applyProtection="1">
      <alignment horizontal="center"/>
    </xf>
    <xf numFmtId="37" fontId="38" fillId="0" borderId="0" xfId="0" applyFont="1" applyBorder="1" applyAlignment="1"/>
    <xf numFmtId="1" fontId="19" fillId="3" borderId="0" xfId="4" applyNumberFormat="1"/>
    <xf numFmtId="3" fontId="19" fillId="3" borderId="41" xfId="4" applyNumberFormat="1" applyBorder="1"/>
    <xf numFmtId="38" fontId="19" fillId="3" borderId="41" xfId="4" applyNumberFormat="1" applyBorder="1"/>
    <xf numFmtId="181" fontId="19" fillId="3" borderId="0" xfId="4" applyNumberFormat="1" applyAlignment="1" applyProtection="1">
      <alignment horizontal="right"/>
    </xf>
    <xf numFmtId="40" fontId="19" fillId="3" borderId="0" xfId="4" applyNumberFormat="1" applyAlignment="1" applyProtection="1">
      <alignment horizontal="right"/>
    </xf>
    <xf numFmtId="40" fontId="19" fillId="3" borderId="0" xfId="4" applyNumberFormat="1"/>
    <xf numFmtId="40" fontId="19" fillId="3" borderId="41" xfId="4" applyNumberFormat="1" applyBorder="1"/>
    <xf numFmtId="171" fontId="19" fillId="3" borderId="0" xfId="4" applyNumberFormat="1"/>
    <xf numFmtId="191" fontId="19" fillId="0" borderId="0" xfId="0" applyNumberFormat="1" applyFont="1" applyAlignment="1"/>
    <xf numFmtId="2" fontId="19" fillId="0" borderId="0" xfId="0" applyNumberFormat="1" applyFont="1" applyAlignment="1"/>
    <xf numFmtId="37" fontId="32" fillId="0" borderId="0" xfId="0" applyFont="1" applyAlignment="1">
      <alignment horizontal="right"/>
    </xf>
    <xf numFmtId="2" fontId="32" fillId="0" borderId="0" xfId="0" applyNumberFormat="1" applyFont="1" applyAlignment="1">
      <alignment horizontal="right"/>
    </xf>
    <xf numFmtId="191" fontId="19" fillId="0" borderId="0" xfId="0" quotePrefix="1" applyNumberFormat="1" applyFont="1" applyAlignment="1"/>
    <xf numFmtId="37" fontId="19" fillId="0" borderId="77" xfId="0" applyFont="1" applyBorder="1" applyAlignment="1"/>
    <xf numFmtId="191" fontId="19" fillId="0" borderId="77" xfId="0" quotePrefix="1" applyNumberFormat="1" applyFont="1" applyBorder="1" applyAlignment="1"/>
    <xf numFmtId="191" fontId="19" fillId="0" borderId="77" xfId="0" applyNumberFormat="1" applyFont="1" applyBorder="1" applyAlignment="1"/>
    <xf numFmtId="171" fontId="4" fillId="0" borderId="0" xfId="3" applyNumberFormat="1" applyFont="1" applyAlignment="1">
      <alignment horizontal="right"/>
    </xf>
    <xf numFmtId="6" fontId="15" fillId="0" borderId="0" xfId="2" applyNumberFormat="1" applyFont="1" applyBorder="1"/>
    <xf numFmtId="6" fontId="4" fillId="0" borderId="38" xfId="2" applyNumberFormat="1" applyFont="1" applyBorder="1"/>
    <xf numFmtId="8" fontId="4" fillId="0" borderId="38" xfId="2" applyFont="1" applyBorder="1"/>
    <xf numFmtId="9" fontId="4" fillId="0" borderId="0" xfId="3" applyFont="1"/>
    <xf numFmtId="8" fontId="4" fillId="0" borderId="0" xfId="2" applyFont="1"/>
    <xf numFmtId="8" fontId="19" fillId="0" borderId="0" xfId="2" applyFont="1" applyAlignment="1" applyProtection="1">
      <alignment horizontal="right"/>
    </xf>
    <xf numFmtId="197" fontId="4" fillId="0" borderId="0" xfId="2" applyNumberFormat="1" applyFont="1"/>
    <xf numFmtId="197" fontId="19" fillId="0" borderId="0" xfId="2" applyNumberFormat="1" applyFont="1" applyAlignment="1" applyProtection="1">
      <alignment horizontal="right"/>
    </xf>
    <xf numFmtId="37" fontId="6" fillId="0" borderId="70" xfId="0" quotePrefix="1" applyFont="1" applyBorder="1" applyAlignment="1">
      <alignment horizontal="left"/>
    </xf>
    <xf numFmtId="3" fontId="0" fillId="0" borderId="70" xfId="0" applyNumberFormat="1" applyBorder="1" applyAlignment="1"/>
    <xf numFmtId="37" fontId="19" fillId="0" borderId="0" xfId="0" applyNumberFormat="1" applyFont="1" applyBorder="1" applyAlignment="1"/>
    <xf numFmtId="39" fontId="19" fillId="0" borderId="0" xfId="0" applyNumberFormat="1" applyFont="1" applyBorder="1" applyAlignment="1"/>
    <xf numFmtId="37" fontId="0" fillId="0" borderId="70" xfId="0" quotePrefix="1" applyBorder="1" applyAlignment="1">
      <alignment horizontal="left"/>
    </xf>
    <xf numFmtId="38" fontId="0" fillId="0" borderId="0" xfId="0" applyNumberFormat="1" applyAlignment="1"/>
    <xf numFmtId="37" fontId="0" fillId="0" borderId="0" xfId="0" applyFill="1" applyAlignment="1" applyProtection="1">
      <alignment horizontal="right"/>
    </xf>
    <xf numFmtId="37" fontId="0" fillId="0" borderId="38" xfId="0" applyFill="1" applyBorder="1" applyAlignment="1" applyProtection="1"/>
    <xf numFmtId="37" fontId="0" fillId="0" borderId="0" xfId="0" applyFill="1" applyBorder="1" applyAlignment="1" applyProtection="1">
      <alignment horizontal="right"/>
    </xf>
    <xf numFmtId="37" fontId="0" fillId="0" borderId="38" xfId="0" applyFill="1" applyBorder="1" applyAlignment="1" applyProtection="1">
      <alignment horizontal="right"/>
    </xf>
    <xf numFmtId="37" fontId="0" fillId="0" borderId="0" xfId="0" quotePrefix="1" applyFill="1" applyAlignment="1" applyProtection="1">
      <alignment horizontal="right"/>
    </xf>
    <xf numFmtId="37" fontId="0" fillId="0" borderId="0" xfId="0" quotePrefix="1" applyFill="1" applyAlignment="1">
      <alignment horizontal="left"/>
    </xf>
    <xf numFmtId="37" fontId="0" fillId="0" borderId="38" xfId="0" applyFill="1" applyBorder="1" applyAlignment="1"/>
    <xf numFmtId="37" fontId="6" fillId="0" borderId="0" xfId="0" applyFont="1" applyFill="1" applyAlignment="1"/>
    <xf numFmtId="37" fontId="0" fillId="0" borderId="0" xfId="0" applyFill="1" applyBorder="1" applyAlignment="1"/>
    <xf numFmtId="37" fontId="0" fillId="0" borderId="0" xfId="0" applyFill="1" applyAlignment="1" applyProtection="1"/>
    <xf numFmtId="37" fontId="0" fillId="0" borderId="0" xfId="0" applyFill="1" applyBorder="1" applyAlignment="1" applyProtection="1"/>
    <xf numFmtId="37" fontId="0" fillId="0" borderId="0" xfId="0" quotePrefix="1" applyFill="1" applyAlignment="1" applyProtection="1"/>
    <xf numFmtId="37" fontId="0" fillId="0" borderId="26" xfId="0" applyFill="1" applyBorder="1" applyAlignment="1" applyProtection="1">
      <alignment horizontal="right"/>
    </xf>
    <xf numFmtId="37" fontId="0" fillId="0" borderId="0" xfId="0" quotePrefix="1" applyFill="1" applyBorder="1" applyAlignment="1">
      <alignment horizontal="right"/>
    </xf>
    <xf numFmtId="9" fontId="0" fillId="0" borderId="0" xfId="3" applyFont="1" applyFill="1" applyBorder="1"/>
    <xf numFmtId="9" fontId="0" fillId="0" borderId="0" xfId="3" applyFont="1" applyFill="1"/>
    <xf numFmtId="37" fontId="19" fillId="3" borderId="0" xfId="4" applyNumberFormat="1" applyBorder="1" applyAlignment="1" applyProtection="1">
      <alignment horizontal="centerContinuous"/>
    </xf>
    <xf numFmtId="37" fontId="19" fillId="3" borderId="0" xfId="4" applyAlignment="1">
      <alignment horizontal="centerContinuous"/>
    </xf>
    <xf numFmtId="10" fontId="8" fillId="0" borderId="1" xfId="0" quotePrefix="1" applyNumberFormat="1" applyFont="1" applyBorder="1" applyAlignment="1" applyProtection="1">
      <alignment horizontal="center"/>
    </xf>
    <xf numFmtId="171" fontId="4" fillId="0" borderId="0" xfId="3" applyNumberFormat="1" applyFont="1" applyBorder="1" applyAlignment="1">
      <alignment horizontal="right"/>
    </xf>
    <xf numFmtId="171" fontId="4" fillId="0" borderId="51" xfId="3" applyNumberFormat="1" applyFont="1" applyBorder="1" applyAlignment="1">
      <alignment horizontal="right"/>
    </xf>
    <xf numFmtId="10" fontId="19" fillId="3" borderId="0" xfId="4" applyNumberFormat="1" applyBorder="1" applyProtection="1">
      <protection locked="0"/>
    </xf>
    <xf numFmtId="37" fontId="31" fillId="8" borderId="0" xfId="0" quotePrefix="1" applyFont="1" applyFill="1" applyAlignment="1">
      <alignment horizontal="left"/>
    </xf>
    <xf numFmtId="37" fontId="0" fillId="8" borderId="0" xfId="0" applyFill="1" applyAlignment="1"/>
    <xf numFmtId="37" fontId="0" fillId="8" borderId="0" xfId="0" quotePrefix="1" applyFill="1" applyAlignment="1">
      <alignment horizontal="left"/>
    </xf>
    <xf numFmtId="37" fontId="0" fillId="8" borderId="0" xfId="0" applyFill="1" applyAlignment="1">
      <alignment horizontal="left"/>
    </xf>
    <xf numFmtId="37" fontId="0" fillId="8" borderId="38" xfId="0" quotePrefix="1" applyFill="1" applyBorder="1" applyAlignment="1">
      <alignment horizontal="left"/>
    </xf>
    <xf numFmtId="37" fontId="0" fillId="8" borderId="38" xfId="0" applyFill="1" applyBorder="1" applyAlignment="1"/>
    <xf numFmtId="37" fontId="0" fillId="8" borderId="51" xfId="0" applyFill="1" applyBorder="1" applyAlignment="1"/>
    <xf numFmtId="37" fontId="4" fillId="8" borderId="0" xfId="0" quotePrefix="1" applyFont="1" applyFill="1" applyAlignment="1">
      <alignment horizontal="left"/>
    </xf>
    <xf numFmtId="37" fontId="33" fillId="8" borderId="0" xfId="0" applyFont="1" applyFill="1" applyAlignment="1">
      <alignment horizontal="left"/>
    </xf>
    <xf numFmtId="37" fontId="4" fillId="8" borderId="0" xfId="0" applyFont="1" applyFill="1" applyAlignment="1"/>
    <xf numFmtId="37" fontId="8" fillId="8" borderId="0" xfId="0" applyFont="1" applyFill="1" applyAlignment="1"/>
    <xf numFmtId="37" fontId="4" fillId="8" borderId="0" xfId="0" applyFont="1" applyFill="1" applyAlignment="1">
      <alignment horizontal="left"/>
    </xf>
    <xf numFmtId="37" fontId="4" fillId="8" borderId="0" xfId="0" applyFont="1" applyFill="1" applyAlignment="1">
      <alignment horizontal="right"/>
    </xf>
    <xf numFmtId="7" fontId="4" fillId="8" borderId="0" xfId="0" applyNumberFormat="1" applyFont="1" applyFill="1" applyAlignment="1" applyProtection="1">
      <protection locked="0"/>
    </xf>
    <xf numFmtId="37" fontId="21" fillId="8" borderId="0" xfId="0" applyFont="1" applyFill="1" applyAlignment="1"/>
    <xf numFmtId="37" fontId="19" fillId="8" borderId="0" xfId="0" applyFont="1" applyFill="1" applyAlignment="1" applyProtection="1">
      <protection locked="0"/>
    </xf>
    <xf numFmtId="37" fontId="0" fillId="8" borderId="71" xfId="0" applyFill="1" applyBorder="1" applyAlignment="1"/>
    <xf numFmtId="10" fontId="0" fillId="8" borderId="0" xfId="0" applyNumberFormat="1" applyFill="1" applyAlignment="1"/>
    <xf numFmtId="37" fontId="4" fillId="8" borderId="0" xfId="0" quotePrefix="1" applyFont="1" applyFill="1" applyBorder="1" applyAlignment="1">
      <alignment horizontal="right"/>
    </xf>
    <xf numFmtId="37" fontId="0" fillId="8" borderId="70" xfId="0" applyFill="1" applyBorder="1" applyAlignment="1"/>
    <xf numFmtId="37" fontId="4" fillId="8" borderId="70" xfId="0" applyFont="1" applyFill="1" applyBorder="1" applyAlignment="1"/>
    <xf numFmtId="37" fontId="31" fillId="8" borderId="0" xfId="0" applyFont="1" applyFill="1" applyAlignment="1"/>
    <xf numFmtId="38" fontId="0" fillId="8" borderId="0" xfId="1" applyNumberFormat="1" applyFont="1" applyFill="1"/>
    <xf numFmtId="38" fontId="0" fillId="8" borderId="0" xfId="0" applyNumberFormat="1" applyFill="1" applyAlignment="1"/>
    <xf numFmtId="37" fontId="33" fillId="8" borderId="0" xfId="0" applyFont="1" applyFill="1" applyAlignment="1"/>
    <xf numFmtId="37" fontId="4" fillId="8" borderId="71" xfId="0" applyFont="1" applyFill="1" applyBorder="1" applyAlignment="1"/>
    <xf numFmtId="37" fontId="0" fillId="8" borderId="0" xfId="0" applyNumberFormat="1" applyFill="1" applyAlignment="1"/>
    <xf numFmtId="172" fontId="0" fillId="8" borderId="0" xfId="0" applyNumberFormat="1" applyFill="1" applyAlignment="1"/>
    <xf numFmtId="171" fontId="0" fillId="8" borderId="0" xfId="0" applyNumberFormat="1" applyFill="1" applyAlignment="1"/>
    <xf numFmtId="37" fontId="0" fillId="0" borderId="41" xfId="0" applyBorder="1" applyAlignment="1"/>
    <xf numFmtId="37" fontId="0" fillId="0" borderId="38" xfId="0" applyBorder="1" applyAlignment="1" applyProtection="1"/>
    <xf numFmtId="9" fontId="19" fillId="3" borderId="0" xfId="4" applyNumberFormat="1" applyBorder="1" applyAlignment="1" applyProtection="1"/>
    <xf numFmtId="37" fontId="0" fillId="0" borderId="0" xfId="0" quotePrefix="1" applyFill="1" applyAlignment="1" applyProtection="1">
      <alignment horizontal="left"/>
    </xf>
    <xf numFmtId="37" fontId="9" fillId="0" borderId="0" xfId="0" quotePrefix="1" applyFont="1" applyAlignment="1">
      <alignment horizontal="left"/>
    </xf>
    <xf numFmtId="37" fontId="43" fillId="0" borderId="0" xfId="0" quotePrefix="1" applyFont="1" applyAlignment="1">
      <alignment horizontal="left"/>
    </xf>
    <xf numFmtId="14" fontId="19" fillId="3" borderId="0" xfId="4" applyNumberFormat="1" applyFont="1" applyAlignment="1">
      <alignment horizontal="center"/>
    </xf>
    <xf numFmtId="0" fontId="30" fillId="7" borderId="0" xfId="0" applyNumberFormat="1" applyFont="1" applyFill="1" applyAlignment="1">
      <alignment horizontal="center"/>
    </xf>
    <xf numFmtId="171" fontId="19" fillId="3" borderId="0" xfId="4" applyNumberFormat="1" applyAlignment="1"/>
    <xf numFmtId="0" fontId="0" fillId="0" borderId="4" xfId="0" applyNumberFormat="1" applyFont="1" applyBorder="1" applyAlignment="1">
      <alignment horizontal="center"/>
    </xf>
    <xf numFmtId="0" fontId="0" fillId="6" borderId="4" xfId="0" applyNumberFormat="1" applyFont="1" applyFill="1" applyBorder="1" applyAlignment="1">
      <alignment horizontal="center"/>
    </xf>
    <xf numFmtId="37" fontId="19" fillId="3" borderId="41" xfId="4" applyFont="1" applyBorder="1" applyAlignment="1">
      <alignment horizontal="center"/>
    </xf>
    <xf numFmtId="37" fontId="19" fillId="3" borderId="0" xfId="4" applyFont="1" applyAlignment="1">
      <alignment horizontal="center"/>
    </xf>
    <xf numFmtId="0" fontId="19" fillId="0" borderId="0" xfId="1" applyNumberFormat="1" applyFont="1" applyFill="1"/>
    <xf numFmtId="9" fontId="0" fillId="0" borderId="0" xfId="3" applyNumberFormat="1" applyFont="1" applyFill="1"/>
    <xf numFmtId="167" fontId="19" fillId="3" borderId="0" xfId="4" applyNumberFormat="1" applyFont="1" applyAlignment="1" applyProtection="1">
      <alignment horizontal="right"/>
      <protection locked="0"/>
    </xf>
    <xf numFmtId="37" fontId="19" fillId="3" borderId="0" xfId="4" applyFont="1" applyAlignment="1" applyProtection="1">
      <alignment horizontal="right"/>
      <protection locked="0"/>
    </xf>
    <xf numFmtId="37" fontId="19" fillId="3" borderId="0" xfId="4" applyFont="1" applyBorder="1"/>
    <xf numFmtId="37" fontId="19" fillId="3" borderId="0" xfId="4" applyFont="1" applyBorder="1" applyAlignment="1">
      <alignment horizontal="left"/>
    </xf>
    <xf numFmtId="39" fontId="0" fillId="0" borderId="0" xfId="0" applyNumberFormat="1" applyFill="1" applyAlignment="1"/>
    <xf numFmtId="3" fontId="19" fillId="3" borderId="0" xfId="4" applyNumberFormat="1" applyFont="1" applyBorder="1"/>
    <xf numFmtId="38" fontId="19" fillId="7" borderId="0" xfId="4" applyNumberFormat="1" applyFill="1" applyAlignment="1" applyProtection="1"/>
    <xf numFmtId="190" fontId="0" fillId="7" borderId="0" xfId="0" applyNumberFormat="1" applyFill="1" applyAlignment="1"/>
    <xf numFmtId="190" fontId="19" fillId="7" borderId="0" xfId="4" applyNumberFormat="1" applyFill="1"/>
    <xf numFmtId="2" fontId="19" fillId="7" borderId="0" xfId="4" applyNumberFormat="1" applyFill="1"/>
    <xf numFmtId="170" fontId="4" fillId="0" borderId="0" xfId="0" applyNumberFormat="1" applyFont="1" applyFill="1" applyBorder="1" applyAlignment="1" applyProtection="1"/>
    <xf numFmtId="167" fontId="4" fillId="0" borderId="0" xfId="0" applyNumberFormat="1" applyFont="1" applyFill="1" applyBorder="1" applyAlignment="1" applyProtection="1">
      <alignment horizontal="left"/>
    </xf>
    <xf numFmtId="4" fontId="0" fillId="0" borderId="0" xfId="0" applyNumberFormat="1" applyAlignment="1"/>
    <xf numFmtId="37" fontId="0" fillId="3" borderId="0" xfId="0" applyFill="1" applyAlignment="1"/>
    <xf numFmtId="3" fontId="0" fillId="3" borderId="0" xfId="0" applyNumberFormat="1" applyFill="1" applyAlignment="1"/>
    <xf numFmtId="39" fontId="0" fillId="0" borderId="0" xfId="0" applyNumberFormat="1" applyAlignment="1">
      <alignment horizontal="center"/>
    </xf>
    <xf numFmtId="170" fontId="4" fillId="3" borderId="41" xfId="0" applyNumberFormat="1" applyFont="1" applyFill="1" applyBorder="1" applyAlignment="1" applyProtection="1"/>
    <xf numFmtId="37" fontId="0" fillId="3" borderId="41" xfId="0" applyFill="1" applyBorder="1" applyAlignment="1"/>
    <xf numFmtId="38" fontId="19" fillId="0" borderId="0" xfId="4" applyNumberFormat="1" applyFill="1" applyAlignment="1" applyProtection="1"/>
    <xf numFmtId="38" fontId="0" fillId="0" borderId="0" xfId="1" applyNumberFormat="1" applyFont="1" applyFill="1" applyAlignment="1"/>
    <xf numFmtId="38" fontId="19" fillId="0" borderId="0" xfId="4" applyNumberFormat="1" applyFill="1"/>
    <xf numFmtId="190" fontId="0" fillId="0" borderId="0" xfId="0" applyNumberFormat="1" applyFill="1" applyAlignment="1"/>
    <xf numFmtId="39" fontId="4" fillId="0" borderId="0" xfId="0" applyNumberFormat="1" applyFont="1" applyAlignment="1" applyProtection="1"/>
    <xf numFmtId="171" fontId="4" fillId="0" borderId="0" xfId="3" applyNumberFormat="1" applyFont="1" applyProtection="1"/>
    <xf numFmtId="10" fontId="0" fillId="0" borderId="0" xfId="3" applyNumberFormat="1" applyFont="1"/>
    <xf numFmtId="10" fontId="0" fillId="3" borderId="0" xfId="3" applyNumberFormat="1" applyFont="1" applyFill="1"/>
    <xf numFmtId="179" fontId="4" fillId="0" borderId="0" xfId="0" applyNumberFormat="1" applyFont="1" applyAlignment="1" applyProtection="1"/>
    <xf numFmtId="37" fontId="19" fillId="0" borderId="0" xfId="0" quotePrefix="1" applyFont="1" applyBorder="1" applyAlignment="1">
      <alignment horizontal="center"/>
    </xf>
    <xf numFmtId="9" fontId="19" fillId="9" borderId="41" xfId="4" applyNumberFormat="1" applyFont="1" applyFill="1" applyBorder="1"/>
    <xf numFmtId="39" fontId="0" fillId="0" borderId="0" xfId="0" applyNumberFormat="1" applyAlignment="1">
      <alignment horizontal="left"/>
    </xf>
    <xf numFmtId="9" fontId="0" fillId="0" borderId="0" xfId="3" applyFont="1" applyBorder="1"/>
    <xf numFmtId="9" fontId="19" fillId="0" borderId="0" xfId="3" applyFont="1" applyBorder="1"/>
    <xf numFmtId="3" fontId="19" fillId="0" borderId="0" xfId="4" applyNumberFormat="1" applyFill="1" applyBorder="1"/>
    <xf numFmtId="37" fontId="0" fillId="10" borderId="0" xfId="0" applyFill="1" applyAlignment="1"/>
    <xf numFmtId="9" fontId="19" fillId="3" borderId="0" xfId="4" applyNumberFormat="1" applyFill="1"/>
    <xf numFmtId="37" fontId="4" fillId="11" borderId="17" xfId="0" applyNumberFormat="1" applyFont="1" applyFill="1" applyBorder="1" applyAlignment="1" applyProtection="1"/>
    <xf numFmtId="37" fontId="4" fillId="11" borderId="17" xfId="0" applyFont="1" applyFill="1" applyBorder="1" applyAlignment="1"/>
    <xf numFmtId="169" fontId="19" fillId="0" borderId="0" xfId="4" applyNumberFormat="1" applyFill="1" applyProtection="1">
      <protection locked="0"/>
    </xf>
    <xf numFmtId="4" fontId="0" fillId="0" borderId="0" xfId="0" applyNumberFormat="1" applyFill="1" applyAlignment="1"/>
    <xf numFmtId="39" fontId="0" fillId="0" borderId="0" xfId="0" applyNumberFormat="1" applyFill="1" applyAlignment="1">
      <alignment horizontal="center"/>
    </xf>
    <xf numFmtId="2" fontId="0" fillId="12" borderId="41" xfId="3" applyNumberFormat="1" applyFont="1" applyFill="1" applyBorder="1"/>
    <xf numFmtId="10" fontId="19" fillId="3" borderId="0" xfId="4" applyNumberFormat="1" applyFont="1" applyProtection="1">
      <protection locked="0"/>
    </xf>
    <xf numFmtId="9" fontId="4" fillId="0" borderId="0" xfId="3" applyFont="1" applyAlignment="1">
      <alignment horizontal="left"/>
    </xf>
    <xf numFmtId="9" fontId="4" fillId="0" borderId="0" xfId="3" applyFont="1" applyFill="1" applyBorder="1" applyAlignment="1" applyProtection="1"/>
    <xf numFmtId="167" fontId="17" fillId="0" borderId="0" xfId="0" applyNumberFormat="1" applyFont="1" applyFill="1" applyBorder="1" applyAlignment="1" applyProtection="1"/>
    <xf numFmtId="3" fontId="17" fillId="0" borderId="0" xfId="0" applyNumberFormat="1" applyFont="1" applyAlignment="1"/>
    <xf numFmtId="176" fontId="0" fillId="0" borderId="0" xfId="0" applyNumberFormat="1" applyAlignment="1"/>
    <xf numFmtId="37" fontId="17" fillId="0" borderId="0" xfId="0" applyFont="1" applyFill="1" applyAlignment="1" applyProtection="1"/>
    <xf numFmtId="37" fontId="17" fillId="0" borderId="0" xfId="0" applyFont="1" applyFill="1" applyBorder="1" applyAlignment="1"/>
    <xf numFmtId="171" fontId="0" fillId="0" borderId="0" xfId="3" applyNumberFormat="1" applyFont="1"/>
    <xf numFmtId="9" fontId="19" fillId="3" borderId="41" xfId="3" applyFont="1" applyFill="1" applyBorder="1"/>
    <xf numFmtId="0" fontId="0" fillId="0" borderId="0" xfId="0" applyNumberFormat="1" applyAlignment="1"/>
    <xf numFmtId="1" fontId="6" fillId="0" borderId="0" xfId="0" quotePrefix="1" applyNumberFormat="1" applyFont="1" applyAlignment="1">
      <alignment horizontal="left"/>
    </xf>
    <xf numFmtId="176" fontId="4" fillId="0" borderId="0" xfId="0" applyNumberFormat="1" applyFont="1" applyFill="1" applyAlignment="1"/>
    <xf numFmtId="37" fontId="4" fillId="0" borderId="0" xfId="0" applyNumberFormat="1" applyFont="1" applyFill="1" applyAlignment="1" applyProtection="1"/>
    <xf numFmtId="37" fontId="4" fillId="0" borderId="21" xfId="0" applyNumberFormat="1" applyFont="1" applyFill="1" applyBorder="1" applyAlignment="1" applyProtection="1"/>
    <xf numFmtId="37" fontId="4" fillId="10" borderId="28" xfId="0" applyNumberFormat="1" applyFont="1" applyFill="1" applyBorder="1" applyAlignment="1" applyProtection="1"/>
    <xf numFmtId="37" fontId="4" fillId="10" borderId="0" xfId="0" applyNumberFormat="1" applyFont="1" applyFill="1" applyAlignment="1" applyProtection="1"/>
    <xf numFmtId="37" fontId="44" fillId="13" borderId="0" xfId="0" applyFont="1" applyFill="1" applyAlignment="1">
      <alignment horizontal="left"/>
    </xf>
    <xf numFmtId="37" fontId="4" fillId="13" borderId="0" xfId="0" applyFont="1" applyFill="1" applyAlignment="1"/>
    <xf numFmtId="10" fontId="4" fillId="13" borderId="0" xfId="0" applyNumberFormat="1" applyFont="1" applyFill="1" applyBorder="1" applyAlignment="1" applyProtection="1"/>
    <xf numFmtId="37" fontId="0" fillId="13" borderId="0" xfId="0" applyFill="1" applyAlignment="1"/>
    <xf numFmtId="37" fontId="45" fillId="0" borderId="0" xfId="0" applyFont="1" applyAlignment="1">
      <alignment horizontal="center"/>
    </xf>
    <xf numFmtId="37" fontId="45" fillId="0" borderId="0" xfId="0" quotePrefix="1" applyFont="1" applyAlignment="1">
      <alignment horizontal="center"/>
    </xf>
    <xf numFmtId="9" fontId="19" fillId="3" borderId="0" xfId="3" applyNumberFormat="1" applyFont="1" applyFill="1"/>
    <xf numFmtId="174" fontId="0" fillId="3" borderId="78" xfId="3" applyNumberFormat="1" applyFont="1" applyFill="1" applyBorder="1"/>
    <xf numFmtId="37" fontId="8" fillId="0" borderId="0" xfId="0" quotePrefix="1" applyFont="1" applyAlignment="1">
      <alignment horizontal="center"/>
    </xf>
    <xf numFmtId="37" fontId="44" fillId="13" borderId="0" xfId="0" quotePrefix="1" applyFont="1" applyFill="1" applyAlignment="1">
      <alignment horizontal="left"/>
    </xf>
    <xf numFmtId="37" fontId="4" fillId="0" borderId="0" xfId="0" quotePrefix="1" applyFont="1" applyAlignment="1"/>
    <xf numFmtId="37" fontId="4" fillId="10" borderId="0" xfId="0" applyFont="1" applyFill="1" applyAlignment="1"/>
    <xf numFmtId="39" fontId="0" fillId="3" borderId="0" xfId="0" applyNumberFormat="1" applyFill="1" applyAlignment="1"/>
    <xf numFmtId="171" fontId="19" fillId="3" borderId="0" xfId="3" applyNumberFormat="1" applyFont="1" applyFill="1"/>
    <xf numFmtId="171" fontId="19" fillId="3" borderId="0" xfId="3" applyNumberFormat="1" applyFont="1" applyFill="1" applyBorder="1"/>
    <xf numFmtId="171" fontId="19" fillId="0" borderId="0" xfId="3" applyNumberFormat="1" applyFont="1"/>
    <xf numFmtId="37" fontId="32" fillId="0" borderId="0" xfId="0" applyFont="1" applyAlignment="1"/>
    <xf numFmtId="10" fontId="17" fillId="0" borderId="0" xfId="0" applyNumberFormat="1" applyFont="1" applyAlignment="1"/>
    <xf numFmtId="0" fontId="0" fillId="0" borderId="51" xfId="0" applyNumberFormat="1" applyBorder="1" applyAlignment="1"/>
    <xf numFmtId="37" fontId="19" fillId="3" borderId="0" xfId="0" applyFont="1" applyFill="1" applyAlignment="1"/>
    <xf numFmtId="178" fontId="19" fillId="3" borderId="0" xfId="0" applyNumberFormat="1" applyFont="1" applyFill="1" applyAlignment="1"/>
    <xf numFmtId="10" fontId="46" fillId="0" borderId="0" xfId="0" applyNumberFormat="1" applyFont="1" applyAlignment="1">
      <alignment horizontal="left"/>
    </xf>
    <xf numFmtId="1" fontId="0" fillId="0" borderId="0" xfId="0" applyNumberFormat="1" applyFill="1" applyBorder="1" applyAlignment="1"/>
    <xf numFmtId="0" fontId="0" fillId="0" borderId="0" xfId="0" applyNumberFormat="1" applyFill="1" applyBorder="1" applyAlignment="1"/>
    <xf numFmtId="37" fontId="4" fillId="0" borderId="79" xfId="0" quotePrefix="1" applyFont="1" applyBorder="1" applyAlignment="1">
      <alignment horizontal="left"/>
    </xf>
    <xf numFmtId="37" fontId="0" fillId="0" borderId="79" xfId="0" applyBorder="1" applyAlignment="1"/>
    <xf numFmtId="37" fontId="4" fillId="0" borderId="79" xfId="0" applyFont="1" applyBorder="1" applyAlignment="1"/>
    <xf numFmtId="37" fontId="0" fillId="0" borderId="39" xfId="0" applyFill="1" applyBorder="1" applyAlignment="1"/>
    <xf numFmtId="37" fontId="4" fillId="0" borderId="73" xfId="0" applyFont="1" applyBorder="1" applyAlignment="1"/>
    <xf numFmtId="37" fontId="4" fillId="0" borderId="73" xfId="0" applyNumberFormat="1" applyFont="1" applyBorder="1" applyAlignment="1" applyProtection="1"/>
    <xf numFmtId="37" fontId="0" fillId="0" borderId="73" xfId="0" applyFill="1" applyBorder="1" applyAlignment="1" applyProtection="1"/>
    <xf numFmtId="39" fontId="4" fillId="0" borderId="73" xfId="0" applyNumberFormat="1" applyFont="1" applyBorder="1" applyAlignment="1" applyProtection="1"/>
    <xf numFmtId="9" fontId="4" fillId="0" borderId="0" xfId="0" applyNumberFormat="1" applyFont="1" applyBorder="1" applyAlignment="1" applyProtection="1"/>
    <xf numFmtId="37" fontId="0" fillId="0" borderId="0" xfId="0" applyBorder="1" applyAlignment="1" applyProtection="1"/>
    <xf numFmtId="9" fontId="4" fillId="0" borderId="0" xfId="0" applyNumberFormat="1" applyFont="1" applyAlignment="1" applyProtection="1"/>
    <xf numFmtId="9" fontId="4" fillId="0" borderId="0" xfId="0" applyNumberFormat="1" applyFont="1" applyBorder="1" applyAlignment="1"/>
    <xf numFmtId="37" fontId="0" fillId="0" borderId="0" xfId="0" applyBorder="1" applyAlignment="1" applyProtection="1">
      <alignment horizontal="center"/>
    </xf>
    <xf numFmtId="37" fontId="4" fillId="0" borderId="0" xfId="0" quotePrefix="1" applyNumberFormat="1" applyFont="1" applyAlignment="1" applyProtection="1">
      <alignment horizontal="left"/>
    </xf>
    <xf numFmtId="37" fontId="0" fillId="0" borderId="0" xfId="0" quotePrefix="1" applyAlignment="1" applyProtection="1">
      <alignment horizontal="left"/>
    </xf>
    <xf numFmtId="170" fontId="4" fillId="14" borderId="0" xfId="0" applyNumberFormat="1" applyFont="1" applyFill="1" applyBorder="1" applyAlignment="1" applyProtection="1"/>
    <xf numFmtId="39" fontId="0" fillId="14" borderId="0" xfId="0" applyNumberFormat="1" applyFill="1" applyAlignment="1"/>
    <xf numFmtId="39" fontId="0" fillId="14" borderId="0" xfId="0" applyNumberFormat="1" applyFill="1" applyAlignment="1">
      <alignment horizontal="center"/>
    </xf>
    <xf numFmtId="37" fontId="0" fillId="14" borderId="41" xfId="0" applyFill="1" applyBorder="1" applyAlignment="1"/>
    <xf numFmtId="170" fontId="4" fillId="14" borderId="41" xfId="0" applyNumberFormat="1" applyFont="1" applyFill="1" applyBorder="1" applyAlignment="1" applyProtection="1"/>
    <xf numFmtId="9" fontId="19" fillId="14" borderId="41" xfId="4" applyNumberFormat="1" applyFill="1" applyBorder="1"/>
    <xf numFmtId="2" fontId="0" fillId="14" borderId="41" xfId="3" applyNumberFormat="1" applyFont="1" applyFill="1" applyBorder="1"/>
    <xf numFmtId="2" fontId="0" fillId="0" borderId="0" xfId="3" applyNumberFormat="1" applyFont="1" applyFill="1" applyBorder="1"/>
  </cellXfs>
  <cellStyles count="8">
    <cellStyle name="Comma" xfId="1" builtinId="3"/>
    <cellStyle name="Currency" xfId="2" builtinId="4"/>
    <cellStyle name="Normal" xfId="0" builtinId="0"/>
    <cellStyle name="Percent" xfId="3" builtinId="5"/>
    <cellStyle name="Unprot" xfId="4"/>
    <cellStyle name="Unprot$" xfId="5"/>
    <cellStyle name="Unprot_data" xfId="6"/>
    <cellStyle name="Unprotect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dialogsheet" Target="dialogsheets/sheet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dialogsheet" Target="dialogsheets/sheet1.xml"/><Relationship Id="rId12" Type="http://schemas.openxmlformats.org/officeDocument/2006/relationships/dialogsheet" Target="dialogsheets/sheet6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dialogsheet" Target="dialogsheets/sheet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dialogsheet" Target="dialogsheets/sheet4.xml"/><Relationship Id="rId4" Type="http://schemas.openxmlformats.org/officeDocument/2006/relationships/worksheet" Target="worksheets/sheet4.xml"/><Relationship Id="rId9" Type="http://schemas.openxmlformats.org/officeDocument/2006/relationships/dialogsheet" Target="dialogsheets/sheet3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61399541111871"/>
          <c:y val="9.5057034220532313E-2"/>
          <c:w val="0.6178223795467005"/>
          <c:h val="0.74904942965779464"/>
        </c:manualLayout>
      </c:layout>
      <c:lineChart>
        <c:grouping val="standard"/>
        <c:varyColors val="0"/>
        <c:ser>
          <c:idx val="0"/>
          <c:order val="0"/>
          <c:tx>
            <c:v>2003 Prodn.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PROFILE!$M$55:$M$94</c:f>
              <c:numCache>
                <c:formatCode>0.0000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139.55526528060378</c:v>
                </c:pt>
                <c:pt idx="8">
                  <c:v>277.71961814419114</c:v>
                </c:pt>
                <c:pt idx="9">
                  <c:v>274.95626177253882</c:v>
                </c:pt>
                <c:pt idx="10">
                  <c:v>272.2204012561948</c:v>
                </c:pt>
                <c:pt idx="11">
                  <c:v>258.80782703983004</c:v>
                </c:pt>
                <c:pt idx="12">
                  <c:v>206.33755245166427</c:v>
                </c:pt>
                <c:pt idx="13">
                  <c:v>161.07517167595518</c:v>
                </c:pt>
                <c:pt idx="14">
                  <c:v>125.74158519456245</c:v>
                </c:pt>
                <c:pt idx="15">
                  <c:v>98.158804257239922</c:v>
                </c:pt>
                <c:pt idx="16">
                  <c:v>76.626605576050963</c:v>
                </c:pt>
                <c:pt idx="17">
                  <c:v>59.817728287726219</c:v>
                </c:pt>
                <c:pt idx="18">
                  <c:v>46.696060599382328</c:v>
                </c:pt>
                <c:pt idx="19">
                  <c:v>36.452773081130182</c:v>
                </c:pt>
                <c:pt idx="20">
                  <c:v>28.45646181386758</c:v>
                </c:pt>
                <c:pt idx="21">
                  <c:v>22.214228178521818</c:v>
                </c:pt>
                <c:pt idx="22">
                  <c:v>17.341296215784318</c:v>
                </c:pt>
                <c:pt idx="23">
                  <c:v>13.537294747621793</c:v>
                </c:pt>
                <c:pt idx="24">
                  <c:v>10.567742272759519</c:v>
                </c:pt>
                <c:pt idx="25">
                  <c:v>8.2495933512186959</c:v>
                </c:pt>
                <c:pt idx="26">
                  <c:v>6.4399555462191014</c:v>
                </c:pt>
                <c:pt idx="27">
                  <c:v>5.0272814272901627</c:v>
                </c:pt>
                <c:pt idx="28">
                  <c:v>3.1515771509395312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2004 Prodn.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PROFILE!$N$55:$N$94</c:f>
              <c:numCache>
                <c:formatCode>0.0000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139.55526528060378</c:v>
                </c:pt>
                <c:pt idx="9">
                  <c:v>277.71961814419114</c:v>
                </c:pt>
                <c:pt idx="10">
                  <c:v>274.95626177253882</c:v>
                </c:pt>
                <c:pt idx="11">
                  <c:v>272.2204012561948</c:v>
                </c:pt>
                <c:pt idx="12">
                  <c:v>258.80782703983004</c:v>
                </c:pt>
                <c:pt idx="13">
                  <c:v>206.33755245166427</c:v>
                </c:pt>
                <c:pt idx="14">
                  <c:v>161.07517167595518</c:v>
                </c:pt>
                <c:pt idx="15">
                  <c:v>125.74158519456245</c:v>
                </c:pt>
                <c:pt idx="16">
                  <c:v>98.158804257239922</c:v>
                </c:pt>
                <c:pt idx="17">
                  <c:v>76.626605576050963</c:v>
                </c:pt>
                <c:pt idx="18">
                  <c:v>59.817728287726219</c:v>
                </c:pt>
                <c:pt idx="19">
                  <c:v>46.696060599382328</c:v>
                </c:pt>
                <c:pt idx="20">
                  <c:v>36.452773081130182</c:v>
                </c:pt>
                <c:pt idx="21">
                  <c:v>28.45646181386758</c:v>
                </c:pt>
                <c:pt idx="22">
                  <c:v>22.214228178521818</c:v>
                </c:pt>
                <c:pt idx="23">
                  <c:v>17.341296215784318</c:v>
                </c:pt>
                <c:pt idx="24">
                  <c:v>13.537294747621793</c:v>
                </c:pt>
                <c:pt idx="25">
                  <c:v>10.567742272759519</c:v>
                </c:pt>
                <c:pt idx="26">
                  <c:v>8.2495933512186959</c:v>
                </c:pt>
                <c:pt idx="27">
                  <c:v>6.4399555462191014</c:v>
                </c:pt>
                <c:pt idx="28">
                  <c:v>5.0272814272901627</c:v>
                </c:pt>
                <c:pt idx="29">
                  <c:v>3.1515771509395312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921232"/>
        <c:axId val="233921792"/>
      </c:lineChart>
      <c:catAx>
        <c:axId val="2339212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921792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233921792"/>
        <c:scaling>
          <c:orientation val="minMax"/>
        </c:scaling>
        <c:delete val="0"/>
        <c:axPos val="l"/>
        <c:numFmt formatCode="0.0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9212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406017371226578"/>
          <c:y val="0.39163498098859317"/>
          <c:w val="0.19009919370667708"/>
          <c:h val="0.148288973384030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  <c:userShapes r:id="rId1"/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fmlaLink="A2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dialog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dialog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dialog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dialog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dialog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dialog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RowColHeaders="0" showZeros="0" showOutlineSymbols="0" workbookViewId="0"/>
  </sheetViews>
  <sheetFormatPr defaultColWidth="1.1640625" defaultRowHeight="5.25" customHeight="1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ialogsheets/sheet2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0" showRowColHeaders="0" showZeros="0" showOutlineSymbols="0" workbookViewId="0"/>
  </sheetViews>
  <sheetFormatPr defaultColWidth="1.1640625" defaultRowHeight="5.25" customHeight="1"/>
  <sheetProtection sheet="1"/>
  <printOptions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  <legacyDrawing r:id="rId2"/>
</dialogsheet>
</file>

<file path=xl/dialogsheets/sheet3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RowColHeaders="0" showZeros="0" showOutlineSymbols="0" workbookViewId="0"/>
  </sheetViews>
  <sheetFormatPr defaultColWidth="1.1640625" defaultRowHeight="5.25" customHeight="1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ialogsheets/sheet4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0" showRowColHeaders="0" showZeros="0" showOutlineSymbols="0" topLeftCell="A3" workbookViewId="0"/>
  </sheetViews>
  <sheetFormatPr defaultColWidth="1.1640625" defaultRowHeight="5.25" customHeight="1"/>
  <sheetProtection sheet="1"/>
  <printOptions gridLinesSet="0"/>
  <pageMargins left="0.75" right="0.75" top="1" bottom="1" header="0.5" footer="0.5"/>
  <pageSetup orientation="landscape" horizontalDpi="4294967293" r:id="rId1"/>
  <headerFooter alignWithMargins="0">
    <oddHeader>&amp;A</oddHeader>
    <oddFooter>Page &amp;P</oddFooter>
  </headerFooter>
  <legacyDrawing r:id="rId2"/>
</dialogsheet>
</file>

<file path=xl/dialogsheets/sheet5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RowColHeaders="0" showZeros="0" showOutlineSymbols="0" topLeftCell="A13" workbookViewId="0"/>
  </sheetViews>
  <sheetFormatPr defaultColWidth="1.1640625" defaultRowHeight="5.25" customHeight="1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ialogsheets/sheet6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0" showRowColHeaders="0" showZeros="0" showOutlineSymbols="0" workbookViewId="0"/>
  </sheetViews>
  <sheetFormatPr defaultColWidth="1.1640625" defaultRowHeight="5.25" customHeight="1"/>
  <sheetProtection sheet="1"/>
  <printOptions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28</xdr:row>
      <xdr:rowOff>0</xdr:rowOff>
    </xdr:from>
    <xdr:to>
      <xdr:col>14</xdr:col>
      <xdr:colOff>19050</xdr:colOff>
      <xdr:row>45</xdr:row>
      <xdr:rowOff>76200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0.48848</cdr:x>
      <cdr:y>0.48942</cdr:y>
    </cdr:from>
    <cdr:to>
      <cdr:x>0.51225</cdr:x>
      <cdr:y>0.56134</cdr:y>
    </cdr:to>
    <cdr:sp macro="" textlink="">
      <cdr:nvSpPr>
        <cdr:cNvPr id="2049" name="Text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57488" y="1233862"/>
          <a:ext cx="114567" cy="1808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3077" name="Button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2</xdr:col>
          <xdr:colOff>0</xdr:colOff>
          <xdr:row>1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 To...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</xdr:row>
          <xdr:rowOff>9525</xdr:rowOff>
        </xdr:from>
        <xdr:to>
          <xdr:col>2</xdr:col>
          <xdr:colOff>180975</xdr:colOff>
          <xdr:row>2</xdr:row>
          <xdr:rowOff>57150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pattFill prst="pct30">
              <a:fgClr>
                <a:srgbClr val="A0E0E0" mc:Ignorable="a14" a14:legacySpreadsheetColorIndex="27"/>
              </a:fgClr>
              <a:bgClr>
                <a:srgbClr val="C0C0C0" mc:Ignorable="a14" a14:legacySpreadsheetColorIndex="22"/>
              </a:bgClr>
            </a:pattFill>
            <a:ln w="1">
              <a:solidFill>
                <a:srgbClr val="000000" mc:Ignorable="a14" a14:legacySpreadsheetColorIndex="8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Include Going Concern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95250</xdr:colOff>
          <xdr:row>826</xdr:row>
          <xdr:rowOff>123825</xdr:rowOff>
        </xdr:from>
        <xdr:to>
          <xdr:col>6</xdr:col>
          <xdr:colOff>504825</xdr:colOff>
          <xdr:row>828</xdr:row>
          <xdr:rowOff>0</xdr:rowOff>
        </xdr:to>
        <xdr:sp macro="" textlink="">
          <xdr:nvSpPr>
            <xdr:cNvPr id="3091" name="Button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Test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0</xdr:rowOff>
        </xdr:to>
        <xdr:sp macro="" textlink="">
          <xdr:nvSpPr>
            <xdr:cNvPr id="4111" name="Button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Print...</a:t>
              </a:r>
            </a:p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Print...</a:t>
              </a:r>
            </a:p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  <a:p>
              <a:pPr algn="ctr" rtl="0">
                <a:defRPr sz="1000"/>
              </a:pPr>
              <a:endPara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0</xdr:row>
          <xdr:rowOff>0</xdr:rowOff>
        </xdr:from>
        <xdr:to>
          <xdr:col>2</xdr:col>
          <xdr:colOff>0</xdr:colOff>
          <xdr:row>1</xdr:row>
          <xdr:rowOff>0</xdr:rowOff>
        </xdr:to>
        <xdr:sp macro="" textlink="">
          <xdr:nvSpPr>
            <xdr:cNvPr id="4131" name="Button 35" hidden="1">
              <a:extLst>
                <a:ext uri="{63B3BB69-23CF-44E3-9099-C40C66FF867C}">
                  <a14:compatExt spid="_x0000_s4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 To...</a:t>
              </a:r>
            </a:p>
            <a:p>
              <a:pPr algn="ctr" rtl="0">
                <a:defRPr sz="1000"/>
              </a:pPr>
              <a:endPara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Move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4133" name="Button 37" hidden="1">
              <a:extLst>
                <a:ext uri="{63B3BB69-23CF-44E3-9099-C40C66FF867C}">
                  <a14:compatExt spid="_x0000_s4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Optimize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152400</xdr:rowOff>
        </xdr:from>
        <xdr:to>
          <xdr:col>1</xdr:col>
          <xdr:colOff>9525</xdr:colOff>
          <xdr:row>1</xdr:row>
          <xdr:rowOff>161925</xdr:rowOff>
        </xdr:to>
        <xdr:sp macro="" textlink="">
          <xdr:nvSpPr>
            <xdr:cNvPr id="4134" name="Button 38" hidden="1">
              <a:extLst>
                <a:ext uri="{63B3BB69-23CF-44E3-9099-C40C66FF867C}">
                  <a14:compatExt spid="_x0000_s4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Set Calc...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409575</xdr:colOff>
      <xdr:row>620</xdr:row>
      <xdr:rowOff>0</xdr:rowOff>
    </xdr:from>
    <xdr:to>
      <xdr:col>4</xdr:col>
      <xdr:colOff>466725</xdr:colOff>
      <xdr:row>620</xdr:row>
      <xdr:rowOff>0</xdr:rowOff>
    </xdr:to>
    <xdr:sp macro="" textlink="">
      <xdr:nvSpPr>
        <xdr:cNvPr id="4136" name="Text 40"/>
        <xdr:cNvSpPr txBox="1">
          <a:spLocks noChangeArrowheads="1"/>
        </xdr:cNvSpPr>
      </xdr:nvSpPr>
      <xdr:spPr bwMode="auto">
        <a:xfrm>
          <a:off x="1028700" y="89211150"/>
          <a:ext cx="2009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[used in IDC Calc {see TAX ITEMS}]</a:t>
          </a:r>
        </a:p>
        <a:p>
          <a:pPr algn="ctr" rtl="0">
            <a:defRPr sz="1000"/>
          </a:pPr>
          <a:endParaRPr lang="en-US" sz="7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75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209550</xdr:colOff>
      <xdr:row>390</xdr:row>
      <xdr:rowOff>76200</xdr:rowOff>
    </xdr:from>
    <xdr:to>
      <xdr:col>16</xdr:col>
      <xdr:colOff>409575</xdr:colOff>
      <xdr:row>395</xdr:row>
      <xdr:rowOff>76200</xdr:rowOff>
    </xdr:to>
    <xdr:sp macro="" textlink="">
      <xdr:nvSpPr>
        <xdr:cNvPr id="4144" name="Text 48"/>
        <xdr:cNvSpPr txBox="1">
          <a:spLocks noChangeArrowheads="1"/>
        </xdr:cNvSpPr>
      </xdr:nvSpPr>
      <xdr:spPr bwMode="auto">
        <a:xfrm>
          <a:off x="9201150" y="55902225"/>
          <a:ext cx="762000" cy="714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*Not to exceed total cash balances.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Default value equal to $0.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466725</xdr:colOff>
          <xdr:row>872</xdr:row>
          <xdr:rowOff>123825</xdr:rowOff>
        </xdr:from>
        <xdr:to>
          <xdr:col>4</xdr:col>
          <xdr:colOff>9525</xdr:colOff>
          <xdr:row>874</xdr:row>
          <xdr:rowOff>133350</xdr:rowOff>
        </xdr:to>
        <xdr:sp macro="" textlink="">
          <xdr:nvSpPr>
            <xdr:cNvPr id="4149" name="Button 53" hidden="1">
              <a:extLst>
                <a:ext uri="{63B3BB69-23CF-44E3-9099-C40C66FF867C}">
                  <a14:compatExt spid="_x0000_s4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Year 3 Table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873</xdr:row>
          <xdr:rowOff>0</xdr:rowOff>
        </xdr:from>
        <xdr:to>
          <xdr:col>12</xdr:col>
          <xdr:colOff>0</xdr:colOff>
          <xdr:row>875</xdr:row>
          <xdr:rowOff>9525</xdr:rowOff>
        </xdr:to>
        <xdr:sp macro="" textlink="">
          <xdr:nvSpPr>
            <xdr:cNvPr id="4150" name="Button 54" hidden="1">
              <a:extLst>
                <a:ext uri="{63B3BB69-23CF-44E3-9099-C40C66FF867C}">
                  <a14:compatExt spid="_x0000_s4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Year 5 Table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0</xdr:rowOff>
        </xdr:from>
        <xdr:to>
          <xdr:col>1</xdr:col>
          <xdr:colOff>9525</xdr:colOff>
          <xdr:row>3</xdr:row>
          <xdr:rowOff>0</xdr:rowOff>
        </xdr:to>
        <xdr:sp macro="" textlink="">
          <xdr:nvSpPr>
            <xdr:cNvPr id="4155" name="Button 59" hidden="1">
              <a:extLst>
                <a:ext uri="{63B3BB69-23CF-44E3-9099-C40C66FF867C}">
                  <a14:compatExt spid="_x0000_s4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Clear Refs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3</xdr:col>
          <xdr:colOff>0</xdr:colOff>
          <xdr:row>1</xdr:row>
          <xdr:rowOff>0</xdr:rowOff>
        </xdr:to>
        <xdr:sp macro="" textlink="">
          <xdr:nvSpPr>
            <xdr:cNvPr id="4157" name="Button 61" hidden="1">
              <a:extLst>
                <a:ext uri="{63B3BB69-23CF-44E3-9099-C40C66FF867C}">
                  <a14:compatExt spid="_x0000_s4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Inputs...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333375</xdr:colOff>
          <xdr:row>775</xdr:row>
          <xdr:rowOff>9525</xdr:rowOff>
        </xdr:from>
        <xdr:to>
          <xdr:col>4</xdr:col>
          <xdr:colOff>428625</xdr:colOff>
          <xdr:row>776</xdr:row>
          <xdr:rowOff>114300</xdr:rowOff>
        </xdr:to>
        <xdr:sp macro="" textlink="">
          <xdr:nvSpPr>
            <xdr:cNvPr id="4159" name="Button 63" hidden="1">
              <a:extLst>
                <a:ext uri="{63B3BB69-23CF-44E3-9099-C40C66FF867C}">
                  <a14:compatExt spid="_x0000_s4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7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Compute Int. 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333375</xdr:colOff>
          <xdr:row>775</xdr:row>
          <xdr:rowOff>9525</xdr:rowOff>
        </xdr:from>
        <xdr:to>
          <xdr:col>4</xdr:col>
          <xdr:colOff>428625</xdr:colOff>
          <xdr:row>776</xdr:row>
          <xdr:rowOff>114300</xdr:rowOff>
        </xdr:to>
        <xdr:sp macro="" textlink="">
          <xdr:nvSpPr>
            <xdr:cNvPr id="4162" name="Button 66" hidden="1">
              <a:extLst>
                <a:ext uri="{63B3BB69-23CF-44E3-9099-C40C66FF867C}">
                  <a14:compatExt spid="_x0000_s4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7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Compute Int. Rate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13" Type="http://schemas.openxmlformats.org/officeDocument/2006/relationships/ctrlProp" Target="../ctrlProps/ctrlProp14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8.xml"/><Relationship Id="rId12" Type="http://schemas.openxmlformats.org/officeDocument/2006/relationships/ctrlProp" Target="../ctrlProps/ctrlProp1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7.xml"/><Relationship Id="rId11" Type="http://schemas.openxmlformats.org/officeDocument/2006/relationships/ctrlProp" Target="../ctrlProps/ctrlProp12.xml"/><Relationship Id="rId5" Type="http://schemas.openxmlformats.org/officeDocument/2006/relationships/ctrlProp" Target="../ctrlProps/ctrlProp6.xml"/><Relationship Id="rId10" Type="http://schemas.openxmlformats.org/officeDocument/2006/relationships/ctrlProp" Target="../ctrlProps/ctrlProp11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Relationship Id="rId1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310"/>
  <sheetViews>
    <sheetView showGridLines="0" workbookViewId="0"/>
  </sheetViews>
  <sheetFormatPr defaultRowHeight="12.75"/>
  <cols>
    <col min="1" max="6" width="9.33203125" style="475"/>
    <col min="7" max="7" width="2.5" style="474" customWidth="1"/>
    <col min="8" max="44" width="10.6640625" style="475" customWidth="1"/>
    <col min="45" max="16384" width="9.33203125" style="473"/>
  </cols>
  <sheetData>
    <row r="1" spans="1:44" customFormat="1" ht="11.25">
      <c r="A1" s="15" t="s">
        <v>0</v>
      </c>
      <c r="B1" s="231"/>
      <c r="C1" s="231"/>
      <c r="D1" s="231"/>
      <c r="E1" s="231"/>
      <c r="F1" s="231"/>
      <c r="G1" s="318"/>
      <c r="H1" s="231"/>
      <c r="I1" s="391" t="s">
        <v>1</v>
      </c>
      <c r="J1" s="671" t="s">
        <v>2</v>
      </c>
      <c r="K1" s="482"/>
      <c r="L1" s="485"/>
      <c r="M1" s="231"/>
      <c r="N1" s="231"/>
      <c r="O1" s="486"/>
      <c r="P1" s="486"/>
      <c r="Q1" s="486"/>
      <c r="R1" s="486"/>
      <c r="S1" s="486"/>
      <c r="T1" s="486"/>
      <c r="U1" s="486"/>
      <c r="V1" s="486"/>
      <c r="W1" s="486"/>
      <c r="X1" s="486"/>
      <c r="Y1" s="486"/>
      <c r="Z1" s="486"/>
      <c r="AA1" s="486"/>
      <c r="AB1" s="486"/>
      <c r="AC1" s="486"/>
      <c r="AD1" s="486"/>
      <c r="AE1" s="486"/>
      <c r="AF1" s="486"/>
      <c r="AG1" s="486"/>
      <c r="AH1" s="486"/>
      <c r="AI1" s="486"/>
      <c r="AJ1" s="486"/>
      <c r="AK1" s="486"/>
      <c r="AL1" s="486"/>
      <c r="AM1" s="486"/>
      <c r="AN1" s="486"/>
      <c r="AO1" s="486"/>
      <c r="AP1" s="486"/>
      <c r="AQ1" s="486"/>
      <c r="AR1" s="231"/>
    </row>
    <row r="2" spans="1:44" customFormat="1" ht="11.25">
      <c r="A2" s="3"/>
      <c r="B2" s="231"/>
      <c r="C2" s="231"/>
      <c r="D2" s="231"/>
      <c r="E2" s="231"/>
      <c r="F2" s="231"/>
      <c r="G2" s="318"/>
      <c r="H2" s="481"/>
      <c r="I2" s="482"/>
      <c r="J2" s="483"/>
      <c r="K2" s="482"/>
      <c r="L2" s="231"/>
      <c r="M2" s="231"/>
      <c r="N2" s="486"/>
      <c r="O2" s="486"/>
      <c r="P2" s="486"/>
      <c r="Q2" s="486"/>
      <c r="R2" s="486"/>
      <c r="S2" s="486"/>
      <c r="T2" s="486"/>
      <c r="U2" s="486"/>
      <c r="V2" s="486"/>
      <c r="W2" s="486"/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486"/>
      <c r="AI2" s="486"/>
      <c r="AJ2" s="486"/>
      <c r="AK2" s="486"/>
      <c r="AL2" s="486"/>
      <c r="AM2" s="486"/>
      <c r="AN2" s="486"/>
      <c r="AO2" s="486"/>
      <c r="AP2" s="486"/>
      <c r="AQ2" s="486"/>
      <c r="AR2" s="231"/>
    </row>
    <row r="3" spans="1:44" customFormat="1" ht="11.25">
      <c r="A3" s="231"/>
      <c r="B3" s="231"/>
      <c r="C3" s="231"/>
      <c r="D3" s="231"/>
      <c r="E3" s="231"/>
      <c r="F3" s="231"/>
      <c r="G3" s="318"/>
      <c r="H3" s="481"/>
      <c r="I3" s="482"/>
      <c r="J3" s="483"/>
      <c r="K3" s="482"/>
      <c r="L3" s="486"/>
      <c r="M3" s="486"/>
      <c r="N3" s="486"/>
      <c r="O3" s="486"/>
      <c r="P3" s="486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486"/>
      <c r="AC3" s="486"/>
      <c r="AD3" s="486"/>
      <c r="AE3" s="486"/>
      <c r="AF3" s="486"/>
      <c r="AG3" s="486"/>
      <c r="AH3" s="486"/>
      <c r="AI3" s="486"/>
      <c r="AJ3" s="486"/>
      <c r="AK3" s="486"/>
      <c r="AL3" s="486"/>
      <c r="AM3" s="486"/>
      <c r="AN3" s="486"/>
      <c r="AO3" s="486"/>
      <c r="AP3" s="486"/>
      <c r="AQ3" s="486"/>
      <c r="AR3" s="231"/>
    </row>
    <row r="4" spans="1:44" customFormat="1" ht="11.25">
      <c r="A4" s="231"/>
      <c r="B4" s="500" t="s">
        <v>3</v>
      </c>
      <c r="C4" s="4">
        <v>35349</v>
      </c>
      <c r="D4" s="231"/>
      <c r="E4" s="500" t="s">
        <v>3</v>
      </c>
      <c r="F4" s="4">
        <v>35341</v>
      </c>
      <c r="G4" s="318"/>
      <c r="H4" s="481"/>
      <c r="I4" s="231"/>
      <c r="J4" s="231"/>
      <c r="K4" s="231"/>
      <c r="L4" s="485"/>
      <c r="M4" s="486"/>
      <c r="N4" s="486"/>
      <c r="O4" s="486"/>
      <c r="P4" s="486"/>
      <c r="Q4" s="486"/>
      <c r="R4" s="486"/>
      <c r="S4" s="486"/>
      <c r="T4" s="486"/>
      <c r="U4" s="486"/>
      <c r="V4" s="486"/>
      <c r="W4" s="486"/>
      <c r="X4" s="486"/>
      <c r="Y4" s="486"/>
      <c r="Z4" s="486"/>
      <c r="AA4" s="486"/>
      <c r="AB4" s="486"/>
      <c r="AC4" s="486"/>
      <c r="AD4" s="486"/>
      <c r="AE4" s="486"/>
      <c r="AF4" s="486"/>
      <c r="AG4" s="486"/>
      <c r="AH4" s="486"/>
      <c r="AI4" s="486"/>
      <c r="AJ4" s="486"/>
      <c r="AK4" s="486"/>
      <c r="AL4" s="486"/>
      <c r="AM4" s="486"/>
      <c r="AN4" s="486"/>
      <c r="AO4" s="486"/>
      <c r="AP4" s="486"/>
      <c r="AQ4" s="486"/>
      <c r="AR4" s="231"/>
    </row>
    <row r="5" spans="1:44" customFormat="1" ht="11.25">
      <c r="A5" s="487" t="s">
        <v>4</v>
      </c>
      <c r="B5" s="488" t="s">
        <v>5</v>
      </c>
      <c r="C5" s="489" t="s">
        <v>6</v>
      </c>
      <c r="D5" s="487" t="s">
        <v>7</v>
      </c>
      <c r="E5" s="488" t="s">
        <v>5</v>
      </c>
      <c r="F5" s="489" t="s">
        <v>6</v>
      </c>
      <c r="G5" s="318"/>
      <c r="H5" s="487" t="s">
        <v>4</v>
      </c>
      <c r="I5" s="501" t="str">
        <f>$J$1</f>
        <v>mid</v>
      </c>
      <c r="J5" s="487" t="s">
        <v>7</v>
      </c>
      <c r="K5" s="501" t="str">
        <f>$J$1</f>
        <v>mid</v>
      </c>
      <c r="L5" s="485"/>
      <c r="M5" s="486"/>
      <c r="N5" s="486"/>
      <c r="O5" s="486"/>
      <c r="P5" s="486"/>
      <c r="Q5" s="486"/>
      <c r="R5" s="486"/>
      <c r="S5" s="486"/>
      <c r="T5" s="486"/>
      <c r="U5" s="486"/>
      <c r="V5" s="486"/>
      <c r="W5" s="486"/>
      <c r="X5" s="486"/>
      <c r="Y5" s="486"/>
      <c r="Z5" s="486"/>
      <c r="AA5" s="486"/>
      <c r="AB5" s="486"/>
      <c r="AC5" s="486"/>
      <c r="AD5" s="486"/>
      <c r="AE5" s="486"/>
      <c r="AF5" s="486"/>
      <c r="AG5" s="486"/>
      <c r="AH5" s="486"/>
      <c r="AI5" s="486"/>
      <c r="AJ5" s="486"/>
      <c r="AK5" s="486"/>
      <c r="AL5" s="486"/>
      <c r="AM5" s="486"/>
      <c r="AN5" s="486"/>
      <c r="AO5" s="486"/>
      <c r="AP5" s="486"/>
      <c r="AQ5" s="486"/>
      <c r="AR5" s="231"/>
    </row>
    <row r="6" spans="1:44" customFormat="1" ht="11.25">
      <c r="A6" s="551">
        <f ca="1">NOW()</f>
        <v>36642.628564236111</v>
      </c>
      <c r="B6" s="511">
        <v>2.3420000000000001</v>
      </c>
      <c r="C6" s="511">
        <v>2.347</v>
      </c>
      <c r="D6" s="490">
        <f ca="1">+A6</f>
        <v>36642.628564236111</v>
      </c>
      <c r="E6" s="511">
        <v>23.356999999999999</v>
      </c>
      <c r="F6" s="511">
        <v>23.387</v>
      </c>
      <c r="G6" s="318"/>
      <c r="H6" s="490">
        <f t="shared" ref="H6:H69" ca="1" si="0">A6</f>
        <v>36642.628564236111</v>
      </c>
      <c r="I6" s="491">
        <f t="shared" ref="I6:I69" si="1">IF($J$1="bid",B6,C6)</f>
        <v>2.347</v>
      </c>
      <c r="J6" s="492">
        <f t="shared" ref="J6:J69" ca="1" si="2">D6</f>
        <v>36642.628564236111</v>
      </c>
      <c r="K6" s="491">
        <f t="shared" ref="K6:K37" si="3">IF($J$1="bid",E6,F6)</f>
        <v>23.387</v>
      </c>
      <c r="L6" s="485" t="s">
        <v>8</v>
      </c>
      <c r="M6" s="231"/>
      <c r="N6" s="486"/>
      <c r="O6" s="486"/>
      <c r="P6" s="486"/>
      <c r="Q6" s="486"/>
      <c r="R6" s="486"/>
      <c r="S6" s="486"/>
      <c r="T6" s="486"/>
      <c r="U6" s="486"/>
      <c r="V6" s="486"/>
      <c r="W6" s="486"/>
      <c r="X6" s="486"/>
      <c r="Y6" s="486"/>
      <c r="Z6" s="486"/>
      <c r="AA6" s="486"/>
      <c r="AB6" s="486"/>
      <c r="AC6" s="486"/>
      <c r="AD6" s="486"/>
      <c r="AE6" s="486"/>
      <c r="AF6" s="486"/>
      <c r="AG6" s="486"/>
      <c r="AH6" s="486"/>
      <c r="AI6" s="486"/>
      <c r="AJ6" s="486"/>
      <c r="AK6" s="486"/>
      <c r="AL6" s="486"/>
      <c r="AM6" s="486"/>
      <c r="AN6" s="486"/>
      <c r="AO6" s="486"/>
      <c r="AP6" s="486"/>
      <c r="AQ6" s="486"/>
      <c r="AR6" s="231"/>
    </row>
    <row r="7" spans="1:44" customFormat="1" ht="11.25">
      <c r="A7" s="493">
        <f t="shared" ref="A7:A22" ca="1" si="4">DATE(YEAR(A6),MONTH(A6)+1,1)</f>
        <v>36647</v>
      </c>
      <c r="B7" s="511">
        <v>2.5270000000000001</v>
      </c>
      <c r="C7" s="511">
        <v>2.532</v>
      </c>
      <c r="D7" s="493">
        <f t="shared" ref="D7:D22" ca="1" si="5">DATE(YEAR(D6),MONTH(D6)+1,1)</f>
        <v>36647</v>
      </c>
      <c r="E7" s="511">
        <v>22.75</v>
      </c>
      <c r="F7" s="511">
        <v>22.782</v>
      </c>
      <c r="G7" s="318"/>
      <c r="H7" s="490">
        <f t="shared" ca="1" si="0"/>
        <v>36647</v>
      </c>
      <c r="I7" s="491">
        <f t="shared" si="1"/>
        <v>2.532</v>
      </c>
      <c r="J7" s="492">
        <f t="shared" ca="1" si="2"/>
        <v>36647</v>
      </c>
      <c r="K7" s="491">
        <f t="shared" si="3"/>
        <v>22.782</v>
      </c>
      <c r="L7" s="485"/>
      <c r="M7" s="486"/>
      <c r="N7" s="486"/>
      <c r="O7" s="486"/>
      <c r="P7" s="486"/>
      <c r="Q7" s="486"/>
      <c r="R7" s="486"/>
      <c r="S7" s="486"/>
      <c r="T7" s="486"/>
      <c r="U7" s="486"/>
      <c r="V7" s="486"/>
      <c r="W7" s="486"/>
      <c r="X7" s="486"/>
      <c r="Y7" s="486"/>
      <c r="Z7" s="486"/>
      <c r="AA7" s="486"/>
      <c r="AB7" s="486"/>
      <c r="AC7" s="486"/>
      <c r="AD7" s="486"/>
      <c r="AE7" s="486"/>
      <c r="AF7" s="486"/>
      <c r="AG7" s="486"/>
      <c r="AH7" s="486"/>
      <c r="AI7" s="486"/>
      <c r="AJ7" s="486"/>
      <c r="AK7" s="486"/>
      <c r="AL7" s="494" t="s">
        <v>9</v>
      </c>
      <c r="AM7" s="534">
        <v>0.02</v>
      </c>
      <c r="AN7" s="486"/>
      <c r="AO7" s="486"/>
      <c r="AP7" s="486"/>
      <c r="AQ7" s="486"/>
      <c r="AR7" s="231"/>
    </row>
    <row r="8" spans="1:44" customFormat="1" ht="11.25">
      <c r="A8" s="493">
        <f t="shared" ca="1" si="4"/>
        <v>36678</v>
      </c>
      <c r="B8" s="511">
        <v>2.5430000000000001</v>
      </c>
      <c r="C8" s="511">
        <v>2.548</v>
      </c>
      <c r="D8" s="493">
        <f t="shared" ca="1" si="5"/>
        <v>36678</v>
      </c>
      <c r="E8" s="511">
        <v>22.190999999999999</v>
      </c>
      <c r="F8" s="511">
        <v>22.225999999999999</v>
      </c>
      <c r="G8" s="318"/>
      <c r="H8" s="490">
        <f t="shared" ca="1" si="0"/>
        <v>36678</v>
      </c>
      <c r="I8" s="491">
        <f t="shared" si="1"/>
        <v>2.548</v>
      </c>
      <c r="J8" s="492">
        <f t="shared" ca="1" si="2"/>
        <v>36678</v>
      </c>
      <c r="K8" s="491">
        <f t="shared" si="3"/>
        <v>22.225999999999999</v>
      </c>
      <c r="L8" s="495"/>
      <c r="M8" s="495"/>
      <c r="N8" s="672">
        <f ca="1">YEAR(H6)</f>
        <v>2000</v>
      </c>
      <c r="O8" s="672">
        <f t="shared" ref="O8:AD8" ca="1" si="6">N8+1</f>
        <v>2001</v>
      </c>
      <c r="P8" s="672">
        <f t="shared" ca="1" si="6"/>
        <v>2002</v>
      </c>
      <c r="Q8" s="672">
        <f t="shared" ca="1" si="6"/>
        <v>2003</v>
      </c>
      <c r="R8" s="672">
        <f t="shared" ca="1" si="6"/>
        <v>2004</v>
      </c>
      <c r="S8" s="672">
        <f t="shared" ca="1" si="6"/>
        <v>2005</v>
      </c>
      <c r="T8" s="672">
        <f t="shared" ca="1" si="6"/>
        <v>2006</v>
      </c>
      <c r="U8" s="672">
        <f t="shared" ca="1" si="6"/>
        <v>2007</v>
      </c>
      <c r="V8" s="672">
        <f t="shared" ca="1" si="6"/>
        <v>2008</v>
      </c>
      <c r="W8" s="672">
        <f t="shared" ca="1" si="6"/>
        <v>2009</v>
      </c>
      <c r="X8" s="672">
        <f t="shared" ca="1" si="6"/>
        <v>2010</v>
      </c>
      <c r="Y8" s="672">
        <f t="shared" ca="1" si="6"/>
        <v>2011</v>
      </c>
      <c r="Z8" s="672">
        <f t="shared" ca="1" si="6"/>
        <v>2012</v>
      </c>
      <c r="AA8" s="672">
        <f t="shared" ca="1" si="6"/>
        <v>2013</v>
      </c>
      <c r="AB8" s="672">
        <f t="shared" ca="1" si="6"/>
        <v>2014</v>
      </c>
      <c r="AC8" s="672">
        <f t="shared" ca="1" si="6"/>
        <v>2015</v>
      </c>
      <c r="AD8" s="672">
        <f t="shared" ca="1" si="6"/>
        <v>2016</v>
      </c>
      <c r="AE8" s="672">
        <f t="shared" ref="AE8:AP8" ca="1" si="7">AD8+1</f>
        <v>2017</v>
      </c>
      <c r="AF8" s="672">
        <f t="shared" ca="1" si="7"/>
        <v>2018</v>
      </c>
      <c r="AG8" s="672">
        <f t="shared" ca="1" si="7"/>
        <v>2019</v>
      </c>
      <c r="AH8" s="672">
        <f t="shared" ca="1" si="7"/>
        <v>2020</v>
      </c>
      <c r="AI8" s="672">
        <f t="shared" ca="1" si="7"/>
        <v>2021</v>
      </c>
      <c r="AJ8" s="672">
        <f t="shared" ca="1" si="7"/>
        <v>2022</v>
      </c>
      <c r="AK8" s="672">
        <f t="shared" ca="1" si="7"/>
        <v>2023</v>
      </c>
      <c r="AL8" s="672">
        <f t="shared" ca="1" si="7"/>
        <v>2024</v>
      </c>
      <c r="AM8" s="495">
        <f t="shared" ca="1" si="7"/>
        <v>2025</v>
      </c>
      <c r="AN8" s="495">
        <f t="shared" ca="1" si="7"/>
        <v>2026</v>
      </c>
      <c r="AO8" s="495">
        <f t="shared" ca="1" si="7"/>
        <v>2027</v>
      </c>
      <c r="AP8" s="495">
        <f t="shared" ca="1" si="7"/>
        <v>2028</v>
      </c>
      <c r="AQ8" s="485" t="s">
        <v>10</v>
      </c>
      <c r="AR8" s="231"/>
    </row>
    <row r="9" spans="1:44" customFormat="1" ht="11.25">
      <c r="A9" s="493">
        <f t="shared" ca="1" si="4"/>
        <v>36708</v>
      </c>
      <c r="B9" s="511">
        <v>2.4130000000000003</v>
      </c>
      <c r="C9" s="511">
        <v>2.4180000000000001</v>
      </c>
      <c r="D9" s="493">
        <f t="shared" ca="1" si="5"/>
        <v>36708</v>
      </c>
      <c r="E9" s="511">
        <v>21.742000000000001</v>
      </c>
      <c r="F9" s="511">
        <v>21.777000000000001</v>
      </c>
      <c r="G9" s="318"/>
      <c r="H9" s="490">
        <f t="shared" ca="1" si="0"/>
        <v>36708</v>
      </c>
      <c r="I9" s="491">
        <f t="shared" si="1"/>
        <v>2.4180000000000001</v>
      </c>
      <c r="J9" s="492">
        <f t="shared" ca="1" si="2"/>
        <v>36708</v>
      </c>
      <c r="K9" s="491">
        <f t="shared" si="3"/>
        <v>21.777000000000001</v>
      </c>
      <c r="L9" s="486"/>
      <c r="M9" s="486">
        <v>1</v>
      </c>
      <c r="N9" s="496">
        <f t="shared" ref="N9:N18" ca="1" si="8">IF(MONTH($A$6)&gt;M9,0,IF(MONTH($A$6)=M9,+I$6,LOOKUP(DATE(N$8-1900,$M9,1),$H$6:$H$296,$I$6:$I$296)))</f>
        <v>0</v>
      </c>
      <c r="O9" s="496">
        <f t="shared" ref="O9:AD20" ca="1" si="9">LOOKUP(DATE(N$8-1900+1,$M9,1),$H$6:$H$296,$I$6:$I$296)</f>
        <v>1.9830000000000001</v>
      </c>
      <c r="P9" s="496">
        <f t="shared" ca="1" si="9"/>
        <v>1.97</v>
      </c>
      <c r="Q9" s="496">
        <f t="shared" ca="1" si="9"/>
        <v>1.95</v>
      </c>
      <c r="R9" s="496">
        <f t="shared" ca="1" si="9"/>
        <v>1.9450000000000001</v>
      </c>
      <c r="S9" s="496">
        <f t="shared" ca="1" si="9"/>
        <v>1.95</v>
      </c>
      <c r="T9" s="496">
        <f t="shared" ca="1" si="9"/>
        <v>1.96</v>
      </c>
      <c r="U9" s="496">
        <f t="shared" ca="1" si="9"/>
        <v>1.98</v>
      </c>
      <c r="V9" s="496">
        <f t="shared" ca="1" si="9"/>
        <v>2.0099999999999998</v>
      </c>
      <c r="W9" s="496">
        <f t="shared" ca="1" si="9"/>
        <v>2.06</v>
      </c>
      <c r="X9" s="496">
        <f t="shared" ca="1" si="9"/>
        <v>2.13</v>
      </c>
      <c r="Y9" s="496">
        <f t="shared" ca="1" si="9"/>
        <v>2.2200000000000002</v>
      </c>
      <c r="Z9" s="496">
        <f t="shared" ca="1" si="9"/>
        <v>2.33</v>
      </c>
      <c r="AA9" s="496">
        <f t="shared" ca="1" si="9"/>
        <v>2.4500000000000002</v>
      </c>
      <c r="AB9" s="496">
        <f t="shared" ca="1" si="9"/>
        <v>2.58</v>
      </c>
      <c r="AC9" s="496">
        <f t="shared" ca="1" si="9"/>
        <v>2.72</v>
      </c>
      <c r="AD9" s="496">
        <f t="shared" ca="1" si="9"/>
        <v>2.87</v>
      </c>
      <c r="AE9" s="496">
        <f t="shared" ref="Y9:AL20" ca="1" si="10">LOOKUP(DATE(AD$8-1900+1,$M9,1),$H$6:$H$296,$I$6:$I$296)</f>
        <v>3.03</v>
      </c>
      <c r="AF9" s="496">
        <f t="shared" ca="1" si="10"/>
        <v>3.2</v>
      </c>
      <c r="AG9" s="496">
        <f t="shared" ca="1" si="10"/>
        <v>3.38</v>
      </c>
      <c r="AH9" s="496">
        <f t="shared" ca="1" si="10"/>
        <v>3.57</v>
      </c>
      <c r="AI9" s="496">
        <f t="shared" ca="1" si="10"/>
        <v>3.7149999999999999</v>
      </c>
      <c r="AJ9" s="496">
        <f t="shared" ca="1" si="10"/>
        <v>3.8650000000000002</v>
      </c>
      <c r="AK9" s="496">
        <f t="shared" ca="1" si="10"/>
        <v>4.0199999999999996</v>
      </c>
      <c r="AL9" s="496">
        <f t="shared" ca="1" si="10"/>
        <v>4.18</v>
      </c>
      <c r="AM9" s="486"/>
      <c r="AN9" s="486"/>
      <c r="AO9" s="486"/>
      <c r="AP9" s="486"/>
      <c r="AQ9" s="485"/>
      <c r="AR9" s="231"/>
    </row>
    <row r="10" spans="1:44" customFormat="1" ht="11.25">
      <c r="A10" s="493">
        <f t="shared" ca="1" si="4"/>
        <v>36739</v>
      </c>
      <c r="B10" s="511">
        <v>2.238</v>
      </c>
      <c r="C10" s="511">
        <v>2.2429999999999999</v>
      </c>
      <c r="D10" s="493">
        <f t="shared" ca="1" si="5"/>
        <v>36739</v>
      </c>
      <c r="E10" s="511">
        <v>21.321999999999999</v>
      </c>
      <c r="F10" s="511">
        <v>21.356999999999999</v>
      </c>
      <c r="G10" s="318"/>
      <c r="H10" s="490">
        <f t="shared" ca="1" si="0"/>
        <v>36739</v>
      </c>
      <c r="I10" s="491">
        <f t="shared" si="1"/>
        <v>2.2429999999999999</v>
      </c>
      <c r="J10" s="492">
        <f t="shared" ca="1" si="2"/>
        <v>36739</v>
      </c>
      <c r="K10" s="491">
        <f t="shared" si="3"/>
        <v>21.356999999999999</v>
      </c>
      <c r="L10" s="486"/>
      <c r="M10" s="486">
        <v>2</v>
      </c>
      <c r="N10" s="496">
        <f t="shared" ca="1" si="8"/>
        <v>0</v>
      </c>
      <c r="O10" s="496">
        <f t="shared" ca="1" si="9"/>
        <v>1.9830000000000001</v>
      </c>
      <c r="P10" s="496">
        <f t="shared" ca="1" si="9"/>
        <v>1.97</v>
      </c>
      <c r="Q10" s="496">
        <f t="shared" ca="1" si="9"/>
        <v>1.95</v>
      </c>
      <c r="R10" s="496">
        <f t="shared" ca="1" si="9"/>
        <v>1.9450000000000001</v>
      </c>
      <c r="S10" s="496">
        <f t="shared" ca="1" si="9"/>
        <v>1.95</v>
      </c>
      <c r="T10" s="496">
        <f t="shared" ca="1" si="9"/>
        <v>1.96</v>
      </c>
      <c r="U10" s="496">
        <f t="shared" ca="1" si="9"/>
        <v>1.98</v>
      </c>
      <c r="V10" s="496">
        <f t="shared" ca="1" si="9"/>
        <v>2.0099999999999998</v>
      </c>
      <c r="W10" s="496">
        <f t="shared" ca="1" si="9"/>
        <v>2.06</v>
      </c>
      <c r="X10" s="496">
        <f t="shared" ca="1" si="9"/>
        <v>2.13</v>
      </c>
      <c r="Y10" s="496">
        <f t="shared" ca="1" si="10"/>
        <v>2.2200000000000002</v>
      </c>
      <c r="Z10" s="496">
        <f t="shared" ca="1" si="10"/>
        <v>2.33</v>
      </c>
      <c r="AA10" s="496">
        <f t="shared" ca="1" si="10"/>
        <v>2.4500000000000002</v>
      </c>
      <c r="AB10" s="496">
        <f t="shared" ca="1" si="10"/>
        <v>2.58</v>
      </c>
      <c r="AC10" s="496">
        <f t="shared" ca="1" si="10"/>
        <v>2.72</v>
      </c>
      <c r="AD10" s="496">
        <f t="shared" ca="1" si="10"/>
        <v>2.87</v>
      </c>
      <c r="AE10" s="496">
        <f t="shared" ca="1" si="10"/>
        <v>3.03</v>
      </c>
      <c r="AF10" s="496">
        <f t="shared" ca="1" si="10"/>
        <v>3.2</v>
      </c>
      <c r="AG10" s="496">
        <f t="shared" ca="1" si="10"/>
        <v>3.38</v>
      </c>
      <c r="AH10" s="496">
        <f t="shared" ca="1" si="10"/>
        <v>3.57</v>
      </c>
      <c r="AI10" s="496">
        <f t="shared" ca="1" si="10"/>
        <v>3.7149999999999999</v>
      </c>
      <c r="AJ10" s="496">
        <f t="shared" ca="1" si="10"/>
        <v>3.8650000000000002</v>
      </c>
      <c r="AK10" s="496">
        <f t="shared" ca="1" si="10"/>
        <v>4.0199999999999996</v>
      </c>
      <c r="AL10" s="496">
        <f t="shared" ca="1" si="10"/>
        <v>4.18</v>
      </c>
      <c r="AM10" s="486"/>
      <c r="AN10" s="486"/>
      <c r="AO10" s="486"/>
      <c r="AP10" s="486"/>
      <c r="AQ10" s="486"/>
      <c r="AR10" s="231"/>
    </row>
    <row r="11" spans="1:44" customFormat="1" ht="11.25">
      <c r="A11" s="497">
        <f t="shared" ca="1" si="4"/>
        <v>36770</v>
      </c>
      <c r="B11" s="511">
        <v>2.0699999999999998</v>
      </c>
      <c r="C11" s="511">
        <v>2.0750000000000002</v>
      </c>
      <c r="D11" s="497">
        <f t="shared" ca="1" si="5"/>
        <v>36770</v>
      </c>
      <c r="E11" s="511">
        <v>20.954000000000001</v>
      </c>
      <c r="F11" s="511">
        <v>20.989000000000001</v>
      </c>
      <c r="G11" s="318"/>
      <c r="H11" s="490">
        <f t="shared" ca="1" si="0"/>
        <v>36770</v>
      </c>
      <c r="I11" s="491">
        <f t="shared" si="1"/>
        <v>2.0750000000000002</v>
      </c>
      <c r="J11" s="492">
        <f t="shared" ca="1" si="2"/>
        <v>36770</v>
      </c>
      <c r="K11" s="491">
        <f t="shared" si="3"/>
        <v>20.989000000000001</v>
      </c>
      <c r="L11" s="486"/>
      <c r="M11" s="486">
        <v>3</v>
      </c>
      <c r="N11" s="496">
        <f t="shared" ca="1" si="8"/>
        <v>0</v>
      </c>
      <c r="O11" s="496">
        <f t="shared" ca="1" si="9"/>
        <v>1.9930000000000001</v>
      </c>
      <c r="P11" s="496">
        <f t="shared" ca="1" si="9"/>
        <v>1.97</v>
      </c>
      <c r="Q11" s="496">
        <f t="shared" ca="1" si="9"/>
        <v>1.95</v>
      </c>
      <c r="R11" s="496">
        <f t="shared" ca="1" si="9"/>
        <v>1.9450000000000001</v>
      </c>
      <c r="S11" s="496">
        <f t="shared" ca="1" si="9"/>
        <v>1.95</v>
      </c>
      <c r="T11" s="496">
        <f t="shared" ca="1" si="9"/>
        <v>1.96</v>
      </c>
      <c r="U11" s="496">
        <f t="shared" ca="1" si="9"/>
        <v>1.98</v>
      </c>
      <c r="V11" s="496">
        <f t="shared" ca="1" si="9"/>
        <v>2.0099999999999998</v>
      </c>
      <c r="W11" s="496">
        <f t="shared" ca="1" si="9"/>
        <v>2.06</v>
      </c>
      <c r="X11" s="496">
        <f t="shared" ca="1" si="9"/>
        <v>2.13</v>
      </c>
      <c r="Y11" s="496">
        <f t="shared" ca="1" si="10"/>
        <v>2.2200000000000002</v>
      </c>
      <c r="Z11" s="496">
        <f t="shared" ca="1" si="10"/>
        <v>2.33</v>
      </c>
      <c r="AA11" s="496">
        <f t="shared" ca="1" si="10"/>
        <v>2.4500000000000002</v>
      </c>
      <c r="AB11" s="496">
        <f t="shared" ca="1" si="10"/>
        <v>2.58</v>
      </c>
      <c r="AC11" s="496">
        <f t="shared" ca="1" si="10"/>
        <v>2.72</v>
      </c>
      <c r="AD11" s="496">
        <f t="shared" ca="1" si="10"/>
        <v>2.87</v>
      </c>
      <c r="AE11" s="496">
        <f t="shared" ca="1" si="10"/>
        <v>3.03</v>
      </c>
      <c r="AF11" s="496">
        <f t="shared" ca="1" si="10"/>
        <v>3.2</v>
      </c>
      <c r="AG11" s="496">
        <f t="shared" ca="1" si="10"/>
        <v>3.38</v>
      </c>
      <c r="AH11" s="496">
        <f t="shared" ca="1" si="10"/>
        <v>3.57</v>
      </c>
      <c r="AI11" s="496">
        <f t="shared" ca="1" si="10"/>
        <v>3.7149999999999999</v>
      </c>
      <c r="AJ11" s="496">
        <f t="shared" ca="1" si="10"/>
        <v>3.8650000000000002</v>
      </c>
      <c r="AK11" s="496">
        <f t="shared" ca="1" si="10"/>
        <v>4.0199999999999996</v>
      </c>
      <c r="AL11" s="496">
        <f t="shared" ca="1" si="10"/>
        <v>4.18</v>
      </c>
      <c r="AM11" s="486"/>
      <c r="AN11" s="486"/>
      <c r="AO11" s="486"/>
      <c r="AP11" s="486"/>
      <c r="AQ11" s="486"/>
      <c r="AR11" s="231"/>
    </row>
    <row r="12" spans="1:44" customFormat="1" ht="11.25">
      <c r="A12" s="497">
        <f t="shared" ca="1" si="4"/>
        <v>36800</v>
      </c>
      <c r="B12" s="511">
        <v>2.0150000000000001</v>
      </c>
      <c r="C12" s="511">
        <v>2.02</v>
      </c>
      <c r="D12" s="497">
        <f t="shared" ca="1" si="5"/>
        <v>36800</v>
      </c>
      <c r="E12" s="511">
        <v>20.587</v>
      </c>
      <c r="F12" s="511">
        <v>20.622</v>
      </c>
      <c r="G12" s="318"/>
      <c r="H12" s="490">
        <f t="shared" ca="1" si="0"/>
        <v>36800</v>
      </c>
      <c r="I12" s="491">
        <f t="shared" si="1"/>
        <v>2.02</v>
      </c>
      <c r="J12" s="492">
        <f t="shared" ca="1" si="2"/>
        <v>36800</v>
      </c>
      <c r="K12" s="491">
        <f t="shared" si="3"/>
        <v>20.622</v>
      </c>
      <c r="L12" s="486"/>
      <c r="M12" s="486">
        <v>4</v>
      </c>
      <c r="N12" s="496">
        <f t="shared" ca="1" si="8"/>
        <v>2.347</v>
      </c>
      <c r="O12" s="496">
        <f t="shared" ca="1" si="9"/>
        <v>2.04</v>
      </c>
      <c r="P12" s="496">
        <f t="shared" ca="1" si="9"/>
        <v>2.044</v>
      </c>
      <c r="Q12" s="496">
        <f t="shared" ca="1" si="9"/>
        <v>2.024</v>
      </c>
      <c r="R12" s="496">
        <f t="shared" ca="1" si="9"/>
        <v>2.0190000000000001</v>
      </c>
      <c r="S12" s="496">
        <f t="shared" ca="1" si="9"/>
        <v>2.024</v>
      </c>
      <c r="T12" s="496">
        <f t="shared" ca="1" si="9"/>
        <v>2.0339999999999998</v>
      </c>
      <c r="U12" s="496">
        <f t="shared" ca="1" si="9"/>
        <v>2.0539999999999998</v>
      </c>
      <c r="V12" s="496">
        <f t="shared" ca="1" si="9"/>
        <v>2.0839999999999996</v>
      </c>
      <c r="W12" s="496">
        <f t="shared" ca="1" si="9"/>
        <v>2.1339999999999995</v>
      </c>
      <c r="X12" s="496">
        <f t="shared" ca="1" si="9"/>
        <v>2.2039999999999993</v>
      </c>
      <c r="Y12" s="496">
        <f t="shared" ca="1" si="10"/>
        <v>2.2939999999999992</v>
      </c>
      <c r="Z12" s="496">
        <f t="shared" ca="1" si="10"/>
        <v>2.403999999999999</v>
      </c>
      <c r="AA12" s="496">
        <f t="shared" ca="1" si="10"/>
        <v>2.5239999999999991</v>
      </c>
      <c r="AB12" s="496">
        <f t="shared" ca="1" si="10"/>
        <v>2.653999999999999</v>
      </c>
      <c r="AC12" s="496">
        <f t="shared" ca="1" si="10"/>
        <v>2.7939999999999992</v>
      </c>
      <c r="AD12" s="496">
        <f t="shared" ca="1" si="10"/>
        <v>2.9439999999999991</v>
      </c>
      <c r="AE12" s="496">
        <f t="shared" ca="1" si="10"/>
        <v>3.1039999999999992</v>
      </c>
      <c r="AF12" s="496">
        <f t="shared" ca="1" si="10"/>
        <v>3.2739999999999991</v>
      </c>
      <c r="AG12" s="496">
        <f t="shared" ca="1" si="10"/>
        <v>3.4539999999999993</v>
      </c>
      <c r="AH12" s="496">
        <f t="shared" ca="1" si="10"/>
        <v>3.6439999999999992</v>
      </c>
      <c r="AI12" s="496">
        <f t="shared" ca="1" si="10"/>
        <v>3.7889999999999993</v>
      </c>
      <c r="AJ12" s="496">
        <f t="shared" ca="1" si="10"/>
        <v>3.9389999999999992</v>
      </c>
      <c r="AK12" s="496">
        <f t="shared" ca="1" si="10"/>
        <v>4.0939999999999994</v>
      </c>
      <c r="AL12" s="496">
        <f t="shared" ca="1" si="10"/>
        <v>4.2539999999999996</v>
      </c>
      <c r="AM12" s="486"/>
      <c r="AN12" s="486"/>
      <c r="AO12" s="486"/>
      <c r="AP12" s="486"/>
      <c r="AQ12" s="486"/>
      <c r="AR12" s="231"/>
    </row>
    <row r="13" spans="1:44" customFormat="1" ht="11.25">
      <c r="A13" s="493">
        <f t="shared" ca="1" si="4"/>
        <v>36831</v>
      </c>
      <c r="B13" s="511">
        <v>1.98</v>
      </c>
      <c r="C13" s="511">
        <v>1.9850000000000001</v>
      </c>
      <c r="D13" s="493">
        <f t="shared" ca="1" si="5"/>
        <v>36831</v>
      </c>
      <c r="E13" s="511">
        <v>20.344000000000001</v>
      </c>
      <c r="F13" s="511">
        <v>20.379000000000001</v>
      </c>
      <c r="G13" s="318"/>
      <c r="H13" s="490">
        <f t="shared" ca="1" si="0"/>
        <v>36831</v>
      </c>
      <c r="I13" s="491">
        <f t="shared" si="1"/>
        <v>1.9850000000000001</v>
      </c>
      <c r="J13" s="492">
        <f t="shared" ca="1" si="2"/>
        <v>36831</v>
      </c>
      <c r="K13" s="491">
        <f t="shared" si="3"/>
        <v>20.379000000000001</v>
      </c>
      <c r="L13" s="486"/>
      <c r="M13" s="486">
        <v>5</v>
      </c>
      <c r="N13" s="496">
        <f t="shared" ca="1" si="8"/>
        <v>2.532</v>
      </c>
      <c r="O13" s="496">
        <f t="shared" ca="1" si="9"/>
        <v>2.13</v>
      </c>
      <c r="P13" s="496">
        <f t="shared" ca="1" si="9"/>
        <v>2.1619999999999999</v>
      </c>
      <c r="Q13" s="496">
        <f t="shared" ca="1" si="9"/>
        <v>2.1419999999999999</v>
      </c>
      <c r="R13" s="496">
        <f t="shared" ca="1" si="9"/>
        <v>2.137</v>
      </c>
      <c r="S13" s="496">
        <f t="shared" ca="1" si="9"/>
        <v>2.1419999999999999</v>
      </c>
      <c r="T13" s="496">
        <f t="shared" ca="1" si="9"/>
        <v>2.1519999999999997</v>
      </c>
      <c r="U13" s="496">
        <f t="shared" ca="1" si="9"/>
        <v>2.1719999999999997</v>
      </c>
      <c r="V13" s="496">
        <f t="shared" ca="1" si="9"/>
        <v>2.2019999999999995</v>
      </c>
      <c r="W13" s="496">
        <f t="shared" ca="1" si="9"/>
        <v>2.2519999999999993</v>
      </c>
      <c r="X13" s="496">
        <f t="shared" ca="1" si="9"/>
        <v>2.3219999999999992</v>
      </c>
      <c r="Y13" s="496">
        <f t="shared" ca="1" si="10"/>
        <v>2.411999999999999</v>
      </c>
      <c r="Z13" s="496">
        <f t="shared" ca="1" si="10"/>
        <v>2.5219999999999989</v>
      </c>
      <c r="AA13" s="496">
        <f t="shared" ca="1" si="10"/>
        <v>2.641999999999999</v>
      </c>
      <c r="AB13" s="496">
        <f t="shared" ca="1" si="10"/>
        <v>2.7719999999999989</v>
      </c>
      <c r="AC13" s="496">
        <f t="shared" ca="1" si="10"/>
        <v>2.911999999999999</v>
      </c>
      <c r="AD13" s="496">
        <f t="shared" ca="1" si="10"/>
        <v>3.0619999999999989</v>
      </c>
      <c r="AE13" s="496">
        <f t="shared" ca="1" si="10"/>
        <v>3.2219999999999991</v>
      </c>
      <c r="AF13" s="496">
        <f t="shared" ca="1" si="10"/>
        <v>3.391999999999999</v>
      </c>
      <c r="AG13" s="496">
        <f t="shared" ca="1" si="10"/>
        <v>3.5719999999999992</v>
      </c>
      <c r="AH13" s="496">
        <f t="shared" ca="1" si="10"/>
        <v>3.7619999999999991</v>
      </c>
      <c r="AI13" s="496">
        <f t="shared" ca="1" si="10"/>
        <v>3.9069999999999991</v>
      </c>
      <c r="AJ13" s="496">
        <f t="shared" ca="1" si="10"/>
        <v>4.0569999999999995</v>
      </c>
      <c r="AK13" s="496">
        <f t="shared" ca="1" si="10"/>
        <v>4.2119999999999997</v>
      </c>
      <c r="AL13" s="496">
        <f t="shared" ca="1" si="10"/>
        <v>4.3719999999999999</v>
      </c>
      <c r="AM13" s="486"/>
      <c r="AN13" s="486"/>
      <c r="AO13" s="486"/>
      <c r="AP13" s="486"/>
      <c r="AQ13" s="486"/>
      <c r="AR13" s="231"/>
    </row>
    <row r="14" spans="1:44" customFormat="1" ht="11.25">
      <c r="A14" s="493">
        <f t="shared" ca="1" si="4"/>
        <v>36861</v>
      </c>
      <c r="B14" s="511">
        <v>1.9780000000000002</v>
      </c>
      <c r="C14" s="511">
        <v>1.9830000000000001</v>
      </c>
      <c r="D14" s="493">
        <f t="shared" ca="1" si="5"/>
        <v>36861</v>
      </c>
      <c r="E14" s="511">
        <v>20.088999999999999</v>
      </c>
      <c r="F14" s="511">
        <v>20.123999999999999</v>
      </c>
      <c r="G14" s="318"/>
      <c r="H14" s="490">
        <f t="shared" ca="1" si="0"/>
        <v>36861</v>
      </c>
      <c r="I14" s="491">
        <f t="shared" si="1"/>
        <v>1.9830000000000001</v>
      </c>
      <c r="J14" s="492">
        <f t="shared" ca="1" si="2"/>
        <v>36861</v>
      </c>
      <c r="K14" s="491">
        <f t="shared" si="3"/>
        <v>20.123999999999999</v>
      </c>
      <c r="L14" s="486"/>
      <c r="M14" s="486">
        <v>6</v>
      </c>
      <c r="N14" s="496">
        <f t="shared" ca="1" si="8"/>
        <v>2.548</v>
      </c>
      <c r="O14" s="496">
        <f t="shared" ca="1" si="9"/>
        <v>2.13</v>
      </c>
      <c r="P14" s="496">
        <f t="shared" ca="1" si="9"/>
        <v>2.1629999999999998</v>
      </c>
      <c r="Q14" s="496">
        <f t="shared" ca="1" si="9"/>
        <v>2.1579999999999999</v>
      </c>
      <c r="R14" s="496">
        <f t="shared" ca="1" si="9"/>
        <v>2.1629999999999998</v>
      </c>
      <c r="S14" s="496">
        <f t="shared" ca="1" si="9"/>
        <v>2.1729999999999996</v>
      </c>
      <c r="T14" s="496">
        <f t="shared" ca="1" si="9"/>
        <v>2.1929999999999996</v>
      </c>
      <c r="U14" s="496">
        <f t="shared" ca="1" si="9"/>
        <v>2.2229999999999994</v>
      </c>
      <c r="V14" s="496">
        <f t="shared" ca="1" si="9"/>
        <v>2.2729999999999992</v>
      </c>
      <c r="W14" s="496">
        <f t="shared" ca="1" si="9"/>
        <v>2.3429999999999991</v>
      </c>
      <c r="X14" s="496">
        <f t="shared" ca="1" si="9"/>
        <v>2.4329999999999989</v>
      </c>
      <c r="Y14" s="496">
        <f t="shared" ca="1" si="10"/>
        <v>2.5429999999999988</v>
      </c>
      <c r="Z14" s="496">
        <f t="shared" ca="1" si="10"/>
        <v>2.6629999999999989</v>
      </c>
      <c r="AA14" s="496">
        <f t="shared" ca="1" si="10"/>
        <v>2.7929999999999988</v>
      </c>
      <c r="AB14" s="496">
        <f t="shared" ca="1" si="10"/>
        <v>2.9329999999999989</v>
      </c>
      <c r="AC14" s="496">
        <f t="shared" ca="1" si="10"/>
        <v>3.0829999999999989</v>
      </c>
      <c r="AD14" s="496">
        <f t="shared" ca="1" si="10"/>
        <v>3.242999999999999</v>
      </c>
      <c r="AE14" s="496">
        <f t="shared" ca="1" si="10"/>
        <v>3.4129999999999989</v>
      </c>
      <c r="AF14" s="496">
        <f t="shared" ca="1" si="10"/>
        <v>3.5929999999999991</v>
      </c>
      <c r="AG14" s="496">
        <f t="shared" ca="1" si="10"/>
        <v>3.782999999999999</v>
      </c>
      <c r="AH14" s="496">
        <f t="shared" ca="1" si="10"/>
        <v>3.927999999999999</v>
      </c>
      <c r="AI14" s="496">
        <f t="shared" ca="1" si="10"/>
        <v>4.0779999999999994</v>
      </c>
      <c r="AJ14" s="496">
        <f t="shared" ca="1" si="10"/>
        <v>4.2329999999999997</v>
      </c>
      <c r="AK14" s="496">
        <f t="shared" ca="1" si="10"/>
        <v>4.3929999999999998</v>
      </c>
      <c r="AL14" s="496">
        <f t="shared" ca="1" si="10"/>
        <v>4.5579999999999998</v>
      </c>
      <c r="AM14" s="486"/>
      <c r="AN14" s="486"/>
      <c r="AO14" s="486"/>
      <c r="AP14" s="486"/>
      <c r="AQ14" s="486"/>
      <c r="AR14" s="231"/>
    </row>
    <row r="15" spans="1:44" customFormat="1" ht="11.25">
      <c r="A15" s="493">
        <f t="shared" ca="1" si="4"/>
        <v>36892</v>
      </c>
      <c r="B15" s="511">
        <v>1.9780000000000002</v>
      </c>
      <c r="C15" s="511">
        <v>1.9830000000000001</v>
      </c>
      <c r="D15" s="493">
        <f t="shared" ca="1" si="5"/>
        <v>36892</v>
      </c>
      <c r="E15" s="511">
        <v>19.841999999999999</v>
      </c>
      <c r="F15" s="511">
        <v>19.876999999999999</v>
      </c>
      <c r="G15" s="318"/>
      <c r="H15" s="490">
        <f t="shared" ca="1" si="0"/>
        <v>36892</v>
      </c>
      <c r="I15" s="491">
        <f t="shared" si="1"/>
        <v>1.9830000000000001</v>
      </c>
      <c r="J15" s="492">
        <f t="shared" ca="1" si="2"/>
        <v>36892</v>
      </c>
      <c r="K15" s="491">
        <f t="shared" si="3"/>
        <v>19.876999999999999</v>
      </c>
      <c r="L15" s="486"/>
      <c r="M15" s="486">
        <v>7</v>
      </c>
      <c r="N15" s="496">
        <f t="shared" ca="1" si="8"/>
        <v>2.4180000000000001</v>
      </c>
      <c r="O15" s="496">
        <f t="shared" ca="1" si="9"/>
        <v>2.0619999999999998</v>
      </c>
      <c r="P15" s="496">
        <f t="shared" ca="1" si="9"/>
        <v>2.0779999999999998</v>
      </c>
      <c r="Q15" s="496">
        <f t="shared" ca="1" si="9"/>
        <v>2.073</v>
      </c>
      <c r="R15" s="496">
        <f t="shared" ca="1" si="9"/>
        <v>2.0779999999999998</v>
      </c>
      <c r="S15" s="496">
        <f t="shared" ca="1" si="9"/>
        <v>2.0879999999999996</v>
      </c>
      <c r="T15" s="496">
        <f t="shared" ca="1" si="9"/>
        <v>2.1079999999999997</v>
      </c>
      <c r="U15" s="496">
        <f t="shared" ca="1" si="9"/>
        <v>2.1379999999999995</v>
      </c>
      <c r="V15" s="496">
        <f t="shared" ca="1" si="9"/>
        <v>2.1879999999999993</v>
      </c>
      <c r="W15" s="496">
        <f t="shared" ca="1" si="9"/>
        <v>2.2579999999999991</v>
      </c>
      <c r="X15" s="496">
        <f t="shared" ca="1" si="9"/>
        <v>2.347999999999999</v>
      </c>
      <c r="Y15" s="496">
        <f t="shared" ca="1" si="10"/>
        <v>2.4579999999999989</v>
      </c>
      <c r="Z15" s="496">
        <f t="shared" ca="1" si="10"/>
        <v>2.577999999999999</v>
      </c>
      <c r="AA15" s="496">
        <f t="shared" ca="1" si="10"/>
        <v>2.7079999999999989</v>
      </c>
      <c r="AB15" s="496">
        <f t="shared" ca="1" si="10"/>
        <v>2.847999999999999</v>
      </c>
      <c r="AC15" s="496">
        <f t="shared" ca="1" si="10"/>
        <v>2.9979999999999989</v>
      </c>
      <c r="AD15" s="496">
        <f t="shared" ca="1" si="10"/>
        <v>3.157999999999999</v>
      </c>
      <c r="AE15" s="496">
        <f t="shared" ca="1" si="10"/>
        <v>3.327999999999999</v>
      </c>
      <c r="AF15" s="496">
        <f t="shared" ca="1" si="10"/>
        <v>3.5079999999999991</v>
      </c>
      <c r="AG15" s="496">
        <f t="shared" ca="1" si="10"/>
        <v>3.6979999999999991</v>
      </c>
      <c r="AH15" s="496">
        <f t="shared" ca="1" si="10"/>
        <v>3.8429999999999991</v>
      </c>
      <c r="AI15" s="496">
        <f t="shared" ca="1" si="10"/>
        <v>3.992999999999999</v>
      </c>
      <c r="AJ15" s="496">
        <f t="shared" ca="1" si="10"/>
        <v>4.1479999999999988</v>
      </c>
      <c r="AK15" s="496">
        <f t="shared" ca="1" si="10"/>
        <v>4.3079999999999989</v>
      </c>
      <c r="AL15" s="496">
        <f t="shared" ca="1" si="10"/>
        <v>4.5579999999999998</v>
      </c>
      <c r="AM15" s="486"/>
      <c r="AN15" s="486"/>
      <c r="AO15" s="486"/>
      <c r="AP15" s="486"/>
      <c r="AQ15" s="486"/>
      <c r="AR15" s="231"/>
    </row>
    <row r="16" spans="1:44" customFormat="1" ht="11.25">
      <c r="A16" s="493">
        <f t="shared" ca="1" si="4"/>
        <v>36923</v>
      </c>
      <c r="B16" s="511">
        <v>1.9780000000000002</v>
      </c>
      <c r="C16" s="511">
        <v>1.9830000000000001</v>
      </c>
      <c r="D16" s="493">
        <f t="shared" ca="1" si="5"/>
        <v>36923</v>
      </c>
      <c r="E16" s="511">
        <v>19.635000000000002</v>
      </c>
      <c r="F16" s="511">
        <v>19.670000000000002</v>
      </c>
      <c r="G16" s="318"/>
      <c r="H16" s="490">
        <f t="shared" ca="1" si="0"/>
        <v>36923</v>
      </c>
      <c r="I16" s="491">
        <f t="shared" si="1"/>
        <v>1.9830000000000001</v>
      </c>
      <c r="J16" s="492">
        <f t="shared" ca="1" si="2"/>
        <v>36923</v>
      </c>
      <c r="K16" s="491">
        <f t="shared" si="3"/>
        <v>19.670000000000002</v>
      </c>
      <c r="L16" s="486"/>
      <c r="M16" s="486">
        <v>8</v>
      </c>
      <c r="N16" s="496">
        <f t="shared" ca="1" si="8"/>
        <v>2.2429999999999999</v>
      </c>
      <c r="O16" s="496">
        <f t="shared" ca="1" si="9"/>
        <v>2</v>
      </c>
      <c r="P16" s="496">
        <f t="shared" ca="1" si="9"/>
        <v>2.012</v>
      </c>
      <c r="Q16" s="496">
        <f t="shared" ca="1" si="9"/>
        <v>2.0070000000000001</v>
      </c>
      <c r="R16" s="496">
        <f t="shared" ca="1" si="9"/>
        <v>2.012</v>
      </c>
      <c r="S16" s="496">
        <f t="shared" ca="1" si="9"/>
        <v>2.0219999999999998</v>
      </c>
      <c r="T16" s="496">
        <f t="shared" ca="1" si="9"/>
        <v>2.0419999999999998</v>
      </c>
      <c r="U16" s="496">
        <f t="shared" ca="1" si="9"/>
        <v>2.0719999999999996</v>
      </c>
      <c r="V16" s="496">
        <f t="shared" ca="1" si="9"/>
        <v>2.1219999999999994</v>
      </c>
      <c r="W16" s="496">
        <f t="shared" ca="1" si="9"/>
        <v>2.1919999999999993</v>
      </c>
      <c r="X16" s="496">
        <f t="shared" ca="1" si="9"/>
        <v>2.2819999999999991</v>
      </c>
      <c r="Y16" s="496">
        <f t="shared" ca="1" si="10"/>
        <v>2.391999999999999</v>
      </c>
      <c r="Z16" s="496">
        <f t="shared" ca="1" si="10"/>
        <v>2.5119999999999991</v>
      </c>
      <c r="AA16" s="496">
        <f t="shared" ca="1" si="10"/>
        <v>2.641999999999999</v>
      </c>
      <c r="AB16" s="496">
        <f t="shared" ca="1" si="10"/>
        <v>2.7819999999999991</v>
      </c>
      <c r="AC16" s="496">
        <f t="shared" ca="1" si="10"/>
        <v>2.9319999999999991</v>
      </c>
      <c r="AD16" s="496">
        <f t="shared" ca="1" si="10"/>
        <v>3.0919999999999992</v>
      </c>
      <c r="AE16" s="496">
        <f t="shared" ca="1" si="10"/>
        <v>3.2619999999999991</v>
      </c>
      <c r="AF16" s="496">
        <f t="shared" ca="1" si="10"/>
        <v>3.4419999999999993</v>
      </c>
      <c r="AG16" s="496">
        <f t="shared" ca="1" si="10"/>
        <v>3.6319999999999992</v>
      </c>
      <c r="AH16" s="496">
        <f t="shared" ca="1" si="10"/>
        <v>3.7769999999999992</v>
      </c>
      <c r="AI16" s="496">
        <f t="shared" ca="1" si="10"/>
        <v>3.9269999999999992</v>
      </c>
      <c r="AJ16" s="496">
        <f t="shared" ca="1" si="10"/>
        <v>4.081999999999999</v>
      </c>
      <c r="AK16" s="496">
        <f t="shared" ca="1" si="10"/>
        <v>4.2419999999999991</v>
      </c>
      <c r="AL16" s="496">
        <f t="shared" ca="1" si="10"/>
        <v>4.5579999999999998</v>
      </c>
      <c r="AM16" s="486"/>
      <c r="AN16" s="486"/>
      <c r="AO16" s="486"/>
      <c r="AP16" s="486"/>
      <c r="AQ16" s="486"/>
      <c r="AR16" s="231"/>
    </row>
    <row r="17" spans="1:44" customFormat="1" ht="11.25">
      <c r="A17" s="493">
        <f t="shared" ca="1" si="4"/>
        <v>36951</v>
      </c>
      <c r="B17" s="511">
        <v>1.9880000000000002</v>
      </c>
      <c r="C17" s="511">
        <v>1.9930000000000001</v>
      </c>
      <c r="D17" s="493">
        <f t="shared" ca="1" si="5"/>
        <v>36951</v>
      </c>
      <c r="E17" s="511">
        <v>19.402000000000001</v>
      </c>
      <c r="F17" s="511">
        <v>19.437000000000001</v>
      </c>
      <c r="G17" s="318"/>
      <c r="H17" s="490">
        <f t="shared" ca="1" si="0"/>
        <v>36951</v>
      </c>
      <c r="I17" s="491">
        <f t="shared" si="1"/>
        <v>1.9930000000000001</v>
      </c>
      <c r="J17" s="492">
        <f t="shared" ca="1" si="2"/>
        <v>36951</v>
      </c>
      <c r="K17" s="491">
        <f t="shared" si="3"/>
        <v>19.437000000000001</v>
      </c>
      <c r="L17" s="486"/>
      <c r="M17" s="486">
        <v>9</v>
      </c>
      <c r="N17" s="496">
        <f t="shared" ca="1" si="8"/>
        <v>2.0750000000000002</v>
      </c>
      <c r="O17" s="496">
        <f t="shared" ca="1" si="9"/>
        <v>1.97</v>
      </c>
      <c r="P17" s="496">
        <f t="shared" ca="1" si="9"/>
        <v>1.9630000000000001</v>
      </c>
      <c r="Q17" s="496">
        <f t="shared" ca="1" si="9"/>
        <v>1.9580000000000002</v>
      </c>
      <c r="R17" s="496">
        <f t="shared" ca="1" si="9"/>
        <v>1.9630000000000001</v>
      </c>
      <c r="S17" s="496">
        <f t="shared" ca="1" si="9"/>
        <v>1.9729999999999999</v>
      </c>
      <c r="T17" s="496">
        <f t="shared" ca="1" si="9"/>
        <v>1.9929999999999999</v>
      </c>
      <c r="U17" s="496">
        <f t="shared" ca="1" si="9"/>
        <v>2.0229999999999997</v>
      </c>
      <c r="V17" s="496">
        <f t="shared" ca="1" si="9"/>
        <v>2.0729999999999995</v>
      </c>
      <c r="W17" s="496">
        <f t="shared" ca="1" si="9"/>
        <v>2.1429999999999993</v>
      </c>
      <c r="X17" s="496">
        <f t="shared" ca="1" si="9"/>
        <v>2.2329999999999992</v>
      </c>
      <c r="Y17" s="496">
        <f t="shared" ca="1" si="10"/>
        <v>2.3429999999999991</v>
      </c>
      <c r="Z17" s="496">
        <f t="shared" ca="1" si="10"/>
        <v>2.4629999999999992</v>
      </c>
      <c r="AA17" s="496">
        <f t="shared" ca="1" si="10"/>
        <v>2.5929999999999991</v>
      </c>
      <c r="AB17" s="496">
        <f t="shared" ca="1" si="10"/>
        <v>2.7329999999999992</v>
      </c>
      <c r="AC17" s="496">
        <f t="shared" ca="1" si="10"/>
        <v>2.8829999999999991</v>
      </c>
      <c r="AD17" s="496">
        <f t="shared" ca="1" si="10"/>
        <v>3.0429999999999993</v>
      </c>
      <c r="AE17" s="496">
        <f t="shared" ca="1" si="10"/>
        <v>3.2129999999999992</v>
      </c>
      <c r="AF17" s="496">
        <f t="shared" ca="1" si="10"/>
        <v>3.3929999999999993</v>
      </c>
      <c r="AG17" s="496">
        <f t="shared" ca="1" si="10"/>
        <v>3.5829999999999993</v>
      </c>
      <c r="AH17" s="496">
        <f t="shared" ca="1" si="10"/>
        <v>3.7279999999999993</v>
      </c>
      <c r="AI17" s="496">
        <f t="shared" ca="1" si="10"/>
        <v>3.8779999999999992</v>
      </c>
      <c r="AJ17" s="496">
        <f t="shared" ca="1" si="10"/>
        <v>4.0329999999999995</v>
      </c>
      <c r="AK17" s="496">
        <f t="shared" ca="1" si="10"/>
        <v>4.1929999999999996</v>
      </c>
      <c r="AL17" s="496">
        <f t="shared" ca="1" si="10"/>
        <v>4.5579999999999998</v>
      </c>
      <c r="AM17" s="486"/>
      <c r="AN17" s="486"/>
      <c r="AO17" s="486"/>
      <c r="AP17" s="486"/>
      <c r="AQ17" s="486"/>
      <c r="AR17" s="231"/>
    </row>
    <row r="18" spans="1:44" customFormat="1" ht="11.25">
      <c r="A18" s="493">
        <f t="shared" ca="1" si="4"/>
        <v>36982</v>
      </c>
      <c r="B18" s="511">
        <v>2.0350000000000001</v>
      </c>
      <c r="C18" s="511">
        <v>2.04</v>
      </c>
      <c r="D18" s="493">
        <f t="shared" ca="1" si="5"/>
        <v>36982</v>
      </c>
      <c r="E18" s="511">
        <v>19.216999999999999</v>
      </c>
      <c r="F18" s="511">
        <v>19.251999999999999</v>
      </c>
      <c r="G18" s="318"/>
      <c r="H18" s="490">
        <f t="shared" ca="1" si="0"/>
        <v>36982</v>
      </c>
      <c r="I18" s="491">
        <f t="shared" si="1"/>
        <v>2.04</v>
      </c>
      <c r="J18" s="492">
        <f t="shared" ca="1" si="2"/>
        <v>36982</v>
      </c>
      <c r="K18" s="491">
        <f t="shared" si="3"/>
        <v>19.251999999999999</v>
      </c>
      <c r="L18" s="486"/>
      <c r="M18" s="486">
        <v>10</v>
      </c>
      <c r="N18" s="496">
        <f t="shared" ca="1" si="8"/>
        <v>2.02</v>
      </c>
      <c r="O18" s="496">
        <f t="shared" ca="1" si="9"/>
        <v>1.97</v>
      </c>
      <c r="P18" s="496">
        <f t="shared" ca="1" si="9"/>
        <v>1.95</v>
      </c>
      <c r="Q18" s="496">
        <f t="shared" ca="1" si="9"/>
        <v>1.9450000000000001</v>
      </c>
      <c r="R18" s="496">
        <f t="shared" ca="1" si="9"/>
        <v>1.95</v>
      </c>
      <c r="S18" s="496">
        <f t="shared" ca="1" si="9"/>
        <v>1.96</v>
      </c>
      <c r="T18" s="496">
        <f t="shared" ca="1" si="9"/>
        <v>1.98</v>
      </c>
      <c r="U18" s="496">
        <f t="shared" ca="1" si="9"/>
        <v>2.0099999999999998</v>
      </c>
      <c r="V18" s="496">
        <f t="shared" ca="1" si="9"/>
        <v>2.06</v>
      </c>
      <c r="W18" s="496">
        <f t="shared" ca="1" si="9"/>
        <v>2.13</v>
      </c>
      <c r="X18" s="496">
        <f t="shared" ca="1" si="9"/>
        <v>2.2200000000000002</v>
      </c>
      <c r="Y18" s="496">
        <f t="shared" ca="1" si="10"/>
        <v>2.33</v>
      </c>
      <c r="Z18" s="496">
        <f t="shared" ca="1" si="10"/>
        <v>2.4500000000000002</v>
      </c>
      <c r="AA18" s="496">
        <f t="shared" ca="1" si="10"/>
        <v>2.58</v>
      </c>
      <c r="AB18" s="496">
        <f t="shared" ca="1" si="10"/>
        <v>2.72</v>
      </c>
      <c r="AC18" s="496">
        <f t="shared" ca="1" si="10"/>
        <v>2.87</v>
      </c>
      <c r="AD18" s="496">
        <f t="shared" ca="1" si="10"/>
        <v>3.03</v>
      </c>
      <c r="AE18" s="496">
        <f t="shared" ca="1" si="10"/>
        <v>3.2</v>
      </c>
      <c r="AF18" s="496">
        <f t="shared" ca="1" si="10"/>
        <v>3.38</v>
      </c>
      <c r="AG18" s="496">
        <f t="shared" ca="1" si="10"/>
        <v>3.57</v>
      </c>
      <c r="AH18" s="496">
        <f t="shared" ca="1" si="10"/>
        <v>3.7149999999999999</v>
      </c>
      <c r="AI18" s="496">
        <f t="shared" ca="1" si="10"/>
        <v>3.8650000000000002</v>
      </c>
      <c r="AJ18" s="496">
        <f t="shared" ca="1" si="10"/>
        <v>4.0199999999999996</v>
      </c>
      <c r="AK18" s="496">
        <f t="shared" ca="1" si="10"/>
        <v>4.18</v>
      </c>
      <c r="AL18" s="496">
        <f t="shared" ca="1" si="10"/>
        <v>4.5579999999999998</v>
      </c>
      <c r="AM18" s="486"/>
      <c r="AN18" s="486"/>
      <c r="AO18" s="486"/>
      <c r="AP18" s="486"/>
      <c r="AQ18" s="486"/>
      <c r="AR18" s="231"/>
    </row>
    <row r="19" spans="1:44" customFormat="1" ht="11.25">
      <c r="A19" s="497">
        <f t="shared" ca="1" si="4"/>
        <v>37012</v>
      </c>
      <c r="B19" s="511">
        <v>2.125</v>
      </c>
      <c r="C19" s="511">
        <v>2.13</v>
      </c>
      <c r="D19" s="497">
        <f t="shared" ca="1" si="5"/>
        <v>37012</v>
      </c>
      <c r="E19" s="511">
        <v>19.056000000000001</v>
      </c>
      <c r="F19" s="511">
        <v>19.094999999999999</v>
      </c>
      <c r="G19" s="318"/>
      <c r="H19" s="490">
        <f t="shared" ca="1" si="0"/>
        <v>37012</v>
      </c>
      <c r="I19" s="491">
        <f t="shared" si="1"/>
        <v>2.13</v>
      </c>
      <c r="J19" s="492">
        <f t="shared" ca="1" si="2"/>
        <v>37012</v>
      </c>
      <c r="K19" s="491">
        <f t="shared" si="3"/>
        <v>19.094999999999999</v>
      </c>
      <c r="L19" s="486"/>
      <c r="M19" s="486">
        <v>11</v>
      </c>
      <c r="N19" s="496">
        <f ca="1">IF(MONTH($A$6)&gt;M19,0,IF(MONTH($A$6)=M19,+I$6,LOOKUP(DATE(N$8-1900,$M19,1),$H$6:$H$296,$I$6:$I$296)))</f>
        <v>1.9850000000000001</v>
      </c>
      <c r="O19" s="496">
        <f t="shared" ca="1" si="9"/>
        <v>1.97</v>
      </c>
      <c r="P19" s="496">
        <f t="shared" ca="1" si="9"/>
        <v>1.958</v>
      </c>
      <c r="Q19" s="496">
        <f t="shared" ca="1" si="9"/>
        <v>1.9530000000000001</v>
      </c>
      <c r="R19" s="496">
        <f t="shared" ca="1" si="9"/>
        <v>1.958</v>
      </c>
      <c r="S19" s="496">
        <f t="shared" ca="1" si="9"/>
        <v>1.9679999999999997</v>
      </c>
      <c r="T19" s="496">
        <f t="shared" ca="1" si="9"/>
        <v>1.9879999999999998</v>
      </c>
      <c r="U19" s="496">
        <f t="shared" ca="1" si="9"/>
        <v>2.0179999999999998</v>
      </c>
      <c r="V19" s="496">
        <f t="shared" ca="1" si="9"/>
        <v>2.0679999999999996</v>
      </c>
      <c r="W19" s="496">
        <f t="shared" ca="1" si="9"/>
        <v>2.1379999999999995</v>
      </c>
      <c r="X19" s="496">
        <f t="shared" ca="1" si="9"/>
        <v>2.2279999999999993</v>
      </c>
      <c r="Y19" s="496">
        <f t="shared" ca="1" si="10"/>
        <v>2.3379999999999992</v>
      </c>
      <c r="Z19" s="496">
        <f t="shared" ca="1" si="10"/>
        <v>2.4579999999999993</v>
      </c>
      <c r="AA19" s="496">
        <f t="shared" ca="1" si="10"/>
        <v>2.5879999999999992</v>
      </c>
      <c r="AB19" s="496">
        <f t="shared" ca="1" si="10"/>
        <v>2.7279999999999993</v>
      </c>
      <c r="AC19" s="496">
        <f t="shared" ca="1" si="10"/>
        <v>2.8779999999999992</v>
      </c>
      <c r="AD19" s="496">
        <f t="shared" ca="1" si="10"/>
        <v>3.0379999999999994</v>
      </c>
      <c r="AE19" s="496">
        <f t="shared" ca="1" si="10"/>
        <v>3.2079999999999993</v>
      </c>
      <c r="AF19" s="496">
        <f t="shared" ca="1" si="10"/>
        <v>3.3879999999999995</v>
      </c>
      <c r="AG19" s="496">
        <f t="shared" ca="1" si="10"/>
        <v>3.5779999999999994</v>
      </c>
      <c r="AH19" s="496">
        <f t="shared" ca="1" si="10"/>
        <v>3.7229999999999994</v>
      </c>
      <c r="AI19" s="496">
        <f t="shared" ca="1" si="10"/>
        <v>3.8729999999999993</v>
      </c>
      <c r="AJ19" s="496">
        <f t="shared" ca="1" si="10"/>
        <v>4.0279999999999996</v>
      </c>
      <c r="AK19" s="496">
        <f t="shared" ca="1" si="10"/>
        <v>4.1879999999999997</v>
      </c>
      <c r="AL19" s="496">
        <f t="shared" ca="1" si="10"/>
        <v>4.5579999999999998</v>
      </c>
      <c r="AM19" s="486"/>
      <c r="AN19" s="486"/>
      <c r="AO19" s="486"/>
      <c r="AP19" s="486"/>
      <c r="AQ19" s="486"/>
      <c r="AR19" s="231"/>
    </row>
    <row r="20" spans="1:44" customFormat="1" ht="11.25">
      <c r="A20" s="497">
        <f t="shared" ca="1" si="4"/>
        <v>37043</v>
      </c>
      <c r="B20" s="511">
        <v>2.125</v>
      </c>
      <c r="C20" s="511">
        <v>2.13</v>
      </c>
      <c r="D20" s="497">
        <f t="shared" ca="1" si="5"/>
        <v>37043</v>
      </c>
      <c r="E20" s="511">
        <v>18.920999999999999</v>
      </c>
      <c r="F20" s="511">
        <v>18.966000000000001</v>
      </c>
      <c r="G20" s="318"/>
      <c r="H20" s="490">
        <f t="shared" ca="1" si="0"/>
        <v>37043</v>
      </c>
      <c r="I20" s="491">
        <f t="shared" si="1"/>
        <v>2.13</v>
      </c>
      <c r="J20" s="492">
        <f t="shared" ca="1" si="2"/>
        <v>37043</v>
      </c>
      <c r="K20" s="491">
        <f t="shared" si="3"/>
        <v>18.966000000000001</v>
      </c>
      <c r="L20" s="486"/>
      <c r="M20" s="486">
        <v>12</v>
      </c>
      <c r="N20" s="496">
        <f ca="1">IF(MONTH($A$6)&gt;M20,0,IF(MONTH($A$6)=M20,+I$6,LOOKUP(DATE(N$8-1900,$M20,1),$H$6:$H$296,$I$6:$I$296)))</f>
        <v>1.9830000000000001</v>
      </c>
      <c r="O20" s="496">
        <f t="shared" ca="1" si="9"/>
        <v>1.97</v>
      </c>
      <c r="P20" s="496">
        <f t="shared" ca="1" si="9"/>
        <v>1.95</v>
      </c>
      <c r="Q20" s="496">
        <f t="shared" ca="1" si="9"/>
        <v>1.9450000000000001</v>
      </c>
      <c r="R20" s="496">
        <f t="shared" ca="1" si="9"/>
        <v>1.95</v>
      </c>
      <c r="S20" s="496">
        <f t="shared" ca="1" si="9"/>
        <v>1.96</v>
      </c>
      <c r="T20" s="496">
        <f t="shared" ca="1" si="9"/>
        <v>1.98</v>
      </c>
      <c r="U20" s="496">
        <f t="shared" ca="1" si="9"/>
        <v>2.0099999999999998</v>
      </c>
      <c r="V20" s="496">
        <f t="shared" ca="1" si="9"/>
        <v>2.06</v>
      </c>
      <c r="W20" s="496">
        <f t="shared" ca="1" si="9"/>
        <v>2.13</v>
      </c>
      <c r="X20" s="496">
        <f t="shared" ca="1" si="9"/>
        <v>2.2200000000000002</v>
      </c>
      <c r="Y20" s="496">
        <f t="shared" ca="1" si="10"/>
        <v>2.33</v>
      </c>
      <c r="Z20" s="496">
        <f t="shared" ca="1" si="10"/>
        <v>2.4500000000000002</v>
      </c>
      <c r="AA20" s="496">
        <f t="shared" ca="1" si="10"/>
        <v>2.58</v>
      </c>
      <c r="AB20" s="496">
        <f t="shared" ca="1" si="10"/>
        <v>2.72</v>
      </c>
      <c r="AC20" s="496">
        <f t="shared" ca="1" si="10"/>
        <v>2.87</v>
      </c>
      <c r="AD20" s="496">
        <f t="shared" ca="1" si="10"/>
        <v>3.03</v>
      </c>
      <c r="AE20" s="496">
        <f t="shared" ca="1" si="10"/>
        <v>3.2</v>
      </c>
      <c r="AF20" s="496">
        <f t="shared" ca="1" si="10"/>
        <v>3.38</v>
      </c>
      <c r="AG20" s="496">
        <f t="shared" ca="1" si="10"/>
        <v>3.57</v>
      </c>
      <c r="AH20" s="496">
        <f t="shared" ca="1" si="10"/>
        <v>3.7149999999999999</v>
      </c>
      <c r="AI20" s="496">
        <f t="shared" ca="1" si="10"/>
        <v>3.8650000000000002</v>
      </c>
      <c r="AJ20" s="496">
        <f t="shared" ca="1" si="10"/>
        <v>4.0199999999999996</v>
      </c>
      <c r="AK20" s="496">
        <f t="shared" ca="1" si="10"/>
        <v>4.18</v>
      </c>
      <c r="AL20" s="496">
        <f t="shared" ca="1" si="10"/>
        <v>4.5579999999999998</v>
      </c>
      <c r="AM20" s="486"/>
      <c r="AN20" s="486"/>
      <c r="AO20" s="486"/>
      <c r="AP20" s="486"/>
      <c r="AQ20" s="486"/>
      <c r="AR20" s="231"/>
    </row>
    <row r="21" spans="1:44" customFormat="1" ht="11.25">
      <c r="A21" s="493">
        <f t="shared" ca="1" si="4"/>
        <v>37073</v>
      </c>
      <c r="B21" s="511">
        <v>2.0569999999999999</v>
      </c>
      <c r="C21" s="511">
        <v>2.0619999999999998</v>
      </c>
      <c r="D21" s="493">
        <f t="shared" ca="1" si="5"/>
        <v>37073</v>
      </c>
      <c r="E21" s="511">
        <v>18.815000000000001</v>
      </c>
      <c r="F21" s="511">
        <v>18.86</v>
      </c>
      <c r="G21" s="318"/>
      <c r="H21" s="490">
        <f t="shared" ca="1" si="0"/>
        <v>37073</v>
      </c>
      <c r="I21" s="491">
        <f t="shared" si="1"/>
        <v>2.0619999999999998</v>
      </c>
      <c r="J21" s="492">
        <f t="shared" ca="1" si="2"/>
        <v>37073</v>
      </c>
      <c r="K21" s="491">
        <f t="shared" si="3"/>
        <v>18.86</v>
      </c>
      <c r="L21" s="498" t="s">
        <v>11</v>
      </c>
      <c r="M21" s="498"/>
      <c r="N21" s="498">
        <f ca="1">IF(ISERR(SUM(N9:N20)/COUNTIF(N9:N20,"&gt;0")),0,SUM(N9:N20)/COUNTIF(N9:N20,"&gt;0"))</f>
        <v>2.2389999999999999</v>
      </c>
      <c r="O21" s="498">
        <f t="shared" ref="O21:AD21" ca="1" si="11">IF(ISERR(SUM(O9:O20)/COUNTIF(O9:O20,"&gt;0")),0,SUM(O9:O20)/COUNTIF(O9:O20,"&gt;0"))</f>
        <v>2.0167499999999996</v>
      </c>
      <c r="P21" s="498">
        <f t="shared" ca="1" si="11"/>
        <v>2.0158333333333331</v>
      </c>
      <c r="Q21" s="498">
        <f t="shared" ca="1" si="11"/>
        <v>2.0045833333333336</v>
      </c>
      <c r="R21" s="498">
        <f t="shared" ca="1" si="11"/>
        <v>2.0054166666666666</v>
      </c>
      <c r="S21" s="498">
        <f t="shared" ca="1" si="11"/>
        <v>2.0133333333333332</v>
      </c>
      <c r="T21" s="498">
        <f t="shared" ca="1" si="11"/>
        <v>2.0291666666666663</v>
      </c>
      <c r="U21" s="498">
        <f t="shared" ca="1" si="11"/>
        <v>2.0549999999999997</v>
      </c>
      <c r="V21" s="498">
        <f t="shared" ca="1" si="11"/>
        <v>2.0966666666666662</v>
      </c>
      <c r="W21" s="498">
        <f t="shared" ca="1" si="11"/>
        <v>2.1583333333333328</v>
      </c>
      <c r="X21" s="498">
        <f t="shared" ca="1" si="11"/>
        <v>2.2399999999999993</v>
      </c>
      <c r="Y21" s="498">
        <f t="shared" ca="1" si="11"/>
        <v>2.3416666666666663</v>
      </c>
      <c r="Z21" s="498">
        <f t="shared" ca="1" si="11"/>
        <v>2.4574999999999991</v>
      </c>
      <c r="AA21" s="498">
        <f t="shared" ca="1" si="11"/>
        <v>2.5833333333333326</v>
      </c>
      <c r="AB21" s="498">
        <f t="shared" ca="1" si="11"/>
        <v>2.7191666666666663</v>
      </c>
      <c r="AC21" s="498">
        <f t="shared" ca="1" si="11"/>
        <v>2.8649999999999998</v>
      </c>
      <c r="AD21" s="498">
        <f t="shared" ca="1" si="11"/>
        <v>3.0208333333333326</v>
      </c>
      <c r="AE21" s="498">
        <f t="shared" ref="AE21:AQ21" ca="1" si="12">IF(ISERR(SUM(AE9:AE20)/COUNTIF(AE9:AE20,"&gt;0")),0,SUM(AE9:AE20)/COUNTIF(AE9:AE20,"&gt;0"))</f>
        <v>3.186666666666667</v>
      </c>
      <c r="AF21" s="498">
        <f t="shared" ca="1" si="12"/>
        <v>3.3625000000000003</v>
      </c>
      <c r="AG21" s="498">
        <f t="shared" ca="1" si="12"/>
        <v>3.5483333333333325</v>
      </c>
      <c r="AH21" s="498">
        <f t="shared" ca="1" si="12"/>
        <v>3.7120833333333336</v>
      </c>
      <c r="AI21" s="498">
        <f t="shared" ca="1" si="12"/>
        <v>3.8599999999999994</v>
      </c>
      <c r="AJ21" s="498">
        <f t="shared" ca="1" si="12"/>
        <v>4.0129166666666665</v>
      </c>
      <c r="AK21" s="498">
        <f t="shared" ca="1" si="12"/>
        <v>4.1708333333333334</v>
      </c>
      <c r="AL21" s="498">
        <f t="shared" ca="1" si="12"/>
        <v>4.4226666666666663</v>
      </c>
      <c r="AM21" s="498">
        <f t="shared" si="12"/>
        <v>0</v>
      </c>
      <c r="AN21" s="498">
        <f t="shared" si="12"/>
        <v>0</v>
      </c>
      <c r="AO21" s="498">
        <f t="shared" si="12"/>
        <v>0</v>
      </c>
      <c r="AP21" s="498">
        <f t="shared" si="12"/>
        <v>0</v>
      </c>
      <c r="AQ21" s="498">
        <f t="shared" si="12"/>
        <v>0</v>
      </c>
      <c r="AR21" s="231"/>
    </row>
    <row r="22" spans="1:44" customFormat="1" ht="11.25">
      <c r="A22" s="493">
        <f t="shared" ca="1" si="4"/>
        <v>37104</v>
      </c>
      <c r="B22" s="511">
        <v>1.9950000000000001</v>
      </c>
      <c r="C22" s="511">
        <v>2</v>
      </c>
      <c r="D22" s="493">
        <f t="shared" ca="1" si="5"/>
        <v>37104</v>
      </c>
      <c r="E22" s="511">
        <v>18.687000000000001</v>
      </c>
      <c r="F22" s="511">
        <v>18.731999999999999</v>
      </c>
      <c r="G22" s="318"/>
      <c r="H22" s="490">
        <f t="shared" ca="1" si="0"/>
        <v>37104</v>
      </c>
      <c r="I22" s="491">
        <f t="shared" si="1"/>
        <v>2</v>
      </c>
      <c r="J22" s="492">
        <f t="shared" ca="1" si="2"/>
        <v>37104</v>
      </c>
      <c r="K22" s="491">
        <f t="shared" si="3"/>
        <v>18.731999999999999</v>
      </c>
      <c r="L22" s="486"/>
      <c r="M22" s="486"/>
      <c r="N22" s="486"/>
      <c r="O22" s="486"/>
      <c r="P22" s="486"/>
      <c r="Q22" s="486"/>
      <c r="R22" s="486"/>
      <c r="S22" s="486"/>
      <c r="T22" s="486"/>
      <c r="U22" s="486"/>
      <c r="V22" s="486"/>
      <c r="W22" s="486"/>
      <c r="X22" s="486"/>
      <c r="Y22" s="486"/>
      <c r="Z22" s="486"/>
      <c r="AA22" s="486"/>
      <c r="AB22" s="486"/>
      <c r="AC22" s="486"/>
      <c r="AD22" s="486"/>
      <c r="AE22" s="486"/>
      <c r="AF22" s="486"/>
      <c r="AG22" s="486"/>
      <c r="AH22" s="486"/>
      <c r="AI22" s="486"/>
      <c r="AJ22" s="486"/>
      <c r="AK22" s="486"/>
      <c r="AL22" s="486"/>
      <c r="AM22" s="486"/>
      <c r="AN22" s="486"/>
      <c r="AO22" s="486"/>
      <c r="AP22" s="486"/>
      <c r="AQ22" s="486"/>
      <c r="AR22" s="231"/>
    </row>
    <row r="23" spans="1:44" customFormat="1" ht="11.25">
      <c r="A23" s="493">
        <f t="shared" ref="A23:A38" ca="1" si="13">DATE(YEAR(A22),MONTH(A22)+1,1)</f>
        <v>37135</v>
      </c>
      <c r="B23" s="511">
        <v>1.9650000000000001</v>
      </c>
      <c r="C23" s="511">
        <v>1.97</v>
      </c>
      <c r="D23" s="493">
        <f t="shared" ref="D23:D38" ca="1" si="14">DATE(YEAR(D22),MONTH(D22)+1,1)</f>
        <v>37135</v>
      </c>
      <c r="E23" s="511">
        <v>18.565000000000001</v>
      </c>
      <c r="F23" s="511">
        <v>18.61</v>
      </c>
      <c r="G23" s="318"/>
      <c r="H23" s="490">
        <f t="shared" ca="1" si="0"/>
        <v>37135</v>
      </c>
      <c r="I23" s="491">
        <f t="shared" si="1"/>
        <v>1.97</v>
      </c>
      <c r="J23" s="492">
        <f t="shared" ca="1" si="2"/>
        <v>37135</v>
      </c>
      <c r="K23" s="491">
        <f t="shared" si="3"/>
        <v>18.61</v>
      </c>
      <c r="L23" s="485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486"/>
      <c r="AL23" s="486"/>
      <c r="AM23" s="486"/>
      <c r="AN23" s="486"/>
      <c r="AO23" s="486"/>
      <c r="AP23" s="486"/>
      <c r="AQ23" s="486"/>
      <c r="AR23" s="231"/>
    </row>
    <row r="24" spans="1:44" customFormat="1" ht="11.25">
      <c r="A24" s="493">
        <f t="shared" ca="1" si="13"/>
        <v>37165</v>
      </c>
      <c r="B24" s="511">
        <v>1.9650000000000001</v>
      </c>
      <c r="C24" s="511">
        <v>1.97</v>
      </c>
      <c r="D24" s="493">
        <f t="shared" ca="1" si="14"/>
        <v>37165</v>
      </c>
      <c r="E24" s="511">
        <v>18.468</v>
      </c>
      <c r="F24" s="511">
        <v>18.513000000000002</v>
      </c>
      <c r="G24" s="318"/>
      <c r="H24" s="490">
        <f t="shared" ca="1" si="0"/>
        <v>37165</v>
      </c>
      <c r="I24" s="491">
        <f t="shared" si="1"/>
        <v>1.97</v>
      </c>
      <c r="J24" s="492">
        <f t="shared" ca="1" si="2"/>
        <v>37165</v>
      </c>
      <c r="K24" s="491">
        <f t="shared" si="3"/>
        <v>18.513000000000002</v>
      </c>
      <c r="L24" s="486"/>
      <c r="M24" s="486"/>
      <c r="N24" s="672">
        <f ca="1">YEAR(J6)</f>
        <v>2000</v>
      </c>
      <c r="O24" s="672">
        <f t="shared" ref="O24:AD24" ca="1" si="15">1+N24</f>
        <v>2001</v>
      </c>
      <c r="P24" s="672">
        <f t="shared" ca="1" si="15"/>
        <v>2002</v>
      </c>
      <c r="Q24" s="672">
        <f t="shared" ca="1" si="15"/>
        <v>2003</v>
      </c>
      <c r="R24" s="672">
        <f t="shared" ca="1" si="15"/>
        <v>2004</v>
      </c>
      <c r="S24" s="672">
        <f t="shared" ca="1" si="15"/>
        <v>2005</v>
      </c>
      <c r="T24" s="672">
        <f t="shared" ca="1" si="15"/>
        <v>2006</v>
      </c>
      <c r="U24" s="672">
        <f t="shared" ca="1" si="15"/>
        <v>2007</v>
      </c>
      <c r="V24" s="672">
        <f t="shared" ca="1" si="15"/>
        <v>2008</v>
      </c>
      <c r="W24" s="672">
        <f t="shared" ca="1" si="15"/>
        <v>2009</v>
      </c>
      <c r="X24" s="672">
        <f t="shared" ca="1" si="15"/>
        <v>2010</v>
      </c>
      <c r="Y24" s="672">
        <f t="shared" ca="1" si="15"/>
        <v>2011</v>
      </c>
      <c r="Z24" s="672">
        <f t="shared" ca="1" si="15"/>
        <v>2012</v>
      </c>
      <c r="AA24" s="672">
        <f t="shared" ca="1" si="15"/>
        <v>2013</v>
      </c>
      <c r="AB24" s="672">
        <f t="shared" ca="1" si="15"/>
        <v>2014</v>
      </c>
      <c r="AC24" s="672">
        <f t="shared" ca="1" si="15"/>
        <v>2015</v>
      </c>
      <c r="AD24" s="672">
        <f t="shared" ca="1" si="15"/>
        <v>2016</v>
      </c>
      <c r="AE24" s="672">
        <f t="shared" ref="AE24:AP24" ca="1" si="16">1+AD24</f>
        <v>2017</v>
      </c>
      <c r="AF24" s="672">
        <f t="shared" ca="1" si="16"/>
        <v>2018</v>
      </c>
      <c r="AG24" s="672">
        <f t="shared" ca="1" si="16"/>
        <v>2019</v>
      </c>
      <c r="AH24" s="672">
        <f t="shared" ca="1" si="16"/>
        <v>2020</v>
      </c>
      <c r="AI24" s="672">
        <f t="shared" ca="1" si="16"/>
        <v>2021</v>
      </c>
      <c r="AJ24" s="672">
        <f t="shared" ca="1" si="16"/>
        <v>2022</v>
      </c>
      <c r="AK24" s="672">
        <f t="shared" ca="1" si="16"/>
        <v>2023</v>
      </c>
      <c r="AL24" s="672">
        <f t="shared" ca="1" si="16"/>
        <v>2024</v>
      </c>
      <c r="AM24" s="495">
        <f t="shared" ca="1" si="16"/>
        <v>2025</v>
      </c>
      <c r="AN24" s="495">
        <f t="shared" ca="1" si="16"/>
        <v>2026</v>
      </c>
      <c r="AO24" s="495">
        <f t="shared" ca="1" si="16"/>
        <v>2027</v>
      </c>
      <c r="AP24" s="495">
        <f t="shared" ca="1" si="16"/>
        <v>2028</v>
      </c>
      <c r="AQ24" s="495" t="s">
        <v>10</v>
      </c>
      <c r="AR24" s="231"/>
    </row>
    <row r="25" spans="1:44" customFormat="1" ht="11.25">
      <c r="A25" s="493">
        <f t="shared" ca="1" si="13"/>
        <v>37196</v>
      </c>
      <c r="B25" s="511">
        <v>1.9650000000000001</v>
      </c>
      <c r="C25" s="511">
        <v>1.97</v>
      </c>
      <c r="D25" s="493">
        <f t="shared" ca="1" si="14"/>
        <v>37196</v>
      </c>
      <c r="E25" s="511">
        <v>18.399000000000001</v>
      </c>
      <c r="F25" s="511">
        <v>18.443999999999999</v>
      </c>
      <c r="G25" s="318"/>
      <c r="H25" s="490">
        <f t="shared" ca="1" si="0"/>
        <v>37196</v>
      </c>
      <c r="I25" s="491">
        <f t="shared" si="1"/>
        <v>1.97</v>
      </c>
      <c r="J25" s="492">
        <f t="shared" ca="1" si="2"/>
        <v>37196</v>
      </c>
      <c r="K25" s="491">
        <f t="shared" si="3"/>
        <v>18.443999999999999</v>
      </c>
      <c r="L25" s="486"/>
      <c r="M25" s="486">
        <v>1</v>
      </c>
      <c r="N25" s="496">
        <f t="shared" ref="N25:N35" ca="1" si="17">IF(MONTH($D$6)&gt;M25,0,IF(MONTH($D$6)=M25,+K$6,LOOKUP(DATE(N$24-1900,$M25,1),$J$6:$J$296,$K$6:$K$296)))</f>
        <v>0</v>
      </c>
      <c r="O25" s="496">
        <f t="shared" ref="O25:AD36" ca="1" si="18">LOOKUP(DATE(N$24-1900+1,$M25,1),$J$6:$J$260,$K$6:$K$260)</f>
        <v>19.876999999999999</v>
      </c>
      <c r="P25" s="496">
        <f t="shared" ca="1" si="18"/>
        <v>18.356999999999999</v>
      </c>
      <c r="Q25" s="496">
        <f t="shared" ca="1" si="18"/>
        <v>18.367000000000001</v>
      </c>
      <c r="R25" s="496">
        <f t="shared" ca="1" si="18"/>
        <v>18.504999999999999</v>
      </c>
      <c r="S25" s="496">
        <f t="shared" ca="1" si="18"/>
        <v>18.658000000000001</v>
      </c>
      <c r="T25" s="496">
        <f t="shared" ca="1" si="18"/>
        <v>18.823</v>
      </c>
      <c r="U25" s="496">
        <f t="shared" ca="1" si="18"/>
        <v>19.009</v>
      </c>
      <c r="V25" s="496">
        <f t="shared" ca="1" si="18"/>
        <v>19.206</v>
      </c>
      <c r="W25" s="496">
        <f t="shared" ca="1" si="18"/>
        <v>19.414000000000001</v>
      </c>
      <c r="X25" s="496">
        <f t="shared" ca="1" si="18"/>
        <v>19.623999999999999</v>
      </c>
      <c r="Y25" s="496">
        <f t="shared" ca="1" si="18"/>
        <v>19.835000000000001</v>
      </c>
      <c r="Z25" s="496">
        <f t="shared" ca="1" si="18"/>
        <v>20.044</v>
      </c>
      <c r="AA25" s="496">
        <f t="shared" ca="1" si="18"/>
        <v>20.254000000000001</v>
      </c>
      <c r="AB25" s="496">
        <f t="shared" ca="1" si="18"/>
        <v>20.463999999999999</v>
      </c>
      <c r="AC25" s="496">
        <f t="shared" ca="1" si="18"/>
        <v>21.187999999999999</v>
      </c>
      <c r="AD25" s="496">
        <f t="shared" ca="1" si="18"/>
        <v>21.489000000000001</v>
      </c>
      <c r="AE25" s="496">
        <f t="shared" ref="Y25:AH36" ca="1" si="19">LOOKUP(DATE(AD$24-1900+1,$M25,1),$J$6:$J$260,$K$6:$K$260)</f>
        <v>21.789000000000001</v>
      </c>
      <c r="AF25" s="496">
        <f t="shared" ca="1" si="19"/>
        <v>22.09</v>
      </c>
      <c r="AG25" s="496">
        <f t="shared" ca="1" si="19"/>
        <v>22.39</v>
      </c>
      <c r="AH25" s="496">
        <f t="shared" ca="1" si="19"/>
        <v>0</v>
      </c>
      <c r="AI25" s="496"/>
      <c r="AJ25" s="486"/>
      <c r="AK25" s="486"/>
      <c r="AL25" s="486"/>
      <c r="AM25" s="486"/>
      <c r="AN25" s="486"/>
      <c r="AO25" s="486"/>
      <c r="AP25" s="486"/>
      <c r="AQ25" s="486"/>
      <c r="AR25" s="231"/>
    </row>
    <row r="26" spans="1:44" customFormat="1" ht="11.25">
      <c r="A26" s="497">
        <f t="shared" ca="1" si="13"/>
        <v>37226</v>
      </c>
      <c r="B26" s="511">
        <v>1.9650000000000001</v>
      </c>
      <c r="C26" s="511">
        <v>1.97</v>
      </c>
      <c r="D26" s="497">
        <f t="shared" ca="1" si="14"/>
        <v>37226</v>
      </c>
      <c r="E26" s="511">
        <v>18.338999999999999</v>
      </c>
      <c r="F26" s="511">
        <v>18.384</v>
      </c>
      <c r="G26" s="318"/>
      <c r="H26" s="490">
        <f t="shared" ca="1" si="0"/>
        <v>37226</v>
      </c>
      <c r="I26" s="491">
        <f t="shared" si="1"/>
        <v>1.97</v>
      </c>
      <c r="J26" s="492">
        <f t="shared" ca="1" si="2"/>
        <v>37226</v>
      </c>
      <c r="K26" s="491">
        <f t="shared" si="3"/>
        <v>18.384</v>
      </c>
      <c r="L26" s="486"/>
      <c r="M26" s="486">
        <v>2</v>
      </c>
      <c r="N26" s="496">
        <f t="shared" ca="1" si="17"/>
        <v>0</v>
      </c>
      <c r="O26" s="496">
        <f t="shared" ca="1" si="18"/>
        <v>19.670000000000002</v>
      </c>
      <c r="P26" s="496">
        <f t="shared" ca="1" si="18"/>
        <v>18.347000000000001</v>
      </c>
      <c r="Q26" s="496">
        <f t="shared" ca="1" si="18"/>
        <v>18.372</v>
      </c>
      <c r="R26" s="496">
        <f t="shared" ca="1" si="18"/>
        <v>18.518999999999998</v>
      </c>
      <c r="S26" s="496">
        <f t="shared" ca="1" si="18"/>
        <v>18.670000000000002</v>
      </c>
      <c r="T26" s="496">
        <f t="shared" ca="1" si="18"/>
        <v>18.835999999999999</v>
      </c>
      <c r="U26" s="496">
        <f t="shared" ca="1" si="18"/>
        <v>19.023</v>
      </c>
      <c r="V26" s="496">
        <f t="shared" ca="1" si="18"/>
        <v>19.222999999999999</v>
      </c>
      <c r="W26" s="496">
        <f t="shared" ca="1" si="18"/>
        <v>19.433</v>
      </c>
      <c r="X26" s="496">
        <f t="shared" ca="1" si="18"/>
        <v>19.641999999999999</v>
      </c>
      <c r="Y26" s="496">
        <f t="shared" ca="1" si="19"/>
        <v>19.850999999999999</v>
      </c>
      <c r="Z26" s="496">
        <f t="shared" ca="1" si="19"/>
        <v>20.061</v>
      </c>
      <c r="AA26" s="496">
        <f t="shared" ca="1" si="19"/>
        <v>20.271000000000001</v>
      </c>
      <c r="AB26" s="496">
        <f t="shared" ca="1" si="19"/>
        <v>20.481999999999999</v>
      </c>
      <c r="AC26" s="496">
        <f t="shared" ca="1" si="19"/>
        <v>21.213999999999999</v>
      </c>
      <c r="AD26" s="496">
        <f t="shared" ca="1" si="19"/>
        <v>21.515999999999998</v>
      </c>
      <c r="AE26" s="496">
        <f t="shared" ca="1" si="19"/>
        <v>21.815000000000001</v>
      </c>
      <c r="AF26" s="496">
        <f t="shared" ca="1" si="19"/>
        <v>22.114999999999998</v>
      </c>
      <c r="AG26" s="496">
        <f t="shared" ca="1" si="19"/>
        <v>22.414999999999999</v>
      </c>
      <c r="AH26" s="496">
        <f t="shared" ca="1" si="19"/>
        <v>0</v>
      </c>
      <c r="AI26" s="496"/>
      <c r="AJ26" s="486"/>
      <c r="AK26" s="486"/>
      <c r="AL26" s="486"/>
      <c r="AM26" s="486"/>
      <c r="AN26" s="486"/>
      <c r="AO26" s="486"/>
      <c r="AP26" s="486"/>
      <c r="AQ26" s="486"/>
      <c r="AR26" s="231"/>
    </row>
    <row r="27" spans="1:44" customFormat="1" ht="11.25">
      <c r="A27" s="497">
        <f t="shared" ca="1" si="13"/>
        <v>37257</v>
      </c>
      <c r="B27" s="511">
        <v>1.9650000000000001</v>
      </c>
      <c r="C27" s="511">
        <v>1.97</v>
      </c>
      <c r="D27" s="497">
        <f t="shared" ca="1" si="14"/>
        <v>37257</v>
      </c>
      <c r="E27" s="511">
        <v>18.312000000000001</v>
      </c>
      <c r="F27" s="511">
        <v>18.356999999999999</v>
      </c>
      <c r="G27" s="318"/>
      <c r="H27" s="490">
        <f t="shared" ca="1" si="0"/>
        <v>37257</v>
      </c>
      <c r="I27" s="491">
        <f t="shared" si="1"/>
        <v>1.97</v>
      </c>
      <c r="J27" s="492">
        <f t="shared" ca="1" si="2"/>
        <v>37257</v>
      </c>
      <c r="K27" s="491">
        <f t="shared" si="3"/>
        <v>18.356999999999999</v>
      </c>
      <c r="L27" s="486"/>
      <c r="M27" s="486">
        <v>3</v>
      </c>
      <c r="N27" s="496">
        <f t="shared" ca="1" si="17"/>
        <v>0</v>
      </c>
      <c r="O27" s="496">
        <f t="shared" ca="1" si="18"/>
        <v>19.437000000000001</v>
      </c>
      <c r="P27" s="496">
        <f t="shared" ca="1" si="18"/>
        <v>18.335999999999999</v>
      </c>
      <c r="Q27" s="496">
        <f t="shared" ca="1" si="18"/>
        <v>18.376999999999999</v>
      </c>
      <c r="R27" s="496">
        <f t="shared" ca="1" si="18"/>
        <v>18.532</v>
      </c>
      <c r="S27" s="496">
        <f t="shared" ca="1" si="18"/>
        <v>18.681999999999999</v>
      </c>
      <c r="T27" s="496">
        <f t="shared" ca="1" si="18"/>
        <v>18.850999999999999</v>
      </c>
      <c r="U27" s="496">
        <f t="shared" ca="1" si="18"/>
        <v>19.041</v>
      </c>
      <c r="V27" s="496">
        <f t="shared" ca="1" si="18"/>
        <v>19.239999999999998</v>
      </c>
      <c r="W27" s="496">
        <f t="shared" ca="1" si="18"/>
        <v>19.449000000000002</v>
      </c>
      <c r="X27" s="496">
        <f t="shared" ca="1" si="18"/>
        <v>19.658999999999999</v>
      </c>
      <c r="Y27" s="496">
        <f t="shared" ca="1" si="19"/>
        <v>19.869</v>
      </c>
      <c r="Z27" s="496">
        <f t="shared" ca="1" si="19"/>
        <v>20.079999999999998</v>
      </c>
      <c r="AA27" s="496">
        <f t="shared" ca="1" si="19"/>
        <v>20.29</v>
      </c>
      <c r="AB27" s="496">
        <f t="shared" ca="1" si="19"/>
        <v>20.498999999999999</v>
      </c>
      <c r="AC27" s="496">
        <f t="shared" ca="1" si="19"/>
        <v>21.24</v>
      </c>
      <c r="AD27" s="496">
        <f t="shared" ca="1" si="19"/>
        <v>21.54</v>
      </c>
      <c r="AE27" s="496">
        <f t="shared" ca="1" si="19"/>
        <v>21.84</v>
      </c>
      <c r="AF27" s="496">
        <f t="shared" ca="1" si="19"/>
        <v>22.138000000000002</v>
      </c>
      <c r="AG27" s="496">
        <f t="shared" ca="1" si="19"/>
        <v>22.439</v>
      </c>
      <c r="AH27" s="496">
        <f t="shared" ca="1" si="19"/>
        <v>0</v>
      </c>
      <c r="AI27" s="496"/>
      <c r="AJ27" s="486"/>
      <c r="AK27" s="486"/>
      <c r="AL27" s="486"/>
      <c r="AM27" s="486"/>
      <c r="AN27" s="486"/>
      <c r="AO27" s="486"/>
      <c r="AP27" s="486"/>
      <c r="AQ27" s="486"/>
      <c r="AR27" s="231"/>
    </row>
    <row r="28" spans="1:44" customFormat="1" ht="11.25">
      <c r="A28" s="493">
        <f t="shared" ca="1" si="13"/>
        <v>37288</v>
      </c>
      <c r="B28" s="511">
        <v>1.9650000000000001</v>
      </c>
      <c r="C28" s="511">
        <v>1.97</v>
      </c>
      <c r="D28" s="493">
        <f t="shared" ca="1" si="14"/>
        <v>37288</v>
      </c>
      <c r="E28" s="511">
        <v>18.302</v>
      </c>
      <c r="F28" s="511">
        <v>18.347000000000001</v>
      </c>
      <c r="G28" s="318"/>
      <c r="H28" s="490">
        <f t="shared" ca="1" si="0"/>
        <v>37288</v>
      </c>
      <c r="I28" s="491">
        <f t="shared" si="1"/>
        <v>1.97</v>
      </c>
      <c r="J28" s="492">
        <f t="shared" ca="1" si="2"/>
        <v>37288</v>
      </c>
      <c r="K28" s="491">
        <f t="shared" si="3"/>
        <v>18.347000000000001</v>
      </c>
      <c r="L28" s="486"/>
      <c r="M28" s="486">
        <v>4</v>
      </c>
      <c r="N28" s="496">
        <f t="shared" ca="1" si="17"/>
        <v>23.387</v>
      </c>
      <c r="O28" s="496">
        <f t="shared" ca="1" si="18"/>
        <v>19.251999999999999</v>
      </c>
      <c r="P28" s="496">
        <f t="shared" ca="1" si="18"/>
        <v>18.329999999999998</v>
      </c>
      <c r="Q28" s="496">
        <f t="shared" ca="1" si="18"/>
        <v>18.384</v>
      </c>
      <c r="R28" s="496">
        <f t="shared" ca="1" si="18"/>
        <v>18.545000000000002</v>
      </c>
      <c r="S28" s="496">
        <f t="shared" ca="1" si="18"/>
        <v>18.696000000000002</v>
      </c>
      <c r="T28" s="496">
        <f t="shared" ca="1" si="18"/>
        <v>18.866</v>
      </c>
      <c r="U28" s="496">
        <f t="shared" ca="1" si="18"/>
        <v>19.056000000000001</v>
      </c>
      <c r="V28" s="496">
        <f t="shared" ca="1" si="18"/>
        <v>19.256</v>
      </c>
      <c r="W28" s="496">
        <f t="shared" ca="1" si="18"/>
        <v>19.466000000000001</v>
      </c>
      <c r="X28" s="496">
        <f t="shared" ca="1" si="18"/>
        <v>19.677</v>
      </c>
      <c r="Y28" s="496">
        <f t="shared" ca="1" si="19"/>
        <v>19.887</v>
      </c>
      <c r="Z28" s="496">
        <f t="shared" ca="1" si="19"/>
        <v>20.097000000000001</v>
      </c>
      <c r="AA28" s="496">
        <f t="shared" ca="1" si="19"/>
        <v>20.306999999999999</v>
      </c>
      <c r="AB28" s="496">
        <f t="shared" ca="1" si="19"/>
        <v>20.516999999999999</v>
      </c>
      <c r="AC28" s="496">
        <f t="shared" ca="1" si="19"/>
        <v>21.265000000000001</v>
      </c>
      <c r="AD28" s="496">
        <f t="shared" ca="1" si="19"/>
        <v>21.564</v>
      </c>
      <c r="AE28" s="496">
        <f t="shared" ca="1" si="19"/>
        <v>21.864999999999998</v>
      </c>
      <c r="AF28" s="496">
        <f t="shared" ca="1" si="19"/>
        <v>22.166</v>
      </c>
      <c r="AG28" s="496">
        <f t="shared" ca="1" si="19"/>
        <v>22.465</v>
      </c>
      <c r="AH28" s="496">
        <f t="shared" ca="1" si="19"/>
        <v>0</v>
      </c>
      <c r="AI28" s="496"/>
      <c r="AJ28" s="486"/>
      <c r="AK28" s="486"/>
      <c r="AL28" s="486"/>
      <c r="AM28" s="486"/>
      <c r="AN28" s="486"/>
      <c r="AO28" s="486"/>
      <c r="AP28" s="486"/>
      <c r="AQ28" s="486"/>
      <c r="AR28" s="231"/>
    </row>
    <row r="29" spans="1:44" customFormat="1" ht="11.25">
      <c r="A29" s="493">
        <f t="shared" ca="1" si="13"/>
        <v>37316</v>
      </c>
      <c r="B29" s="511">
        <v>1.9650000000000001</v>
      </c>
      <c r="C29" s="511">
        <v>1.97</v>
      </c>
      <c r="D29" s="493">
        <f t="shared" ca="1" si="14"/>
        <v>37316</v>
      </c>
      <c r="E29" s="511">
        <v>18.291</v>
      </c>
      <c r="F29" s="511">
        <v>18.335999999999999</v>
      </c>
      <c r="G29" s="318"/>
      <c r="H29" s="490">
        <f t="shared" ca="1" si="0"/>
        <v>37316</v>
      </c>
      <c r="I29" s="491">
        <f t="shared" si="1"/>
        <v>1.97</v>
      </c>
      <c r="J29" s="492">
        <f t="shared" ca="1" si="2"/>
        <v>37316</v>
      </c>
      <c r="K29" s="491">
        <f t="shared" si="3"/>
        <v>18.335999999999999</v>
      </c>
      <c r="L29" s="486"/>
      <c r="M29" s="486">
        <v>5</v>
      </c>
      <c r="N29" s="496">
        <f t="shared" ca="1" si="17"/>
        <v>22.782</v>
      </c>
      <c r="O29" s="496">
        <f t="shared" ca="1" si="18"/>
        <v>19.094999999999999</v>
      </c>
      <c r="P29" s="496">
        <f t="shared" ca="1" si="18"/>
        <v>18.329999999999998</v>
      </c>
      <c r="Q29" s="496">
        <f t="shared" ca="1" si="18"/>
        <v>18.399000000000001</v>
      </c>
      <c r="R29" s="496">
        <f t="shared" ca="1" si="18"/>
        <v>18.558</v>
      </c>
      <c r="S29" s="496">
        <f t="shared" ca="1" si="18"/>
        <v>18.71</v>
      </c>
      <c r="T29" s="496">
        <f t="shared" ca="1" si="18"/>
        <v>18.882000000000001</v>
      </c>
      <c r="U29" s="496">
        <f t="shared" ca="1" si="18"/>
        <v>19.071999999999999</v>
      </c>
      <c r="V29" s="496">
        <f t="shared" ca="1" si="18"/>
        <v>19.274999999999999</v>
      </c>
      <c r="W29" s="496">
        <f t="shared" ca="1" si="18"/>
        <v>19.484999999999999</v>
      </c>
      <c r="X29" s="496">
        <f t="shared" ca="1" si="18"/>
        <v>19.693999999999999</v>
      </c>
      <c r="Y29" s="496">
        <f t="shared" ca="1" si="19"/>
        <v>19.904</v>
      </c>
      <c r="Z29" s="496">
        <f t="shared" ca="1" si="19"/>
        <v>20.114000000000001</v>
      </c>
      <c r="AA29" s="496">
        <f t="shared" ca="1" si="19"/>
        <v>20.324000000000002</v>
      </c>
      <c r="AB29" s="496">
        <f t="shared" ca="1" si="19"/>
        <v>20.541</v>
      </c>
      <c r="AC29" s="496">
        <f t="shared" ca="1" si="19"/>
        <v>21.289000000000001</v>
      </c>
      <c r="AD29" s="496">
        <f t="shared" ca="1" si="19"/>
        <v>21.591000000000001</v>
      </c>
      <c r="AE29" s="496">
        <f t="shared" ca="1" si="19"/>
        <v>21.890999999999998</v>
      </c>
      <c r="AF29" s="496">
        <f t="shared" ca="1" si="19"/>
        <v>22.189</v>
      </c>
      <c r="AG29" s="496">
        <f t="shared" ca="1" si="19"/>
        <v>22.488</v>
      </c>
      <c r="AH29" s="496">
        <f t="shared" ca="1" si="19"/>
        <v>0</v>
      </c>
      <c r="AI29" s="496"/>
      <c r="AJ29" s="486"/>
      <c r="AK29" s="486"/>
      <c r="AL29" s="486"/>
      <c r="AM29" s="486"/>
      <c r="AN29" s="486"/>
      <c r="AO29" s="486"/>
      <c r="AP29" s="486"/>
      <c r="AQ29" s="486"/>
      <c r="AR29" s="231"/>
    </row>
    <row r="30" spans="1:44" customFormat="1" ht="11.25">
      <c r="A30" s="493">
        <f t="shared" ca="1" si="13"/>
        <v>37347</v>
      </c>
      <c r="B30" s="511">
        <v>2.0390000000000001</v>
      </c>
      <c r="C30" s="511">
        <v>2.044</v>
      </c>
      <c r="D30" s="493">
        <f t="shared" ca="1" si="14"/>
        <v>37347</v>
      </c>
      <c r="E30" s="511">
        <v>18.285</v>
      </c>
      <c r="F30" s="511">
        <v>18.329999999999998</v>
      </c>
      <c r="G30" s="318"/>
      <c r="H30" s="490">
        <f t="shared" ca="1" si="0"/>
        <v>37347</v>
      </c>
      <c r="I30" s="491">
        <f t="shared" si="1"/>
        <v>2.044</v>
      </c>
      <c r="J30" s="492">
        <f t="shared" ca="1" si="2"/>
        <v>37347</v>
      </c>
      <c r="K30" s="491">
        <f t="shared" si="3"/>
        <v>18.329999999999998</v>
      </c>
      <c r="L30" s="486"/>
      <c r="M30" s="486">
        <v>6</v>
      </c>
      <c r="N30" s="496">
        <f t="shared" ca="1" si="17"/>
        <v>22.225999999999999</v>
      </c>
      <c r="O30" s="496">
        <f t="shared" ca="1" si="18"/>
        <v>18.966000000000001</v>
      </c>
      <c r="P30" s="496">
        <f t="shared" ca="1" si="18"/>
        <v>18.329999999999998</v>
      </c>
      <c r="Q30" s="496">
        <f t="shared" ca="1" si="18"/>
        <v>18.411999999999999</v>
      </c>
      <c r="R30" s="496">
        <f t="shared" ca="1" si="18"/>
        <v>18.57</v>
      </c>
      <c r="S30" s="496">
        <f t="shared" ca="1" si="18"/>
        <v>18.724</v>
      </c>
      <c r="T30" s="496">
        <f t="shared" ca="1" si="18"/>
        <v>18.899000000000001</v>
      </c>
      <c r="U30" s="496">
        <f t="shared" ca="1" si="18"/>
        <v>19.09</v>
      </c>
      <c r="V30" s="496">
        <f t="shared" ca="1" si="18"/>
        <v>19.292000000000002</v>
      </c>
      <c r="W30" s="496">
        <f t="shared" ca="1" si="18"/>
        <v>19.501999999999999</v>
      </c>
      <c r="X30" s="496">
        <f t="shared" ca="1" si="18"/>
        <v>19.712</v>
      </c>
      <c r="Y30" s="496">
        <f t="shared" ca="1" si="19"/>
        <v>19.922000000000001</v>
      </c>
      <c r="Z30" s="496">
        <f t="shared" ca="1" si="19"/>
        <v>20.132999999999999</v>
      </c>
      <c r="AA30" s="496">
        <f t="shared" ca="1" si="19"/>
        <v>20.341999999999999</v>
      </c>
      <c r="AB30" s="496">
        <f t="shared" ca="1" si="19"/>
        <v>21.015999999999998</v>
      </c>
      <c r="AC30" s="496">
        <f t="shared" ca="1" si="19"/>
        <v>21.315000000000001</v>
      </c>
      <c r="AD30" s="496">
        <f t="shared" ca="1" si="19"/>
        <v>21.616</v>
      </c>
      <c r="AE30" s="496">
        <f t="shared" ca="1" si="19"/>
        <v>21.914000000000001</v>
      </c>
      <c r="AF30" s="496">
        <f t="shared" ca="1" si="19"/>
        <v>22.213999999999999</v>
      </c>
      <c r="AG30" s="496">
        <f t="shared" ca="1" si="19"/>
        <v>22.515000000000001</v>
      </c>
      <c r="AH30" s="496">
        <f t="shared" ca="1" si="19"/>
        <v>0</v>
      </c>
      <c r="AI30" s="496"/>
      <c r="AJ30" s="486"/>
      <c r="AK30" s="486"/>
      <c r="AL30" s="486"/>
      <c r="AM30" s="486"/>
      <c r="AN30" s="486"/>
      <c r="AO30" s="486"/>
      <c r="AP30" s="486"/>
      <c r="AQ30" s="486"/>
      <c r="AR30" s="231"/>
    </row>
    <row r="31" spans="1:44" customFormat="1" ht="11.25">
      <c r="A31" s="493">
        <f t="shared" ca="1" si="13"/>
        <v>37377</v>
      </c>
      <c r="B31" s="511">
        <v>2.157</v>
      </c>
      <c r="C31" s="511">
        <v>2.1619999999999999</v>
      </c>
      <c r="D31" s="493">
        <f t="shared" ca="1" si="14"/>
        <v>37377</v>
      </c>
      <c r="E31" s="511">
        <v>18.279</v>
      </c>
      <c r="F31" s="511">
        <v>18.329999999999998</v>
      </c>
      <c r="G31" s="318"/>
      <c r="H31" s="490">
        <f t="shared" ca="1" si="0"/>
        <v>37377</v>
      </c>
      <c r="I31" s="491">
        <f t="shared" si="1"/>
        <v>2.1619999999999999</v>
      </c>
      <c r="J31" s="492">
        <f t="shared" ca="1" si="2"/>
        <v>37377</v>
      </c>
      <c r="K31" s="491">
        <f t="shared" si="3"/>
        <v>18.329999999999998</v>
      </c>
      <c r="L31" s="486"/>
      <c r="M31" s="486">
        <v>7</v>
      </c>
      <c r="N31" s="496">
        <f t="shared" ca="1" si="17"/>
        <v>21.777000000000001</v>
      </c>
      <c r="O31" s="496">
        <f t="shared" ca="1" si="18"/>
        <v>18.86</v>
      </c>
      <c r="P31" s="496">
        <f t="shared" ca="1" si="18"/>
        <v>18.332000000000001</v>
      </c>
      <c r="Q31" s="496">
        <f t="shared" ca="1" si="18"/>
        <v>18.423999999999999</v>
      </c>
      <c r="R31" s="496">
        <f t="shared" ca="1" si="18"/>
        <v>18.582000000000001</v>
      </c>
      <c r="S31" s="496">
        <f t="shared" ca="1" si="18"/>
        <v>18.738</v>
      </c>
      <c r="T31" s="496">
        <f t="shared" ca="1" si="18"/>
        <v>18.914000000000001</v>
      </c>
      <c r="U31" s="496">
        <f t="shared" ca="1" si="18"/>
        <v>19.106000000000002</v>
      </c>
      <c r="V31" s="496">
        <f t="shared" ca="1" si="18"/>
        <v>19.309000000000001</v>
      </c>
      <c r="W31" s="496">
        <f t="shared" ca="1" si="18"/>
        <v>19.518999999999998</v>
      </c>
      <c r="X31" s="496">
        <f t="shared" ca="1" si="18"/>
        <v>19.728999999999999</v>
      </c>
      <c r="Y31" s="496">
        <f t="shared" ca="1" si="19"/>
        <v>19.940000000000001</v>
      </c>
      <c r="Z31" s="496">
        <f t="shared" ca="1" si="19"/>
        <v>20.149000000000001</v>
      </c>
      <c r="AA31" s="496">
        <f t="shared" ca="1" si="19"/>
        <v>20.358000000000001</v>
      </c>
      <c r="AB31" s="496">
        <f t="shared" ca="1" si="19"/>
        <v>21.041</v>
      </c>
      <c r="AC31" s="496">
        <f t="shared" ca="1" si="19"/>
        <v>21.338999999999999</v>
      </c>
      <c r="AD31" s="496">
        <f t="shared" ca="1" si="19"/>
        <v>21.64</v>
      </c>
      <c r="AE31" s="496">
        <f t="shared" ca="1" si="19"/>
        <v>21.940999999999999</v>
      </c>
      <c r="AF31" s="496">
        <f t="shared" ca="1" si="19"/>
        <v>22.241</v>
      </c>
      <c r="AG31" s="496">
        <f t="shared" ca="1" si="19"/>
        <v>0</v>
      </c>
      <c r="AH31" s="496">
        <f t="shared" ca="1" si="19"/>
        <v>0</v>
      </c>
      <c r="AI31" s="496"/>
      <c r="AJ31" s="486"/>
      <c r="AK31" s="486"/>
      <c r="AL31" s="486"/>
      <c r="AM31" s="486"/>
      <c r="AN31" s="486"/>
      <c r="AO31" s="486"/>
      <c r="AP31" s="486"/>
      <c r="AQ31" s="486"/>
      <c r="AR31" s="231"/>
    </row>
    <row r="32" spans="1:44" customFormat="1" ht="11.25">
      <c r="A32" s="493">
        <f t="shared" ca="1" si="13"/>
        <v>37408</v>
      </c>
      <c r="B32" s="511">
        <v>2.1579999999999999</v>
      </c>
      <c r="C32" s="511">
        <v>2.1629999999999998</v>
      </c>
      <c r="D32" s="493">
        <f t="shared" ca="1" si="14"/>
        <v>37408</v>
      </c>
      <c r="E32" s="511">
        <v>18.27</v>
      </c>
      <c r="F32" s="511">
        <v>18.329999999999998</v>
      </c>
      <c r="G32" s="318"/>
      <c r="H32" s="490">
        <f t="shared" ca="1" si="0"/>
        <v>37408</v>
      </c>
      <c r="I32" s="491">
        <f t="shared" si="1"/>
        <v>2.1629999999999998</v>
      </c>
      <c r="J32" s="492">
        <f t="shared" ca="1" si="2"/>
        <v>37408</v>
      </c>
      <c r="K32" s="491">
        <f t="shared" si="3"/>
        <v>18.329999999999998</v>
      </c>
      <c r="L32" s="486"/>
      <c r="M32" s="486">
        <v>8</v>
      </c>
      <c r="N32" s="496">
        <f t="shared" ca="1" si="17"/>
        <v>21.356999999999999</v>
      </c>
      <c r="O32" s="496">
        <f t="shared" ca="1" si="18"/>
        <v>18.731999999999999</v>
      </c>
      <c r="P32" s="496">
        <f t="shared" ca="1" si="18"/>
        <v>18.338999999999999</v>
      </c>
      <c r="Q32" s="496">
        <f t="shared" ca="1" si="18"/>
        <v>18.439</v>
      </c>
      <c r="R32" s="496">
        <f t="shared" ca="1" si="18"/>
        <v>18.594999999999999</v>
      </c>
      <c r="S32" s="496">
        <f t="shared" ca="1" si="18"/>
        <v>18.751000000000001</v>
      </c>
      <c r="T32" s="496">
        <f t="shared" ca="1" si="18"/>
        <v>18.928999999999998</v>
      </c>
      <c r="U32" s="496">
        <f t="shared" ca="1" si="18"/>
        <v>19.122</v>
      </c>
      <c r="V32" s="496">
        <f t="shared" ca="1" si="18"/>
        <v>19.327000000000002</v>
      </c>
      <c r="W32" s="496">
        <f t="shared" ca="1" si="18"/>
        <v>19.536999999999999</v>
      </c>
      <c r="X32" s="496">
        <f t="shared" ca="1" si="18"/>
        <v>19.745999999999999</v>
      </c>
      <c r="Y32" s="496">
        <f t="shared" ca="1" si="19"/>
        <v>19.956</v>
      </c>
      <c r="Z32" s="496">
        <f t="shared" ca="1" si="19"/>
        <v>20.166</v>
      </c>
      <c r="AA32" s="496">
        <f t="shared" ca="1" si="19"/>
        <v>20.376000000000001</v>
      </c>
      <c r="AB32" s="496">
        <f t="shared" ca="1" si="19"/>
        <v>21.062000000000001</v>
      </c>
      <c r="AC32" s="496">
        <f t="shared" ca="1" si="19"/>
        <v>21.364999999999998</v>
      </c>
      <c r="AD32" s="496">
        <f t="shared" ca="1" si="19"/>
        <v>21.666</v>
      </c>
      <c r="AE32" s="496">
        <f t="shared" ca="1" si="19"/>
        <v>21.965</v>
      </c>
      <c r="AF32" s="496">
        <f t="shared" ca="1" si="19"/>
        <v>22.263999999999999</v>
      </c>
      <c r="AG32" s="496">
        <f t="shared" ca="1" si="19"/>
        <v>0</v>
      </c>
      <c r="AH32" s="496">
        <f t="shared" ca="1" si="19"/>
        <v>0</v>
      </c>
      <c r="AI32" s="496"/>
      <c r="AJ32" s="486"/>
      <c r="AK32" s="486"/>
      <c r="AL32" s="486"/>
      <c r="AM32" s="486"/>
      <c r="AN32" s="486"/>
      <c r="AO32" s="486"/>
      <c r="AP32" s="486"/>
      <c r="AQ32" s="486"/>
      <c r="AR32" s="231"/>
    </row>
    <row r="33" spans="1:44" customFormat="1" ht="11.25">
      <c r="A33" s="493">
        <f t="shared" ca="1" si="13"/>
        <v>37438</v>
      </c>
      <c r="B33" s="511">
        <v>2.073</v>
      </c>
      <c r="C33" s="511">
        <v>2.0779999999999998</v>
      </c>
      <c r="D33" s="493">
        <f t="shared" ca="1" si="14"/>
        <v>37438</v>
      </c>
      <c r="E33" s="511">
        <v>18.271999999999998</v>
      </c>
      <c r="F33" s="511">
        <v>18.332000000000001</v>
      </c>
      <c r="G33" s="318"/>
      <c r="H33" s="490">
        <f t="shared" ca="1" si="0"/>
        <v>37438</v>
      </c>
      <c r="I33" s="491">
        <f t="shared" si="1"/>
        <v>2.0779999999999998</v>
      </c>
      <c r="J33" s="492">
        <f t="shared" ca="1" si="2"/>
        <v>37438</v>
      </c>
      <c r="K33" s="491">
        <f t="shared" si="3"/>
        <v>18.332000000000001</v>
      </c>
      <c r="L33" s="486"/>
      <c r="M33" s="486">
        <v>9</v>
      </c>
      <c r="N33" s="496">
        <f t="shared" ca="1" si="17"/>
        <v>20.989000000000001</v>
      </c>
      <c r="O33" s="496">
        <f t="shared" ca="1" si="18"/>
        <v>18.61</v>
      </c>
      <c r="P33" s="496">
        <f t="shared" ca="1" si="18"/>
        <v>18.346</v>
      </c>
      <c r="Q33" s="496">
        <f t="shared" ca="1" si="18"/>
        <v>18.451000000000001</v>
      </c>
      <c r="R33" s="496">
        <f t="shared" ca="1" si="18"/>
        <v>18.606999999999999</v>
      </c>
      <c r="S33" s="496">
        <f t="shared" ca="1" si="18"/>
        <v>18.765000000000001</v>
      </c>
      <c r="T33" s="496">
        <f t="shared" ca="1" si="18"/>
        <v>18.945</v>
      </c>
      <c r="U33" s="496">
        <f t="shared" ca="1" si="18"/>
        <v>19.14</v>
      </c>
      <c r="V33" s="496">
        <f t="shared" ca="1" si="18"/>
        <v>19.344000000000001</v>
      </c>
      <c r="W33" s="496">
        <f t="shared" ca="1" si="18"/>
        <v>19.553999999999998</v>
      </c>
      <c r="X33" s="496">
        <f t="shared" ca="1" si="18"/>
        <v>19.762</v>
      </c>
      <c r="Y33" s="496">
        <f t="shared" ca="1" si="19"/>
        <v>19.974</v>
      </c>
      <c r="Z33" s="496">
        <f t="shared" ca="1" si="19"/>
        <v>20.184999999999999</v>
      </c>
      <c r="AA33" s="496">
        <f t="shared" ca="1" si="19"/>
        <v>20.395</v>
      </c>
      <c r="AB33" s="496">
        <f t="shared" ca="1" si="19"/>
        <v>21.09</v>
      </c>
      <c r="AC33" s="496">
        <f t="shared" ca="1" si="19"/>
        <v>21.388999999999999</v>
      </c>
      <c r="AD33" s="496">
        <f t="shared" ca="1" si="19"/>
        <v>21.687999999999999</v>
      </c>
      <c r="AE33" s="496">
        <f t="shared" ca="1" si="19"/>
        <v>21.988</v>
      </c>
      <c r="AF33" s="496">
        <f t="shared" ca="1" si="19"/>
        <v>22.288</v>
      </c>
      <c r="AG33" s="496">
        <f t="shared" ca="1" si="19"/>
        <v>0</v>
      </c>
      <c r="AH33" s="496">
        <f t="shared" ca="1" si="19"/>
        <v>0</v>
      </c>
      <c r="AI33" s="496"/>
      <c r="AJ33" s="486"/>
      <c r="AK33" s="486"/>
      <c r="AL33" s="486"/>
      <c r="AM33" s="486"/>
      <c r="AN33" s="486"/>
      <c r="AO33" s="486"/>
      <c r="AP33" s="486"/>
      <c r="AQ33" s="486"/>
      <c r="AR33" s="231"/>
    </row>
    <row r="34" spans="1:44" customFormat="1" ht="11.25">
      <c r="A34" s="497">
        <f t="shared" ca="1" si="13"/>
        <v>37469</v>
      </c>
      <c r="B34" s="511">
        <v>2.0070000000000001</v>
      </c>
      <c r="C34" s="511">
        <v>2.012</v>
      </c>
      <c r="D34" s="497">
        <f t="shared" ca="1" si="14"/>
        <v>37469</v>
      </c>
      <c r="E34" s="511">
        <v>18.279</v>
      </c>
      <c r="F34" s="511">
        <v>18.338999999999999</v>
      </c>
      <c r="G34" s="318"/>
      <c r="H34" s="490">
        <f t="shared" ca="1" si="0"/>
        <v>37469</v>
      </c>
      <c r="I34" s="491">
        <f t="shared" si="1"/>
        <v>2.012</v>
      </c>
      <c r="J34" s="492">
        <f t="shared" ca="1" si="2"/>
        <v>37469</v>
      </c>
      <c r="K34" s="491">
        <f t="shared" si="3"/>
        <v>18.338999999999999</v>
      </c>
      <c r="L34" s="486"/>
      <c r="M34" s="486">
        <v>10</v>
      </c>
      <c r="N34" s="496">
        <f t="shared" ca="1" si="17"/>
        <v>20.622</v>
      </c>
      <c r="O34" s="496">
        <f t="shared" ca="1" si="18"/>
        <v>18.513000000000002</v>
      </c>
      <c r="P34" s="496">
        <f t="shared" ca="1" si="18"/>
        <v>18.352</v>
      </c>
      <c r="Q34" s="496">
        <f t="shared" ca="1" si="18"/>
        <v>18.465</v>
      </c>
      <c r="R34" s="496">
        <f t="shared" ca="1" si="18"/>
        <v>18.62</v>
      </c>
      <c r="S34" s="496">
        <f t="shared" ca="1" si="18"/>
        <v>18.780999999999999</v>
      </c>
      <c r="T34" s="496">
        <f t="shared" ca="1" si="18"/>
        <v>18.960999999999999</v>
      </c>
      <c r="U34" s="496">
        <f t="shared" ca="1" si="18"/>
        <v>19.155999999999999</v>
      </c>
      <c r="V34" s="496">
        <f t="shared" ca="1" si="18"/>
        <v>19.361000000000001</v>
      </c>
      <c r="W34" s="496">
        <f t="shared" ca="1" si="18"/>
        <v>19.571000000000002</v>
      </c>
      <c r="X34" s="496">
        <f t="shared" ca="1" si="18"/>
        <v>19.782</v>
      </c>
      <c r="Y34" s="496">
        <f t="shared" ca="1" si="19"/>
        <v>19.992000000000001</v>
      </c>
      <c r="Z34" s="496">
        <f t="shared" ca="1" si="19"/>
        <v>20.201000000000001</v>
      </c>
      <c r="AA34" s="496">
        <f t="shared" ca="1" si="19"/>
        <v>20.411000000000001</v>
      </c>
      <c r="AB34" s="496">
        <f t="shared" ca="1" si="19"/>
        <v>21.113</v>
      </c>
      <c r="AC34" s="496">
        <f t="shared" ca="1" si="19"/>
        <v>21.413</v>
      </c>
      <c r="AD34" s="496">
        <f t="shared" ca="1" si="19"/>
        <v>21.713000000000001</v>
      </c>
      <c r="AE34" s="496">
        <f t="shared" ca="1" si="19"/>
        <v>22.013999999999999</v>
      </c>
      <c r="AF34" s="496">
        <f t="shared" ca="1" si="19"/>
        <v>22.314</v>
      </c>
      <c r="AG34" s="496">
        <f t="shared" ca="1" si="19"/>
        <v>0</v>
      </c>
      <c r="AH34" s="496">
        <f t="shared" ca="1" si="19"/>
        <v>0</v>
      </c>
      <c r="AI34" s="496"/>
      <c r="AJ34" s="486"/>
      <c r="AK34" s="486"/>
      <c r="AL34" s="486"/>
      <c r="AM34" s="486"/>
      <c r="AN34" s="486"/>
      <c r="AO34" s="486"/>
      <c r="AP34" s="486"/>
      <c r="AQ34" s="486"/>
      <c r="AR34" s="231"/>
    </row>
    <row r="35" spans="1:44" customFormat="1" ht="11.25">
      <c r="A35" s="497">
        <f t="shared" ca="1" si="13"/>
        <v>37500</v>
      </c>
      <c r="B35" s="511">
        <v>1.9580000000000002</v>
      </c>
      <c r="C35" s="511">
        <v>1.9630000000000001</v>
      </c>
      <c r="D35" s="497">
        <f t="shared" ca="1" si="14"/>
        <v>37500</v>
      </c>
      <c r="E35" s="511">
        <v>18.286000000000001</v>
      </c>
      <c r="F35" s="511">
        <v>18.346</v>
      </c>
      <c r="G35" s="318"/>
      <c r="H35" s="490">
        <f t="shared" ca="1" si="0"/>
        <v>37500</v>
      </c>
      <c r="I35" s="491">
        <f t="shared" si="1"/>
        <v>1.9630000000000001</v>
      </c>
      <c r="J35" s="492">
        <f t="shared" ca="1" si="2"/>
        <v>37500</v>
      </c>
      <c r="K35" s="491">
        <f t="shared" si="3"/>
        <v>18.346</v>
      </c>
      <c r="L35" s="486"/>
      <c r="M35" s="486">
        <v>11</v>
      </c>
      <c r="N35" s="496">
        <f t="shared" ca="1" si="17"/>
        <v>20.379000000000001</v>
      </c>
      <c r="O35" s="496">
        <f t="shared" ca="1" si="18"/>
        <v>18.443999999999999</v>
      </c>
      <c r="P35" s="496">
        <f t="shared" ca="1" si="18"/>
        <v>18.356999999999999</v>
      </c>
      <c r="Q35" s="496">
        <f t="shared" ca="1" si="18"/>
        <v>18.478999999999999</v>
      </c>
      <c r="R35" s="496">
        <f t="shared" ca="1" si="18"/>
        <v>18.632000000000001</v>
      </c>
      <c r="S35" s="496">
        <f t="shared" ca="1" si="18"/>
        <v>18.794</v>
      </c>
      <c r="T35" s="496">
        <f t="shared" ca="1" si="18"/>
        <v>18.975000000000001</v>
      </c>
      <c r="U35" s="496">
        <f t="shared" ca="1" si="18"/>
        <v>19.172999999999998</v>
      </c>
      <c r="V35" s="496">
        <f t="shared" ca="1" si="18"/>
        <v>19.38</v>
      </c>
      <c r="W35" s="496">
        <f t="shared" ca="1" si="18"/>
        <v>19.59</v>
      </c>
      <c r="X35" s="496">
        <f t="shared" ca="1" si="18"/>
        <v>19.797999999999998</v>
      </c>
      <c r="Y35" s="496">
        <f t="shared" ca="1" si="19"/>
        <v>20.007999999999999</v>
      </c>
      <c r="Z35" s="496">
        <f t="shared" ca="1" si="19"/>
        <v>20.218</v>
      </c>
      <c r="AA35" s="496">
        <f t="shared" ca="1" si="19"/>
        <v>20.428999999999998</v>
      </c>
      <c r="AB35" s="496">
        <f t="shared" ca="1" si="19"/>
        <v>21.138000000000002</v>
      </c>
      <c r="AC35" s="496">
        <f t="shared" ca="1" si="19"/>
        <v>21.44</v>
      </c>
      <c r="AD35" s="496">
        <f t="shared" ca="1" si="19"/>
        <v>21.74</v>
      </c>
      <c r="AE35" s="496">
        <f t="shared" ca="1" si="19"/>
        <v>22.039000000000001</v>
      </c>
      <c r="AF35" s="496">
        <f t="shared" ca="1" si="19"/>
        <v>22.338000000000001</v>
      </c>
      <c r="AG35" s="496">
        <f t="shared" ca="1" si="19"/>
        <v>0</v>
      </c>
      <c r="AH35" s="496">
        <f t="shared" ca="1" si="19"/>
        <v>0</v>
      </c>
      <c r="AI35" s="496"/>
      <c r="AJ35" s="486"/>
      <c r="AK35" s="486"/>
      <c r="AL35" s="486"/>
      <c r="AM35" s="486"/>
      <c r="AN35" s="486"/>
      <c r="AO35" s="486"/>
      <c r="AP35" s="486"/>
      <c r="AQ35" s="486"/>
      <c r="AR35" s="231"/>
    </row>
    <row r="36" spans="1:44" customFormat="1" ht="11.25">
      <c r="A36" s="493">
        <f t="shared" ca="1" si="13"/>
        <v>37530</v>
      </c>
      <c r="B36" s="511">
        <v>1.9450000000000001</v>
      </c>
      <c r="C36" s="511">
        <v>1.95</v>
      </c>
      <c r="D36" s="493">
        <f t="shared" ca="1" si="14"/>
        <v>37530</v>
      </c>
      <c r="E36" s="511">
        <v>18.292000000000002</v>
      </c>
      <c r="F36" s="511">
        <v>18.352</v>
      </c>
      <c r="G36" s="318"/>
      <c r="H36" s="490">
        <f t="shared" ca="1" si="0"/>
        <v>37530</v>
      </c>
      <c r="I36" s="491">
        <f t="shared" si="1"/>
        <v>1.95</v>
      </c>
      <c r="J36" s="492">
        <f t="shared" ca="1" si="2"/>
        <v>37530</v>
      </c>
      <c r="K36" s="491">
        <f t="shared" si="3"/>
        <v>18.352</v>
      </c>
      <c r="L36" s="486"/>
      <c r="M36" s="486">
        <v>12</v>
      </c>
      <c r="N36" s="496">
        <f ca="1">IF(MONTH($D$6)&gt;M36,0,IF(MONTH($D$6)=M36,+K$6,LOOKUP(DATE(N$24-1900,$M36,1),$J$6:$J$296,$K$6:$K$296)))</f>
        <v>20.123999999999999</v>
      </c>
      <c r="O36" s="496">
        <f t="shared" ca="1" si="18"/>
        <v>18.384</v>
      </c>
      <c r="P36" s="496">
        <f t="shared" ca="1" si="18"/>
        <v>18.361999999999998</v>
      </c>
      <c r="Q36" s="496">
        <f t="shared" ca="1" si="18"/>
        <v>18.492000000000001</v>
      </c>
      <c r="R36" s="496">
        <f t="shared" ca="1" si="18"/>
        <v>18.643999999999998</v>
      </c>
      <c r="S36" s="496">
        <f t="shared" ca="1" si="18"/>
        <v>18.808</v>
      </c>
      <c r="T36" s="496">
        <f t="shared" ca="1" si="18"/>
        <v>18.992999999999999</v>
      </c>
      <c r="U36" s="496">
        <f t="shared" ca="1" si="18"/>
        <v>19.190000000000001</v>
      </c>
      <c r="V36" s="496">
        <f t="shared" ca="1" si="18"/>
        <v>19.396000000000001</v>
      </c>
      <c r="W36" s="496">
        <f t="shared" ca="1" si="18"/>
        <v>19.606000000000002</v>
      </c>
      <c r="X36" s="496">
        <f t="shared" ca="1" si="18"/>
        <v>19.815999999999999</v>
      </c>
      <c r="Y36" s="496">
        <f t="shared" ca="1" si="19"/>
        <v>20.027000000000001</v>
      </c>
      <c r="Z36" s="496">
        <f t="shared" ca="1" si="19"/>
        <v>20.236999999999998</v>
      </c>
      <c r="AA36" s="496">
        <f t="shared" ca="1" si="19"/>
        <v>20.446000000000002</v>
      </c>
      <c r="AB36" s="496">
        <f t="shared" ca="1" si="19"/>
        <v>21.164000000000001</v>
      </c>
      <c r="AC36" s="496">
        <f t="shared" ca="1" si="19"/>
        <v>21.465</v>
      </c>
      <c r="AD36" s="496">
        <f t="shared" ca="1" si="19"/>
        <v>21.763999999999999</v>
      </c>
      <c r="AE36" s="496">
        <f t="shared" ca="1" si="19"/>
        <v>22.062999999999999</v>
      </c>
      <c r="AF36" s="496">
        <f t="shared" ca="1" si="19"/>
        <v>22.363</v>
      </c>
      <c r="AG36" s="496">
        <f t="shared" ca="1" si="19"/>
        <v>0</v>
      </c>
      <c r="AH36" s="496">
        <f t="shared" ca="1" si="19"/>
        <v>0</v>
      </c>
      <c r="AI36" s="496"/>
      <c r="AJ36" s="486"/>
      <c r="AK36" s="486"/>
      <c r="AL36" s="486"/>
      <c r="AM36" s="486"/>
      <c r="AN36" s="486"/>
      <c r="AO36" s="486"/>
      <c r="AP36" s="486"/>
      <c r="AQ36" s="486"/>
      <c r="AR36" s="231"/>
    </row>
    <row r="37" spans="1:44" customFormat="1" ht="11.25">
      <c r="A37" s="493">
        <f t="shared" ca="1" si="13"/>
        <v>37561</v>
      </c>
      <c r="B37" s="511">
        <v>1.9530000000000001</v>
      </c>
      <c r="C37" s="511">
        <v>1.958</v>
      </c>
      <c r="D37" s="493">
        <f t="shared" ca="1" si="14"/>
        <v>37561</v>
      </c>
      <c r="E37" s="511">
        <v>18.297000000000001</v>
      </c>
      <c r="F37" s="511">
        <v>18.356999999999999</v>
      </c>
      <c r="G37" s="318"/>
      <c r="H37" s="490">
        <f t="shared" ca="1" si="0"/>
        <v>37561</v>
      </c>
      <c r="I37" s="491">
        <f t="shared" si="1"/>
        <v>1.958</v>
      </c>
      <c r="J37" s="492">
        <f t="shared" ca="1" si="2"/>
        <v>37561</v>
      </c>
      <c r="K37" s="491">
        <f t="shared" si="3"/>
        <v>18.356999999999999</v>
      </c>
      <c r="L37" s="498" t="s">
        <v>12</v>
      </c>
      <c r="M37" s="498"/>
      <c r="N37" s="498">
        <f ca="1">IF(ISERR(SUM(N25:N36)/COUNTIF(N25:N36,"&gt;0")),0,SUM(N25:N36)/COUNTIF(N25:N36,"&gt;0"))</f>
        <v>21.515888888888885</v>
      </c>
      <c r="O37" s="498">
        <f t="shared" ref="O37:AD37" ca="1" si="20">IF(ISERR(SUM(O25:O36)/COUNTIF(O25:O36,"&gt;0")),0,SUM(O25:O36)/COUNTIF(O25:O36,"&gt;0"))</f>
        <v>18.986666666666665</v>
      </c>
      <c r="P37" s="498">
        <f t="shared" ca="1" si="20"/>
        <v>18.343166666666665</v>
      </c>
      <c r="Q37" s="498">
        <f t="shared" ca="1" si="20"/>
        <v>18.421749999999999</v>
      </c>
      <c r="R37" s="498">
        <f t="shared" ca="1" si="20"/>
        <v>18.575749999999999</v>
      </c>
      <c r="S37" s="498">
        <f t="shared" ca="1" si="20"/>
        <v>18.731416666666668</v>
      </c>
      <c r="T37" s="498">
        <f t="shared" ca="1" si="20"/>
        <v>18.906166666666667</v>
      </c>
      <c r="U37" s="498">
        <f t="shared" ca="1" si="20"/>
        <v>19.098166666666668</v>
      </c>
      <c r="V37" s="498">
        <f t="shared" ca="1" si="20"/>
        <v>19.300749999999997</v>
      </c>
      <c r="W37" s="498">
        <f t="shared" ca="1" si="20"/>
        <v>19.5105</v>
      </c>
      <c r="X37" s="498">
        <f t="shared" ca="1" si="20"/>
        <v>19.720083333333339</v>
      </c>
      <c r="Y37" s="498">
        <f t="shared" ca="1" si="20"/>
        <v>19.930416666666662</v>
      </c>
      <c r="Z37" s="498">
        <f t="shared" ca="1" si="20"/>
        <v>20.140416666666663</v>
      </c>
      <c r="AA37" s="498">
        <f t="shared" ca="1" si="20"/>
        <v>20.350249999999999</v>
      </c>
      <c r="AB37" s="498">
        <f t="shared" ca="1" si="20"/>
        <v>20.843916666666669</v>
      </c>
      <c r="AC37" s="498">
        <f t="shared" ca="1" si="20"/>
        <v>21.326833333333337</v>
      </c>
      <c r="AD37" s="498">
        <f t="shared" ca="1" si="20"/>
        <v>21.627249999999993</v>
      </c>
      <c r="AE37" s="498">
        <f t="shared" ref="AE37:AQ37" ca="1" si="21">IF(ISERR(SUM(AE25:AE36)/COUNTIF(AE25:AE36,"&gt;0")),0,SUM(AE25:AE36)/COUNTIF(AE25:AE36,"&gt;0"))</f>
        <v>21.926999999999996</v>
      </c>
      <c r="AF37" s="498">
        <f t="shared" ca="1" si="21"/>
        <v>22.22666666666667</v>
      </c>
      <c r="AG37" s="498">
        <f t="shared" ca="1" si="21"/>
        <v>22.451999999999998</v>
      </c>
      <c r="AH37" s="498">
        <f t="shared" ca="1" si="21"/>
        <v>0</v>
      </c>
      <c r="AI37" s="498">
        <f t="shared" si="21"/>
        <v>0</v>
      </c>
      <c r="AJ37" s="498">
        <f t="shared" si="21"/>
        <v>0</v>
      </c>
      <c r="AK37" s="498">
        <f t="shared" si="21"/>
        <v>0</v>
      </c>
      <c r="AL37" s="498">
        <f t="shared" si="21"/>
        <v>0</v>
      </c>
      <c r="AM37" s="498">
        <f t="shared" si="21"/>
        <v>0</v>
      </c>
      <c r="AN37" s="498">
        <f t="shared" si="21"/>
        <v>0</v>
      </c>
      <c r="AO37" s="498">
        <f t="shared" si="21"/>
        <v>0</v>
      </c>
      <c r="AP37" s="498">
        <f t="shared" si="21"/>
        <v>0</v>
      </c>
      <c r="AQ37" s="498">
        <f t="shared" si="21"/>
        <v>0</v>
      </c>
      <c r="AR37" s="231"/>
    </row>
    <row r="38" spans="1:44" customFormat="1" ht="11.25">
      <c r="A38" s="493">
        <f t="shared" ca="1" si="13"/>
        <v>37591</v>
      </c>
      <c r="B38" s="511">
        <v>1.9450000000000001</v>
      </c>
      <c r="C38" s="511">
        <v>1.95</v>
      </c>
      <c r="D38" s="493">
        <f t="shared" ca="1" si="14"/>
        <v>37591</v>
      </c>
      <c r="E38" s="511">
        <v>18.302</v>
      </c>
      <c r="F38" s="511">
        <v>18.361999999999998</v>
      </c>
      <c r="G38" s="318"/>
      <c r="H38" s="490">
        <f t="shared" ca="1" si="0"/>
        <v>37591</v>
      </c>
      <c r="I38" s="491">
        <f t="shared" si="1"/>
        <v>1.95</v>
      </c>
      <c r="J38" s="492">
        <f t="shared" ca="1" si="2"/>
        <v>37591</v>
      </c>
      <c r="K38" s="491">
        <f t="shared" ref="K38:K69" si="22">IF($J$1="bid",E38,F38)</f>
        <v>18.361999999999998</v>
      </c>
      <c r="L38" s="486"/>
      <c r="M38" s="486"/>
      <c r="N38" s="486"/>
      <c r="O38" s="486"/>
      <c r="P38" s="486"/>
      <c r="Q38" s="486"/>
      <c r="R38" s="486"/>
      <c r="S38" s="486"/>
      <c r="T38" s="486"/>
      <c r="U38" s="486"/>
      <c r="V38" s="486"/>
      <c r="W38" s="486"/>
      <c r="X38" s="486"/>
      <c r="Y38" s="486"/>
      <c r="Z38" s="486"/>
      <c r="AA38" s="486"/>
      <c r="AB38" s="486"/>
      <c r="AC38" s="486"/>
      <c r="AD38" s="486"/>
      <c r="AE38" s="486"/>
      <c r="AF38" s="486"/>
      <c r="AG38" s="486"/>
      <c r="AH38" s="486"/>
      <c r="AI38" s="486"/>
      <c r="AJ38" s="486"/>
      <c r="AK38" s="486"/>
      <c r="AL38" s="486"/>
      <c r="AM38" s="486"/>
      <c r="AN38" s="486"/>
      <c r="AO38" s="486"/>
      <c r="AP38" s="486"/>
      <c r="AQ38" s="486"/>
      <c r="AR38" s="231"/>
    </row>
    <row r="39" spans="1:44" customFormat="1" ht="11.25">
      <c r="A39" s="493">
        <f t="shared" ref="A39:A54" ca="1" si="23">DATE(YEAR(A38),MONTH(A38)+1,1)</f>
        <v>37622</v>
      </c>
      <c r="B39" s="511">
        <v>1.9450000000000001</v>
      </c>
      <c r="C39" s="511">
        <v>1.95</v>
      </c>
      <c r="D39" s="493">
        <f t="shared" ref="D39:D54" ca="1" si="24">DATE(YEAR(D38),MONTH(D38)+1,1)</f>
        <v>37622</v>
      </c>
      <c r="E39" s="511">
        <v>18.306999999999999</v>
      </c>
      <c r="F39" s="511">
        <v>18.367000000000001</v>
      </c>
      <c r="G39" s="318"/>
      <c r="H39" s="490">
        <f t="shared" ca="1" si="0"/>
        <v>37622</v>
      </c>
      <c r="I39" s="491">
        <f t="shared" si="1"/>
        <v>1.95</v>
      </c>
      <c r="J39" s="492">
        <f t="shared" ca="1" si="2"/>
        <v>37622</v>
      </c>
      <c r="K39" s="491">
        <f t="shared" si="22"/>
        <v>18.367000000000001</v>
      </c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231"/>
      <c r="W39" s="231"/>
      <c r="X39" s="231"/>
      <c r="Y39" s="231"/>
      <c r="Z39" s="231"/>
      <c r="AA39" s="231"/>
      <c r="AB39" s="231"/>
      <c r="AC39" s="231"/>
      <c r="AD39" s="231"/>
      <c r="AE39" s="231"/>
      <c r="AF39" s="231"/>
      <c r="AG39" s="231"/>
      <c r="AH39" s="231"/>
      <c r="AI39" s="231"/>
      <c r="AJ39" s="231"/>
      <c r="AK39" s="231"/>
      <c r="AL39" s="231"/>
      <c r="AM39" s="231"/>
      <c r="AN39" s="231"/>
      <c r="AO39" s="231"/>
      <c r="AP39" s="231"/>
      <c r="AQ39" s="231"/>
      <c r="AR39" s="231"/>
    </row>
    <row r="40" spans="1:44" customFormat="1" ht="11.25">
      <c r="A40" s="493">
        <f t="shared" ca="1" si="23"/>
        <v>37653</v>
      </c>
      <c r="B40" s="511">
        <v>1.9450000000000001</v>
      </c>
      <c r="C40" s="511">
        <v>1.95</v>
      </c>
      <c r="D40" s="493">
        <f t="shared" ca="1" si="24"/>
        <v>37653</v>
      </c>
      <c r="E40" s="511">
        <v>18.312000000000001</v>
      </c>
      <c r="F40" s="511">
        <v>18.372</v>
      </c>
      <c r="G40" s="318"/>
      <c r="H40" s="490">
        <f t="shared" ca="1" si="0"/>
        <v>37653</v>
      </c>
      <c r="I40" s="491">
        <f t="shared" si="1"/>
        <v>1.95</v>
      </c>
      <c r="J40" s="492">
        <f t="shared" ca="1" si="2"/>
        <v>37653</v>
      </c>
      <c r="K40" s="491">
        <f t="shared" si="22"/>
        <v>18.372</v>
      </c>
      <c r="L40" s="231"/>
      <c r="M40" s="231"/>
      <c r="N40" s="231"/>
      <c r="O40" s="231"/>
      <c r="P40" s="231"/>
      <c r="Q40" s="231"/>
      <c r="R40" s="231"/>
      <c r="S40" s="231"/>
      <c r="T40" s="231"/>
      <c r="U40" s="231"/>
      <c r="V40" s="231"/>
      <c r="W40" s="231"/>
      <c r="X40" s="231"/>
      <c r="Y40" s="231"/>
      <c r="Z40" s="231"/>
      <c r="AA40" s="231"/>
      <c r="AB40" s="231"/>
      <c r="AC40" s="231"/>
      <c r="AD40" s="231"/>
      <c r="AE40" s="231"/>
      <c r="AF40" s="231"/>
      <c r="AG40" s="231"/>
      <c r="AH40" s="231"/>
      <c r="AI40" s="231"/>
      <c r="AJ40" s="231"/>
      <c r="AK40" s="231"/>
      <c r="AL40" s="231"/>
      <c r="AM40" s="231"/>
      <c r="AN40" s="231"/>
      <c r="AO40" s="231"/>
      <c r="AP40" s="231"/>
      <c r="AQ40" s="231"/>
      <c r="AR40" s="231"/>
    </row>
    <row r="41" spans="1:44" customFormat="1" ht="11.25">
      <c r="A41" s="497">
        <f t="shared" ca="1" si="23"/>
        <v>37681</v>
      </c>
      <c r="B41" s="511">
        <v>1.9450000000000001</v>
      </c>
      <c r="C41" s="511">
        <v>1.95</v>
      </c>
      <c r="D41" s="497">
        <f t="shared" ca="1" si="24"/>
        <v>37681</v>
      </c>
      <c r="E41" s="511">
        <v>18.317</v>
      </c>
      <c r="F41" s="511">
        <v>18.376999999999999</v>
      </c>
      <c r="G41" s="318"/>
      <c r="H41" s="490">
        <f t="shared" ca="1" si="0"/>
        <v>37681</v>
      </c>
      <c r="I41" s="491">
        <f t="shared" si="1"/>
        <v>1.95</v>
      </c>
      <c r="J41" s="492">
        <f t="shared" ca="1" si="2"/>
        <v>37681</v>
      </c>
      <c r="K41" s="491">
        <f t="shared" si="22"/>
        <v>18.376999999999999</v>
      </c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</row>
    <row r="42" spans="1:44" customFormat="1" ht="11.25">
      <c r="A42" s="497">
        <f t="shared" ca="1" si="23"/>
        <v>37712</v>
      </c>
      <c r="B42" s="511">
        <v>2.0190000000000001</v>
      </c>
      <c r="C42" s="511">
        <v>2.024</v>
      </c>
      <c r="D42" s="497">
        <f t="shared" ca="1" si="24"/>
        <v>37712</v>
      </c>
      <c r="E42" s="511">
        <v>18.323</v>
      </c>
      <c r="F42" s="511">
        <v>18.384</v>
      </c>
      <c r="G42" s="318"/>
      <c r="H42" s="490">
        <f t="shared" ca="1" si="0"/>
        <v>37712</v>
      </c>
      <c r="I42" s="491">
        <f t="shared" si="1"/>
        <v>2.024</v>
      </c>
      <c r="J42" s="492">
        <f t="shared" ca="1" si="2"/>
        <v>37712</v>
      </c>
      <c r="K42" s="491">
        <f t="shared" si="22"/>
        <v>18.384</v>
      </c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  <c r="AE42" s="231"/>
      <c r="AF42" s="231"/>
      <c r="AG42" s="231"/>
      <c r="AH42" s="231"/>
      <c r="AI42" s="231"/>
      <c r="AJ42" s="231"/>
      <c r="AK42" s="231"/>
      <c r="AL42" s="231"/>
      <c r="AM42" s="231"/>
      <c r="AN42" s="231"/>
      <c r="AO42" s="231"/>
      <c r="AP42" s="231"/>
      <c r="AQ42" s="231"/>
      <c r="AR42" s="231"/>
    </row>
    <row r="43" spans="1:44" customFormat="1" ht="11.25">
      <c r="A43" s="493">
        <f t="shared" ca="1" si="23"/>
        <v>37742</v>
      </c>
      <c r="B43" s="511">
        <v>2.137</v>
      </c>
      <c r="C43" s="511">
        <v>2.1419999999999999</v>
      </c>
      <c r="D43" s="493">
        <f t="shared" ca="1" si="24"/>
        <v>37742</v>
      </c>
      <c r="E43" s="511">
        <v>18.332000000000001</v>
      </c>
      <c r="F43" s="511">
        <v>18.399000000000001</v>
      </c>
      <c r="G43" s="318"/>
      <c r="H43" s="490">
        <f t="shared" ca="1" si="0"/>
        <v>37742</v>
      </c>
      <c r="I43" s="491">
        <f t="shared" si="1"/>
        <v>2.1419999999999999</v>
      </c>
      <c r="J43" s="492">
        <f t="shared" ca="1" si="2"/>
        <v>37742</v>
      </c>
      <c r="K43" s="491">
        <f t="shared" si="22"/>
        <v>18.399000000000001</v>
      </c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1"/>
      <c r="AE43" s="231"/>
      <c r="AF43" s="231"/>
      <c r="AG43" s="231"/>
      <c r="AH43" s="231"/>
      <c r="AI43" s="231"/>
      <c r="AJ43" s="231"/>
      <c r="AK43" s="231"/>
      <c r="AL43" s="231"/>
      <c r="AM43" s="231"/>
      <c r="AN43" s="231"/>
      <c r="AO43" s="231"/>
      <c r="AP43" s="231"/>
      <c r="AQ43" s="231"/>
      <c r="AR43" s="231"/>
    </row>
    <row r="44" spans="1:44" customFormat="1" ht="11.25">
      <c r="A44" s="493">
        <f t="shared" ca="1" si="23"/>
        <v>37773</v>
      </c>
      <c r="B44" s="511">
        <v>2.1480000000000001</v>
      </c>
      <c r="C44" s="511">
        <v>2.1579999999999999</v>
      </c>
      <c r="D44" s="493">
        <f t="shared" ca="1" si="24"/>
        <v>37773</v>
      </c>
      <c r="E44" s="511">
        <v>18.34</v>
      </c>
      <c r="F44" s="511">
        <v>18.411999999999999</v>
      </c>
      <c r="G44" s="318"/>
      <c r="H44" s="490">
        <f t="shared" ca="1" si="0"/>
        <v>37773</v>
      </c>
      <c r="I44" s="491">
        <f t="shared" si="1"/>
        <v>2.1579999999999999</v>
      </c>
      <c r="J44" s="492">
        <f t="shared" ca="1" si="2"/>
        <v>37773</v>
      </c>
      <c r="K44" s="491">
        <f t="shared" si="22"/>
        <v>18.411999999999999</v>
      </c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</row>
    <row r="45" spans="1:44" customFormat="1" ht="11.25">
      <c r="A45" s="493">
        <f t="shared" ca="1" si="23"/>
        <v>37803</v>
      </c>
      <c r="B45" s="511">
        <v>2.0630000000000002</v>
      </c>
      <c r="C45" s="511">
        <v>2.073</v>
      </c>
      <c r="D45" s="493">
        <f t="shared" ca="1" si="24"/>
        <v>37803</v>
      </c>
      <c r="E45" s="511">
        <v>18.347999999999999</v>
      </c>
      <c r="F45" s="511">
        <v>18.423999999999999</v>
      </c>
      <c r="G45" s="318"/>
      <c r="H45" s="490">
        <f t="shared" ca="1" si="0"/>
        <v>37803</v>
      </c>
      <c r="I45" s="491">
        <f t="shared" si="1"/>
        <v>2.073</v>
      </c>
      <c r="J45" s="492">
        <f t="shared" ca="1" si="2"/>
        <v>37803</v>
      </c>
      <c r="K45" s="491">
        <f t="shared" si="22"/>
        <v>18.423999999999999</v>
      </c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  <c r="AA45" s="231"/>
      <c r="AB45" s="231"/>
      <c r="AC45" s="231"/>
      <c r="AD45" s="231"/>
      <c r="AE45" s="231"/>
      <c r="AF45" s="231"/>
      <c r="AG45" s="231"/>
      <c r="AH45" s="231"/>
      <c r="AI45" s="231"/>
      <c r="AJ45" s="231"/>
      <c r="AK45" s="231"/>
      <c r="AL45" s="231"/>
      <c r="AM45" s="231"/>
      <c r="AN45" s="231"/>
      <c r="AO45" s="231"/>
      <c r="AP45" s="231"/>
      <c r="AQ45" s="231"/>
      <c r="AR45" s="231"/>
    </row>
    <row r="46" spans="1:44" customFormat="1" ht="11.25">
      <c r="A46" s="493">
        <f t="shared" ca="1" si="23"/>
        <v>37834</v>
      </c>
      <c r="B46" s="511">
        <v>1.9970000000000001</v>
      </c>
      <c r="C46" s="511">
        <v>2.0070000000000001</v>
      </c>
      <c r="D46" s="493">
        <f t="shared" ca="1" si="24"/>
        <v>37834</v>
      </c>
      <c r="E46" s="511">
        <v>18.356999999999999</v>
      </c>
      <c r="F46" s="511">
        <v>18.439</v>
      </c>
      <c r="G46" s="318"/>
      <c r="H46" s="490">
        <f t="shared" ca="1" si="0"/>
        <v>37834</v>
      </c>
      <c r="I46" s="491">
        <f t="shared" si="1"/>
        <v>2.0070000000000001</v>
      </c>
      <c r="J46" s="492">
        <f t="shared" ca="1" si="2"/>
        <v>37834</v>
      </c>
      <c r="K46" s="491">
        <f t="shared" si="22"/>
        <v>18.439</v>
      </c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1"/>
      <c r="X46" s="231"/>
      <c r="Y46" s="231"/>
      <c r="Z46" s="231"/>
      <c r="AA46" s="231"/>
      <c r="AB46" s="231"/>
      <c r="AC46" s="231"/>
      <c r="AD46" s="231"/>
      <c r="AE46" s="231"/>
      <c r="AF46" s="231"/>
      <c r="AG46" s="231"/>
      <c r="AH46" s="231"/>
      <c r="AI46" s="231"/>
      <c r="AJ46" s="231"/>
      <c r="AK46" s="231"/>
      <c r="AL46" s="231"/>
      <c r="AM46" s="231"/>
      <c r="AN46" s="231"/>
      <c r="AO46" s="231"/>
      <c r="AP46" s="231"/>
      <c r="AQ46" s="231"/>
      <c r="AR46" s="231"/>
    </row>
    <row r="47" spans="1:44" customFormat="1" ht="11.25">
      <c r="A47" s="493">
        <f t="shared" ca="1" si="23"/>
        <v>37865</v>
      </c>
      <c r="B47" s="511">
        <v>1.9480000000000002</v>
      </c>
      <c r="C47" s="511">
        <v>1.9580000000000002</v>
      </c>
      <c r="D47" s="493">
        <f t="shared" ca="1" si="24"/>
        <v>37865</v>
      </c>
      <c r="E47" s="511">
        <v>18.364999999999998</v>
      </c>
      <c r="F47" s="511">
        <v>18.451000000000001</v>
      </c>
      <c r="G47" s="318"/>
      <c r="H47" s="490">
        <f t="shared" ca="1" si="0"/>
        <v>37865</v>
      </c>
      <c r="I47" s="491">
        <f t="shared" si="1"/>
        <v>1.9580000000000002</v>
      </c>
      <c r="J47" s="492">
        <f t="shared" ca="1" si="2"/>
        <v>37865</v>
      </c>
      <c r="K47" s="491">
        <f t="shared" si="22"/>
        <v>18.451000000000001</v>
      </c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1"/>
    </row>
    <row r="48" spans="1:44" customFormat="1" ht="11.25">
      <c r="A48" s="493">
        <f t="shared" ca="1" si="23"/>
        <v>37895</v>
      </c>
      <c r="B48" s="511">
        <v>1.9350000000000001</v>
      </c>
      <c r="C48" s="511">
        <v>1.9450000000000001</v>
      </c>
      <c r="D48" s="493">
        <f t="shared" ca="1" si="24"/>
        <v>37895</v>
      </c>
      <c r="E48" s="511">
        <v>18.373000000000001</v>
      </c>
      <c r="F48" s="511">
        <v>18.465</v>
      </c>
      <c r="G48" s="318"/>
      <c r="H48" s="490">
        <f t="shared" ca="1" si="0"/>
        <v>37895</v>
      </c>
      <c r="I48" s="491">
        <f t="shared" si="1"/>
        <v>1.9450000000000001</v>
      </c>
      <c r="J48" s="492">
        <f t="shared" ca="1" si="2"/>
        <v>37895</v>
      </c>
      <c r="K48" s="491">
        <f t="shared" si="22"/>
        <v>18.465</v>
      </c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  <c r="AD48" s="231"/>
      <c r="AE48" s="231"/>
      <c r="AF48" s="231"/>
      <c r="AG48" s="231"/>
      <c r="AH48" s="231"/>
      <c r="AI48" s="231"/>
      <c r="AJ48" s="231"/>
      <c r="AK48" s="231"/>
      <c r="AL48" s="231"/>
      <c r="AM48" s="231"/>
      <c r="AN48" s="231"/>
      <c r="AO48" s="231"/>
      <c r="AP48" s="231"/>
      <c r="AQ48" s="231"/>
      <c r="AR48" s="231"/>
    </row>
    <row r="49" spans="1:44" customFormat="1" ht="11.25">
      <c r="A49" s="497">
        <f t="shared" ca="1" si="23"/>
        <v>37926</v>
      </c>
      <c r="B49" s="511">
        <v>1.9430000000000001</v>
      </c>
      <c r="C49" s="511">
        <v>1.9530000000000001</v>
      </c>
      <c r="D49" s="497">
        <f t="shared" ca="1" si="24"/>
        <v>37926</v>
      </c>
      <c r="E49" s="511">
        <v>18.382000000000001</v>
      </c>
      <c r="F49" s="511">
        <v>18.478999999999999</v>
      </c>
      <c r="G49" s="318"/>
      <c r="H49" s="490">
        <f t="shared" ca="1" si="0"/>
        <v>37926</v>
      </c>
      <c r="I49" s="491">
        <f t="shared" si="1"/>
        <v>1.9530000000000001</v>
      </c>
      <c r="J49" s="492">
        <f t="shared" ca="1" si="2"/>
        <v>37926</v>
      </c>
      <c r="K49" s="491">
        <f t="shared" si="22"/>
        <v>18.478999999999999</v>
      </c>
      <c r="L49" s="486"/>
      <c r="M49" s="486"/>
      <c r="N49" s="486"/>
      <c r="O49" s="486"/>
      <c r="P49" s="486"/>
      <c r="Q49" s="486"/>
      <c r="R49" s="486"/>
      <c r="S49" s="486"/>
      <c r="T49" s="486"/>
      <c r="U49" s="486"/>
      <c r="V49" s="486"/>
      <c r="W49" s="486"/>
      <c r="X49" s="486"/>
      <c r="Y49" s="486"/>
      <c r="Z49" s="486"/>
      <c r="AA49" s="486"/>
      <c r="AB49" s="486"/>
      <c r="AC49" s="486"/>
      <c r="AD49" s="486"/>
      <c r="AE49" s="486"/>
      <c r="AF49" s="486"/>
      <c r="AG49" s="486"/>
      <c r="AH49" s="486"/>
      <c r="AI49" s="486"/>
      <c r="AJ49" s="486"/>
      <c r="AK49" s="486"/>
      <c r="AL49" s="486"/>
      <c r="AM49" s="486"/>
      <c r="AN49" s="486"/>
      <c r="AO49" s="486"/>
      <c r="AP49" s="486"/>
      <c r="AQ49" s="486"/>
      <c r="AR49" s="231"/>
    </row>
    <row r="50" spans="1:44" customFormat="1" ht="11.25">
      <c r="A50" s="497">
        <f t="shared" ca="1" si="23"/>
        <v>37956</v>
      </c>
      <c r="B50" s="511">
        <v>1.9350000000000001</v>
      </c>
      <c r="C50" s="511">
        <v>1.9450000000000001</v>
      </c>
      <c r="D50" s="497">
        <f t="shared" ca="1" si="24"/>
        <v>37956</v>
      </c>
      <c r="E50" s="511">
        <v>18.39</v>
      </c>
      <c r="F50" s="511">
        <v>18.492000000000001</v>
      </c>
      <c r="G50" s="318"/>
      <c r="H50" s="490">
        <f t="shared" ca="1" si="0"/>
        <v>37956</v>
      </c>
      <c r="I50" s="491">
        <f t="shared" si="1"/>
        <v>1.9450000000000001</v>
      </c>
      <c r="J50" s="492">
        <f t="shared" ca="1" si="2"/>
        <v>37956</v>
      </c>
      <c r="K50" s="491">
        <f t="shared" si="22"/>
        <v>18.492000000000001</v>
      </c>
      <c r="L50" s="486"/>
      <c r="M50" s="486"/>
      <c r="N50" s="486"/>
      <c r="O50" s="486"/>
      <c r="P50" s="486"/>
      <c r="Q50" s="486"/>
      <c r="R50" s="486"/>
      <c r="S50" s="486"/>
      <c r="T50" s="486"/>
      <c r="U50" s="486"/>
      <c r="V50" s="486"/>
      <c r="W50" s="486"/>
      <c r="X50" s="486"/>
      <c r="Y50" s="486"/>
      <c r="Z50" s="486"/>
      <c r="AA50" s="486"/>
      <c r="AB50" s="486"/>
      <c r="AC50" s="486"/>
      <c r="AD50" s="486"/>
      <c r="AE50" s="486"/>
      <c r="AF50" s="486"/>
      <c r="AG50" s="486"/>
      <c r="AH50" s="486"/>
      <c r="AI50" s="486"/>
      <c r="AJ50" s="486"/>
      <c r="AK50" s="486"/>
      <c r="AL50" s="486"/>
      <c r="AM50" s="486"/>
      <c r="AN50" s="486"/>
      <c r="AO50" s="486"/>
      <c r="AP50" s="486"/>
      <c r="AQ50" s="486"/>
      <c r="AR50" s="231"/>
    </row>
    <row r="51" spans="1:44" customFormat="1" ht="11.25">
      <c r="A51" s="493">
        <f t="shared" ca="1" si="23"/>
        <v>37987</v>
      </c>
      <c r="B51" s="511">
        <v>1.9350000000000001</v>
      </c>
      <c r="C51" s="511">
        <v>1.9450000000000001</v>
      </c>
      <c r="D51" s="493">
        <f t="shared" ca="1" si="24"/>
        <v>37987</v>
      </c>
      <c r="E51" s="511">
        <v>18.398</v>
      </c>
      <c r="F51" s="511">
        <v>18.504999999999999</v>
      </c>
      <c r="G51" s="318"/>
      <c r="H51" s="490">
        <f t="shared" ca="1" si="0"/>
        <v>37987</v>
      </c>
      <c r="I51" s="491">
        <f t="shared" si="1"/>
        <v>1.9450000000000001</v>
      </c>
      <c r="J51" s="492">
        <f t="shared" ca="1" si="2"/>
        <v>37987</v>
      </c>
      <c r="K51" s="491">
        <f t="shared" si="22"/>
        <v>18.504999999999999</v>
      </c>
      <c r="L51" s="486"/>
      <c r="M51" s="486"/>
      <c r="N51" s="486"/>
      <c r="O51" s="486"/>
      <c r="P51" s="494"/>
      <c r="Q51" s="494"/>
      <c r="R51" s="494"/>
      <c r="S51" s="486"/>
      <c r="T51" s="486"/>
      <c r="U51" s="486"/>
      <c r="V51" s="486"/>
      <c r="W51" s="486"/>
      <c r="X51" s="486"/>
      <c r="Y51" s="486"/>
      <c r="Z51" s="486"/>
      <c r="AA51" s="486"/>
      <c r="AB51" s="486"/>
      <c r="AC51" s="486"/>
      <c r="AD51" s="486"/>
      <c r="AE51" s="486"/>
      <c r="AF51" s="486"/>
      <c r="AG51" s="486"/>
      <c r="AH51" s="486"/>
      <c r="AI51" s="486"/>
      <c r="AJ51" s="486"/>
      <c r="AK51" s="486"/>
      <c r="AL51" s="486"/>
      <c r="AM51" s="486"/>
      <c r="AN51" s="486"/>
      <c r="AO51" s="486"/>
      <c r="AP51" s="486"/>
      <c r="AQ51" s="486"/>
      <c r="AR51" s="231"/>
    </row>
    <row r="52" spans="1:44" customFormat="1" ht="11.25">
      <c r="A52" s="493">
        <f t="shared" ca="1" si="23"/>
        <v>38018</v>
      </c>
      <c r="B52" s="511">
        <v>1.9350000000000001</v>
      </c>
      <c r="C52" s="511">
        <v>1.9450000000000001</v>
      </c>
      <c r="D52" s="493">
        <f t="shared" ca="1" si="24"/>
        <v>38018</v>
      </c>
      <c r="E52" s="511">
        <v>18.407</v>
      </c>
      <c r="F52" s="511">
        <v>18.518999999999998</v>
      </c>
      <c r="G52" s="318"/>
      <c r="H52" s="490">
        <f t="shared" ca="1" si="0"/>
        <v>38018</v>
      </c>
      <c r="I52" s="491">
        <f t="shared" si="1"/>
        <v>1.9450000000000001</v>
      </c>
      <c r="J52" s="492">
        <f t="shared" ca="1" si="2"/>
        <v>38018</v>
      </c>
      <c r="K52" s="491">
        <f t="shared" si="22"/>
        <v>18.518999999999998</v>
      </c>
      <c r="L52" s="486"/>
      <c r="M52" s="486"/>
      <c r="N52" s="486"/>
      <c r="O52" s="486"/>
      <c r="P52" s="486"/>
      <c r="Q52" s="486"/>
      <c r="R52" s="486"/>
      <c r="S52" s="486"/>
      <c r="T52" s="486"/>
      <c r="U52" s="486"/>
      <c r="V52" s="486"/>
      <c r="W52" s="486"/>
      <c r="X52" s="486"/>
      <c r="Y52" s="486"/>
      <c r="Z52" s="486"/>
      <c r="AA52" s="486"/>
      <c r="AB52" s="486"/>
      <c r="AC52" s="486"/>
      <c r="AD52" s="486"/>
      <c r="AE52" s="486"/>
      <c r="AF52" s="486"/>
      <c r="AG52" s="486"/>
      <c r="AH52" s="486"/>
      <c r="AI52" s="486"/>
      <c r="AJ52" s="486"/>
      <c r="AK52" s="486"/>
      <c r="AL52" s="486"/>
      <c r="AM52" s="486"/>
      <c r="AN52" s="486"/>
      <c r="AO52" s="486"/>
      <c r="AP52" s="486"/>
      <c r="AQ52" s="486"/>
      <c r="AR52" s="231"/>
    </row>
    <row r="53" spans="1:44" customFormat="1" ht="11.25">
      <c r="A53" s="493">
        <f t="shared" ca="1" si="23"/>
        <v>38047</v>
      </c>
      <c r="B53" s="511">
        <v>1.9350000000000001</v>
      </c>
      <c r="C53" s="511">
        <v>1.9450000000000001</v>
      </c>
      <c r="D53" s="493">
        <f t="shared" ca="1" si="24"/>
        <v>38047</v>
      </c>
      <c r="E53" s="511">
        <v>18.414999999999999</v>
      </c>
      <c r="F53" s="511">
        <v>18.532</v>
      </c>
      <c r="G53" s="318"/>
      <c r="H53" s="490">
        <f t="shared" ca="1" si="0"/>
        <v>38047</v>
      </c>
      <c r="I53" s="491">
        <f t="shared" si="1"/>
        <v>1.9450000000000001</v>
      </c>
      <c r="J53" s="492">
        <f t="shared" ca="1" si="2"/>
        <v>38047</v>
      </c>
      <c r="K53" s="491">
        <f t="shared" si="22"/>
        <v>18.532</v>
      </c>
      <c r="L53" s="486"/>
      <c r="M53" s="486"/>
      <c r="N53" s="486"/>
      <c r="O53" s="486"/>
      <c r="P53" s="486"/>
      <c r="Q53" s="486"/>
      <c r="R53" s="486"/>
      <c r="S53" s="486"/>
      <c r="T53" s="486"/>
      <c r="U53" s="486"/>
      <c r="V53" s="486"/>
      <c r="W53" s="486"/>
      <c r="X53" s="486"/>
      <c r="Y53" s="486"/>
      <c r="Z53" s="486"/>
      <c r="AA53" s="486"/>
      <c r="AB53" s="486"/>
      <c r="AC53" s="486"/>
      <c r="AD53" s="486"/>
      <c r="AE53" s="486"/>
      <c r="AF53" s="486"/>
      <c r="AG53" s="486"/>
      <c r="AH53" s="486"/>
      <c r="AI53" s="486"/>
      <c r="AJ53" s="486"/>
      <c r="AK53" s="486"/>
      <c r="AL53" s="486"/>
      <c r="AM53" s="486"/>
      <c r="AN53" s="486"/>
      <c r="AO53" s="486"/>
      <c r="AP53" s="486"/>
      <c r="AQ53" s="486"/>
      <c r="AR53" s="231"/>
    </row>
    <row r="54" spans="1:44" customFormat="1" ht="11.25">
      <c r="A54" s="493">
        <f t="shared" ca="1" si="23"/>
        <v>38078</v>
      </c>
      <c r="B54" s="511">
        <v>2.0090000000000003</v>
      </c>
      <c r="C54" s="511">
        <v>2.0190000000000001</v>
      </c>
      <c r="D54" s="493">
        <f t="shared" ca="1" si="24"/>
        <v>38078</v>
      </c>
      <c r="E54" s="511">
        <v>18.422999999999998</v>
      </c>
      <c r="F54" s="511">
        <v>18.545000000000002</v>
      </c>
      <c r="G54" s="318"/>
      <c r="H54" s="490">
        <f t="shared" ca="1" si="0"/>
        <v>38078</v>
      </c>
      <c r="I54" s="491">
        <f t="shared" si="1"/>
        <v>2.0190000000000001</v>
      </c>
      <c r="J54" s="492">
        <f t="shared" ca="1" si="2"/>
        <v>38078</v>
      </c>
      <c r="K54" s="491">
        <f t="shared" si="22"/>
        <v>18.545000000000002</v>
      </c>
      <c r="L54" s="486"/>
      <c r="M54" s="486"/>
      <c r="N54" s="486"/>
      <c r="O54" s="486"/>
      <c r="P54" s="486"/>
      <c r="Q54" s="486"/>
      <c r="R54" s="486"/>
      <c r="S54" s="486"/>
      <c r="T54" s="486"/>
      <c r="U54" s="486"/>
      <c r="V54" s="486"/>
      <c r="W54" s="486"/>
      <c r="X54" s="486"/>
      <c r="Y54" s="486"/>
      <c r="Z54" s="486"/>
      <c r="AA54" s="486"/>
      <c r="AB54" s="486"/>
      <c r="AC54" s="486"/>
      <c r="AD54" s="486"/>
      <c r="AE54" s="486"/>
      <c r="AF54" s="486"/>
      <c r="AG54" s="486"/>
      <c r="AH54" s="486"/>
      <c r="AI54" s="486"/>
      <c r="AJ54" s="486"/>
      <c r="AK54" s="486"/>
      <c r="AL54" s="486"/>
      <c r="AM54" s="486"/>
      <c r="AN54" s="486"/>
      <c r="AO54" s="486"/>
      <c r="AP54" s="486"/>
      <c r="AQ54" s="486"/>
      <c r="AR54" s="231"/>
    </row>
    <row r="55" spans="1:44" customFormat="1" ht="11.25">
      <c r="A55" s="493">
        <f t="shared" ref="A55:A70" ca="1" si="25">DATE(YEAR(A54),MONTH(A54)+1,1)</f>
        <v>38108</v>
      </c>
      <c r="B55" s="511">
        <v>2.1270000000000002</v>
      </c>
      <c r="C55" s="511">
        <v>2.137</v>
      </c>
      <c r="D55" s="493">
        <f t="shared" ref="D55:D70" ca="1" si="26">DATE(YEAR(D54),MONTH(D54)+1,1)</f>
        <v>38108</v>
      </c>
      <c r="E55" s="511">
        <v>18.43</v>
      </c>
      <c r="F55" s="511">
        <v>18.558</v>
      </c>
      <c r="G55" s="318"/>
      <c r="H55" s="490">
        <f t="shared" ca="1" si="0"/>
        <v>38108</v>
      </c>
      <c r="I55" s="491">
        <f t="shared" si="1"/>
        <v>2.137</v>
      </c>
      <c r="J55" s="492">
        <f t="shared" ca="1" si="2"/>
        <v>38108</v>
      </c>
      <c r="K55" s="491">
        <f t="shared" si="22"/>
        <v>18.558</v>
      </c>
      <c r="L55" s="486"/>
      <c r="M55" s="486"/>
      <c r="N55" s="486"/>
      <c r="O55" s="486"/>
      <c r="P55" s="486"/>
      <c r="Q55" s="486"/>
      <c r="R55" s="486"/>
      <c r="S55" s="486"/>
      <c r="T55" s="486"/>
      <c r="U55" s="486"/>
      <c r="V55" s="486"/>
      <c r="W55" s="486"/>
      <c r="X55" s="486"/>
      <c r="Y55" s="486"/>
      <c r="Z55" s="486"/>
      <c r="AA55" s="486"/>
      <c r="AB55" s="486"/>
      <c r="AC55" s="486"/>
      <c r="AD55" s="486"/>
      <c r="AE55" s="486"/>
      <c r="AF55" s="486"/>
      <c r="AG55" s="486"/>
      <c r="AH55" s="486"/>
      <c r="AI55" s="486"/>
      <c r="AJ55" s="486"/>
      <c r="AK55" s="486"/>
      <c r="AL55" s="486"/>
      <c r="AM55" s="486"/>
      <c r="AN55" s="486"/>
      <c r="AO55" s="486"/>
      <c r="AP55" s="486"/>
      <c r="AQ55" s="486"/>
      <c r="AR55" s="231"/>
    </row>
    <row r="56" spans="1:44" customFormat="1" ht="11.25">
      <c r="A56" s="497">
        <f t="shared" ca="1" si="25"/>
        <v>38139</v>
      </c>
      <c r="B56" s="511">
        <v>2.153</v>
      </c>
      <c r="C56" s="511">
        <v>2.1629999999999998</v>
      </c>
      <c r="D56" s="497">
        <f t="shared" ca="1" si="26"/>
        <v>38139</v>
      </c>
      <c r="E56" s="511">
        <v>18.437000000000001</v>
      </c>
      <c r="F56" s="511">
        <v>18.57</v>
      </c>
      <c r="G56" s="318"/>
      <c r="H56" s="490">
        <f t="shared" ca="1" si="0"/>
        <v>38139</v>
      </c>
      <c r="I56" s="491">
        <f t="shared" si="1"/>
        <v>2.1629999999999998</v>
      </c>
      <c r="J56" s="492">
        <f t="shared" ca="1" si="2"/>
        <v>38139</v>
      </c>
      <c r="K56" s="491">
        <f t="shared" si="22"/>
        <v>18.57</v>
      </c>
      <c r="L56" s="486"/>
      <c r="M56" s="486"/>
      <c r="N56" s="486"/>
      <c r="O56" s="486"/>
      <c r="P56" s="486"/>
      <c r="Q56" s="486"/>
      <c r="R56" s="486"/>
      <c r="S56" s="486"/>
      <c r="T56" s="486"/>
      <c r="U56" s="486"/>
      <c r="V56" s="486"/>
      <c r="W56" s="486"/>
      <c r="X56" s="486"/>
      <c r="Y56" s="486"/>
      <c r="Z56" s="486"/>
      <c r="AA56" s="486"/>
      <c r="AB56" s="486"/>
      <c r="AC56" s="486"/>
      <c r="AD56" s="486"/>
      <c r="AE56" s="486"/>
      <c r="AF56" s="486"/>
      <c r="AG56" s="486"/>
      <c r="AH56" s="486"/>
      <c r="AI56" s="486"/>
      <c r="AJ56" s="486"/>
      <c r="AK56" s="486"/>
      <c r="AL56" s="486"/>
      <c r="AM56" s="486"/>
      <c r="AN56" s="486"/>
      <c r="AO56" s="486"/>
      <c r="AP56" s="486"/>
      <c r="AQ56" s="486"/>
      <c r="AR56" s="231"/>
    </row>
    <row r="57" spans="1:44" customFormat="1" ht="11.25">
      <c r="A57" s="497">
        <f t="shared" ca="1" si="25"/>
        <v>38169</v>
      </c>
      <c r="B57" s="511">
        <v>2.0680000000000001</v>
      </c>
      <c r="C57" s="511">
        <v>2.0779999999999998</v>
      </c>
      <c r="D57" s="497">
        <f t="shared" ca="1" si="26"/>
        <v>38169</v>
      </c>
      <c r="E57" s="511">
        <v>18.443999999999999</v>
      </c>
      <c r="F57" s="511">
        <v>18.582000000000001</v>
      </c>
      <c r="G57" s="318"/>
      <c r="H57" s="490">
        <f t="shared" ca="1" si="0"/>
        <v>38169</v>
      </c>
      <c r="I57" s="491">
        <f t="shared" si="1"/>
        <v>2.0779999999999998</v>
      </c>
      <c r="J57" s="492">
        <f t="shared" ca="1" si="2"/>
        <v>38169</v>
      </c>
      <c r="K57" s="491">
        <f t="shared" si="22"/>
        <v>18.582000000000001</v>
      </c>
      <c r="L57" s="486"/>
      <c r="M57" s="486"/>
      <c r="N57" s="486"/>
      <c r="O57" s="486"/>
      <c r="P57" s="486"/>
      <c r="Q57" s="486"/>
      <c r="R57" s="486"/>
      <c r="S57" s="486"/>
      <c r="T57" s="486"/>
      <c r="U57" s="486"/>
      <c r="V57" s="486"/>
      <c r="W57" s="486"/>
      <c r="X57" s="486"/>
      <c r="Y57" s="486"/>
      <c r="Z57" s="486"/>
      <c r="AA57" s="486"/>
      <c r="AB57" s="486"/>
      <c r="AC57" s="486"/>
      <c r="AD57" s="486"/>
      <c r="AE57" s="486"/>
      <c r="AF57" s="486"/>
      <c r="AG57" s="486"/>
      <c r="AH57" s="486"/>
      <c r="AI57" s="486"/>
      <c r="AJ57" s="486"/>
      <c r="AK57" s="486"/>
      <c r="AL57" s="486"/>
      <c r="AM57" s="486"/>
      <c r="AN57" s="486"/>
      <c r="AO57" s="486"/>
      <c r="AP57" s="486"/>
      <c r="AQ57" s="486"/>
      <c r="AR57" s="231"/>
    </row>
    <row r="58" spans="1:44" customFormat="1" ht="11.25">
      <c r="A58" s="493">
        <f t="shared" ca="1" si="25"/>
        <v>38200</v>
      </c>
      <c r="B58" s="511">
        <v>2.0020000000000002</v>
      </c>
      <c r="C58" s="511">
        <v>2.012</v>
      </c>
      <c r="D58" s="493">
        <f t="shared" ca="1" si="26"/>
        <v>38200</v>
      </c>
      <c r="E58" s="511">
        <v>18.451000000000001</v>
      </c>
      <c r="F58" s="511">
        <v>18.594999999999999</v>
      </c>
      <c r="G58" s="318"/>
      <c r="H58" s="490">
        <f t="shared" ca="1" si="0"/>
        <v>38200</v>
      </c>
      <c r="I58" s="491">
        <f t="shared" si="1"/>
        <v>2.012</v>
      </c>
      <c r="J58" s="492">
        <f t="shared" ca="1" si="2"/>
        <v>38200</v>
      </c>
      <c r="K58" s="491">
        <f t="shared" si="22"/>
        <v>18.594999999999999</v>
      </c>
      <c r="L58" s="486"/>
      <c r="M58" s="486"/>
      <c r="N58" s="486"/>
      <c r="O58" s="486"/>
      <c r="P58" s="486"/>
      <c r="Q58" s="486"/>
      <c r="R58" s="486"/>
      <c r="S58" s="486"/>
      <c r="T58" s="486"/>
      <c r="U58" s="486"/>
      <c r="V58" s="486"/>
      <c r="W58" s="486"/>
      <c r="X58" s="486"/>
      <c r="Y58" s="486"/>
      <c r="Z58" s="486"/>
      <c r="AA58" s="486"/>
      <c r="AB58" s="486"/>
      <c r="AC58" s="486"/>
      <c r="AD58" s="486"/>
      <c r="AE58" s="486"/>
      <c r="AF58" s="486"/>
      <c r="AG58" s="486"/>
      <c r="AH58" s="486"/>
      <c r="AI58" s="486"/>
      <c r="AJ58" s="486"/>
      <c r="AK58" s="486"/>
      <c r="AL58" s="486"/>
      <c r="AM58" s="486"/>
      <c r="AN58" s="486"/>
      <c r="AO58" s="486"/>
      <c r="AP58" s="486"/>
      <c r="AQ58" s="486"/>
      <c r="AR58" s="231"/>
    </row>
    <row r="59" spans="1:44" customFormat="1" ht="11.25">
      <c r="A59" s="493">
        <f t="shared" ca="1" si="25"/>
        <v>38231</v>
      </c>
      <c r="B59" s="511">
        <v>1.9530000000000001</v>
      </c>
      <c r="C59" s="511">
        <v>1.9630000000000001</v>
      </c>
      <c r="D59" s="493">
        <f t="shared" ca="1" si="26"/>
        <v>38231</v>
      </c>
      <c r="E59" s="511">
        <v>18.457999999999998</v>
      </c>
      <c r="F59" s="511">
        <v>18.606999999999999</v>
      </c>
      <c r="G59" s="318"/>
      <c r="H59" s="490">
        <f t="shared" ca="1" si="0"/>
        <v>38231</v>
      </c>
      <c r="I59" s="491">
        <f t="shared" si="1"/>
        <v>1.9630000000000001</v>
      </c>
      <c r="J59" s="492">
        <f t="shared" ca="1" si="2"/>
        <v>38231</v>
      </c>
      <c r="K59" s="491">
        <f t="shared" si="22"/>
        <v>18.606999999999999</v>
      </c>
      <c r="L59" s="486"/>
      <c r="M59" s="486"/>
      <c r="N59" s="486"/>
      <c r="O59" s="486"/>
      <c r="P59" s="486"/>
      <c r="Q59" s="486"/>
      <c r="R59" s="486"/>
      <c r="S59" s="486"/>
      <c r="T59" s="486"/>
      <c r="U59" s="486"/>
      <c r="V59" s="486"/>
      <c r="W59" s="486"/>
      <c r="X59" s="486"/>
      <c r="Y59" s="486"/>
      <c r="Z59" s="486"/>
      <c r="AA59" s="486"/>
      <c r="AB59" s="486"/>
      <c r="AC59" s="486"/>
      <c r="AD59" s="486"/>
      <c r="AE59" s="486"/>
      <c r="AF59" s="486"/>
      <c r="AG59" s="486"/>
      <c r="AH59" s="486"/>
      <c r="AI59" s="486"/>
      <c r="AJ59" s="486"/>
      <c r="AK59" s="486"/>
      <c r="AL59" s="486"/>
      <c r="AM59" s="486"/>
      <c r="AN59" s="486"/>
      <c r="AO59" s="486"/>
      <c r="AP59" s="486"/>
      <c r="AQ59" s="486"/>
      <c r="AR59" s="231"/>
    </row>
    <row r="60" spans="1:44" customFormat="1" ht="11.25">
      <c r="A60" s="493">
        <f t="shared" ca="1" si="25"/>
        <v>38261</v>
      </c>
      <c r="B60" s="511">
        <v>1.94</v>
      </c>
      <c r="C60" s="511">
        <v>1.95</v>
      </c>
      <c r="D60" s="493">
        <f t="shared" ca="1" si="26"/>
        <v>38261</v>
      </c>
      <c r="E60" s="511">
        <v>18.465</v>
      </c>
      <c r="F60" s="511">
        <v>18.62</v>
      </c>
      <c r="G60" s="318"/>
      <c r="H60" s="490">
        <f t="shared" ca="1" si="0"/>
        <v>38261</v>
      </c>
      <c r="I60" s="491">
        <f t="shared" si="1"/>
        <v>1.95</v>
      </c>
      <c r="J60" s="492">
        <f t="shared" ca="1" si="2"/>
        <v>38261</v>
      </c>
      <c r="K60" s="491">
        <f t="shared" si="22"/>
        <v>18.62</v>
      </c>
      <c r="L60" s="486"/>
      <c r="M60" s="486"/>
      <c r="N60" s="486"/>
      <c r="O60" s="486"/>
      <c r="P60" s="486"/>
      <c r="Q60" s="486"/>
      <c r="R60" s="486"/>
      <c r="S60" s="486"/>
      <c r="T60" s="486"/>
      <c r="U60" s="486"/>
      <c r="V60" s="486"/>
      <c r="W60" s="486"/>
      <c r="X60" s="486"/>
      <c r="Y60" s="486"/>
      <c r="Z60" s="486"/>
      <c r="AA60" s="486"/>
      <c r="AB60" s="486"/>
      <c r="AC60" s="486"/>
      <c r="AD60" s="486"/>
      <c r="AE60" s="486"/>
      <c r="AF60" s="486"/>
      <c r="AG60" s="486"/>
      <c r="AH60" s="486"/>
      <c r="AI60" s="486"/>
      <c r="AJ60" s="486"/>
      <c r="AK60" s="486"/>
      <c r="AL60" s="486"/>
      <c r="AM60" s="486"/>
      <c r="AN60" s="486"/>
      <c r="AO60" s="486"/>
      <c r="AP60" s="486"/>
      <c r="AQ60" s="486"/>
      <c r="AR60" s="231"/>
    </row>
    <row r="61" spans="1:44" customFormat="1" ht="11.25">
      <c r="A61" s="493">
        <f t="shared" ca="1" si="25"/>
        <v>38292</v>
      </c>
      <c r="B61" s="511">
        <v>1.948</v>
      </c>
      <c r="C61" s="511">
        <v>1.958</v>
      </c>
      <c r="D61" s="493">
        <f t="shared" ca="1" si="26"/>
        <v>38292</v>
      </c>
      <c r="E61" s="511">
        <v>18.472000000000001</v>
      </c>
      <c r="F61" s="511">
        <v>18.632000000000001</v>
      </c>
      <c r="G61" s="318"/>
      <c r="H61" s="490">
        <f t="shared" ca="1" si="0"/>
        <v>38292</v>
      </c>
      <c r="I61" s="491">
        <f t="shared" si="1"/>
        <v>1.958</v>
      </c>
      <c r="J61" s="492">
        <f t="shared" ca="1" si="2"/>
        <v>38292</v>
      </c>
      <c r="K61" s="491">
        <f t="shared" si="22"/>
        <v>18.632000000000001</v>
      </c>
      <c r="L61" s="486"/>
      <c r="M61" s="486"/>
      <c r="N61" s="486"/>
      <c r="O61" s="486"/>
      <c r="P61" s="486"/>
      <c r="Q61" s="486"/>
      <c r="R61" s="486"/>
      <c r="S61" s="486"/>
      <c r="T61" s="486"/>
      <c r="U61" s="486"/>
      <c r="V61" s="486"/>
      <c r="W61" s="486"/>
      <c r="X61" s="486"/>
      <c r="Y61" s="486"/>
      <c r="Z61" s="486"/>
      <c r="AA61" s="486"/>
      <c r="AB61" s="486"/>
      <c r="AC61" s="486"/>
      <c r="AD61" s="486"/>
      <c r="AE61" s="486"/>
      <c r="AF61" s="486"/>
      <c r="AG61" s="486"/>
      <c r="AH61" s="486"/>
      <c r="AI61" s="486"/>
      <c r="AJ61" s="486"/>
      <c r="AK61" s="486"/>
      <c r="AL61" s="486"/>
      <c r="AM61" s="486"/>
      <c r="AN61" s="486"/>
      <c r="AO61" s="486"/>
      <c r="AP61" s="486"/>
      <c r="AQ61" s="486"/>
      <c r="AR61" s="231"/>
    </row>
    <row r="62" spans="1:44" customFormat="1" ht="11.25">
      <c r="A62" s="493">
        <f t="shared" ca="1" si="25"/>
        <v>38322</v>
      </c>
      <c r="B62" s="511">
        <v>1.94</v>
      </c>
      <c r="C62" s="511">
        <v>1.95</v>
      </c>
      <c r="D62" s="493">
        <f t="shared" ca="1" si="26"/>
        <v>38322</v>
      </c>
      <c r="E62" s="511">
        <v>18.478999999999999</v>
      </c>
      <c r="F62" s="511">
        <v>18.643999999999998</v>
      </c>
      <c r="G62" s="318"/>
      <c r="H62" s="490">
        <f t="shared" ca="1" si="0"/>
        <v>38322</v>
      </c>
      <c r="I62" s="491">
        <f t="shared" si="1"/>
        <v>1.95</v>
      </c>
      <c r="J62" s="492">
        <f t="shared" ca="1" si="2"/>
        <v>38322</v>
      </c>
      <c r="K62" s="491">
        <f t="shared" si="22"/>
        <v>18.643999999999998</v>
      </c>
      <c r="L62" s="486"/>
      <c r="M62" s="486"/>
      <c r="N62" s="486"/>
      <c r="O62" s="486"/>
      <c r="P62" s="486"/>
      <c r="Q62" s="486"/>
      <c r="R62" s="486"/>
      <c r="S62" s="486"/>
      <c r="T62" s="486"/>
      <c r="U62" s="486"/>
      <c r="V62" s="486"/>
      <c r="W62" s="486"/>
      <c r="X62" s="486"/>
      <c r="Y62" s="486"/>
      <c r="Z62" s="486"/>
      <c r="AA62" s="486"/>
      <c r="AB62" s="486"/>
      <c r="AC62" s="486"/>
      <c r="AD62" s="486"/>
      <c r="AE62" s="486"/>
      <c r="AF62" s="486"/>
      <c r="AG62" s="486"/>
      <c r="AH62" s="486"/>
      <c r="AI62" s="486"/>
      <c r="AJ62" s="486"/>
      <c r="AK62" s="486"/>
      <c r="AL62" s="486"/>
      <c r="AM62" s="486"/>
      <c r="AN62" s="486"/>
      <c r="AO62" s="486"/>
      <c r="AP62" s="486"/>
      <c r="AQ62" s="486"/>
      <c r="AR62" s="231"/>
    </row>
    <row r="63" spans="1:44" customFormat="1" ht="11.25">
      <c r="A63" s="493">
        <f t="shared" ca="1" si="25"/>
        <v>38353</v>
      </c>
      <c r="B63" s="511">
        <v>1.94</v>
      </c>
      <c r="C63" s="511">
        <v>1.95</v>
      </c>
      <c r="D63" s="493">
        <f t="shared" ca="1" si="26"/>
        <v>38353</v>
      </c>
      <c r="E63" s="511">
        <v>18.486999999999998</v>
      </c>
      <c r="F63" s="511">
        <v>18.658000000000001</v>
      </c>
      <c r="G63" s="318"/>
      <c r="H63" s="490">
        <f t="shared" ca="1" si="0"/>
        <v>38353</v>
      </c>
      <c r="I63" s="491">
        <f t="shared" si="1"/>
        <v>1.95</v>
      </c>
      <c r="J63" s="492">
        <f t="shared" ca="1" si="2"/>
        <v>38353</v>
      </c>
      <c r="K63" s="491">
        <f t="shared" si="22"/>
        <v>18.658000000000001</v>
      </c>
      <c r="L63" s="486"/>
      <c r="M63" s="486"/>
      <c r="N63" s="486"/>
      <c r="O63" s="486"/>
      <c r="P63" s="486"/>
      <c r="Q63" s="486"/>
      <c r="R63" s="486"/>
      <c r="S63" s="486"/>
      <c r="T63" s="486"/>
      <c r="U63" s="486"/>
      <c r="V63" s="486"/>
      <c r="W63" s="486"/>
      <c r="X63" s="486"/>
      <c r="Y63" s="486"/>
      <c r="Z63" s="486"/>
      <c r="AA63" s="486"/>
      <c r="AB63" s="486"/>
      <c r="AC63" s="486"/>
      <c r="AD63" s="486"/>
      <c r="AE63" s="486"/>
      <c r="AF63" s="486"/>
      <c r="AG63" s="486"/>
      <c r="AH63" s="486"/>
      <c r="AI63" s="486"/>
      <c r="AJ63" s="486"/>
      <c r="AK63" s="486"/>
      <c r="AL63" s="486"/>
      <c r="AM63" s="486"/>
      <c r="AN63" s="486"/>
      <c r="AO63" s="486"/>
      <c r="AP63" s="486"/>
      <c r="AQ63" s="486"/>
      <c r="AR63" s="231"/>
    </row>
    <row r="64" spans="1:44" customFormat="1" ht="11.25">
      <c r="A64" s="497">
        <f t="shared" ca="1" si="25"/>
        <v>38384</v>
      </c>
      <c r="B64" s="511">
        <v>1.94</v>
      </c>
      <c r="C64" s="511">
        <v>1.95</v>
      </c>
      <c r="D64" s="497">
        <f t="shared" ca="1" si="26"/>
        <v>38384</v>
      </c>
      <c r="E64" s="511">
        <v>18.494</v>
      </c>
      <c r="F64" s="511">
        <v>18.670000000000002</v>
      </c>
      <c r="G64" s="318"/>
      <c r="H64" s="490">
        <f t="shared" ca="1" si="0"/>
        <v>38384</v>
      </c>
      <c r="I64" s="491">
        <f t="shared" si="1"/>
        <v>1.95</v>
      </c>
      <c r="J64" s="492">
        <f t="shared" ca="1" si="2"/>
        <v>38384</v>
      </c>
      <c r="K64" s="491">
        <f t="shared" si="22"/>
        <v>18.670000000000002</v>
      </c>
      <c r="L64" s="486"/>
      <c r="M64" s="486"/>
      <c r="N64" s="486"/>
      <c r="O64" s="486"/>
      <c r="P64" s="486"/>
      <c r="Q64" s="486"/>
      <c r="R64" s="486"/>
      <c r="S64" s="486"/>
      <c r="T64" s="486"/>
      <c r="U64" s="486"/>
      <c r="V64" s="486"/>
      <c r="W64" s="486"/>
      <c r="X64" s="486"/>
      <c r="Y64" s="486"/>
      <c r="Z64" s="486"/>
      <c r="AA64" s="486"/>
      <c r="AB64" s="486"/>
      <c r="AC64" s="486"/>
      <c r="AD64" s="486"/>
      <c r="AE64" s="486"/>
      <c r="AF64" s="486"/>
      <c r="AG64" s="486"/>
      <c r="AH64" s="486"/>
      <c r="AI64" s="486"/>
      <c r="AJ64" s="486"/>
      <c r="AK64" s="486"/>
      <c r="AL64" s="486"/>
      <c r="AM64" s="486"/>
      <c r="AN64" s="486"/>
      <c r="AO64" s="486"/>
      <c r="AP64" s="486"/>
      <c r="AQ64" s="486"/>
      <c r="AR64" s="231"/>
    </row>
    <row r="65" spans="1:44" customFormat="1" ht="11.25">
      <c r="A65" s="497">
        <f t="shared" ca="1" si="25"/>
        <v>38412</v>
      </c>
      <c r="B65" s="511">
        <v>1.94</v>
      </c>
      <c r="C65" s="511">
        <v>1.95</v>
      </c>
      <c r="D65" s="497">
        <f t="shared" ca="1" si="26"/>
        <v>38412</v>
      </c>
      <c r="E65" s="511">
        <v>18.5</v>
      </c>
      <c r="F65" s="511">
        <v>18.681999999999999</v>
      </c>
      <c r="G65" s="318"/>
      <c r="H65" s="490">
        <f t="shared" ca="1" si="0"/>
        <v>38412</v>
      </c>
      <c r="I65" s="491">
        <f t="shared" si="1"/>
        <v>1.95</v>
      </c>
      <c r="J65" s="492">
        <f t="shared" ca="1" si="2"/>
        <v>38412</v>
      </c>
      <c r="K65" s="491">
        <f t="shared" si="22"/>
        <v>18.681999999999999</v>
      </c>
      <c r="L65" s="486"/>
      <c r="M65" s="486"/>
      <c r="N65" s="486"/>
      <c r="O65" s="486"/>
      <c r="P65" s="486"/>
      <c r="Q65" s="486"/>
      <c r="R65" s="486"/>
      <c r="S65" s="486"/>
      <c r="T65" s="486"/>
      <c r="U65" s="486"/>
      <c r="V65" s="486"/>
      <c r="W65" s="486"/>
      <c r="X65" s="486"/>
      <c r="Y65" s="486"/>
      <c r="Z65" s="486"/>
      <c r="AA65" s="486"/>
      <c r="AB65" s="486"/>
      <c r="AC65" s="486"/>
      <c r="AD65" s="486"/>
      <c r="AE65" s="486"/>
      <c r="AF65" s="486"/>
      <c r="AG65" s="486"/>
      <c r="AH65" s="486"/>
      <c r="AI65" s="486"/>
      <c r="AJ65" s="486"/>
      <c r="AK65" s="486"/>
      <c r="AL65" s="486"/>
      <c r="AM65" s="486"/>
      <c r="AN65" s="486"/>
      <c r="AO65" s="486"/>
      <c r="AP65" s="486"/>
      <c r="AQ65" s="486"/>
      <c r="AR65" s="231"/>
    </row>
    <row r="66" spans="1:44" customFormat="1" ht="11.25">
      <c r="A66" s="493">
        <f t="shared" ca="1" si="25"/>
        <v>38443</v>
      </c>
      <c r="B66" s="511">
        <v>2.0140000000000002</v>
      </c>
      <c r="C66" s="511">
        <v>2.024</v>
      </c>
      <c r="D66" s="493">
        <f t="shared" ca="1" si="26"/>
        <v>38443</v>
      </c>
      <c r="E66" s="511">
        <v>18.507999999999999</v>
      </c>
      <c r="F66" s="511">
        <v>18.696000000000002</v>
      </c>
      <c r="G66" s="318"/>
      <c r="H66" s="490">
        <f t="shared" ca="1" si="0"/>
        <v>38443</v>
      </c>
      <c r="I66" s="491">
        <f t="shared" si="1"/>
        <v>2.024</v>
      </c>
      <c r="J66" s="492">
        <f t="shared" ca="1" si="2"/>
        <v>38443</v>
      </c>
      <c r="K66" s="491">
        <f t="shared" si="22"/>
        <v>18.696000000000002</v>
      </c>
      <c r="L66" s="486"/>
      <c r="M66" s="486"/>
      <c r="N66" s="486"/>
      <c r="O66" s="486"/>
      <c r="P66" s="486"/>
      <c r="Q66" s="486"/>
      <c r="R66" s="486"/>
      <c r="S66" s="486"/>
      <c r="T66" s="486"/>
      <c r="U66" s="486"/>
      <c r="V66" s="486"/>
      <c r="W66" s="486"/>
      <c r="X66" s="486"/>
      <c r="Y66" s="486"/>
      <c r="Z66" s="486"/>
      <c r="AA66" s="486"/>
      <c r="AB66" s="486"/>
      <c r="AC66" s="486"/>
      <c r="AD66" s="486"/>
      <c r="AE66" s="486"/>
      <c r="AF66" s="486"/>
      <c r="AG66" s="486"/>
      <c r="AH66" s="486"/>
      <c r="AI66" s="486"/>
      <c r="AJ66" s="486"/>
      <c r="AK66" s="486"/>
      <c r="AL66" s="486"/>
      <c r="AM66" s="486"/>
      <c r="AN66" s="486"/>
      <c r="AO66" s="486"/>
      <c r="AP66" s="486"/>
      <c r="AQ66" s="486"/>
      <c r="AR66" s="231"/>
    </row>
    <row r="67" spans="1:44" customFormat="1" ht="11.25">
      <c r="A67" s="493">
        <f t="shared" ca="1" si="25"/>
        <v>38473</v>
      </c>
      <c r="B67" s="511">
        <v>2.1320000000000001</v>
      </c>
      <c r="C67" s="511">
        <v>2.1419999999999999</v>
      </c>
      <c r="D67" s="493">
        <f t="shared" ca="1" si="26"/>
        <v>38473</v>
      </c>
      <c r="E67" s="511">
        <v>18.513000000000002</v>
      </c>
      <c r="F67" s="511">
        <v>18.71</v>
      </c>
      <c r="G67" s="318"/>
      <c r="H67" s="490">
        <f t="shared" ca="1" si="0"/>
        <v>38473</v>
      </c>
      <c r="I67" s="491">
        <f t="shared" si="1"/>
        <v>2.1419999999999999</v>
      </c>
      <c r="J67" s="492">
        <f t="shared" ca="1" si="2"/>
        <v>38473</v>
      </c>
      <c r="K67" s="491">
        <f t="shared" si="22"/>
        <v>18.71</v>
      </c>
      <c r="L67" s="486"/>
      <c r="M67" s="486"/>
      <c r="N67" s="486"/>
      <c r="O67" s="486"/>
      <c r="P67" s="486"/>
      <c r="Q67" s="486"/>
      <c r="R67" s="486"/>
      <c r="S67" s="486"/>
      <c r="T67" s="486"/>
      <c r="U67" s="486"/>
      <c r="V67" s="486"/>
      <c r="W67" s="486"/>
      <c r="X67" s="486"/>
      <c r="Y67" s="486"/>
      <c r="Z67" s="486"/>
      <c r="AA67" s="486"/>
      <c r="AB67" s="486"/>
      <c r="AC67" s="486"/>
      <c r="AD67" s="486"/>
      <c r="AE67" s="486"/>
      <c r="AF67" s="486"/>
      <c r="AG67" s="486"/>
      <c r="AH67" s="486"/>
      <c r="AI67" s="486"/>
      <c r="AJ67" s="486"/>
      <c r="AK67" s="486"/>
      <c r="AL67" s="486"/>
      <c r="AM67" s="486"/>
      <c r="AN67" s="486"/>
      <c r="AO67" s="486"/>
      <c r="AP67" s="486"/>
      <c r="AQ67" s="486"/>
      <c r="AR67" s="231"/>
    </row>
    <row r="68" spans="1:44" customFormat="1" ht="11.25">
      <c r="A68" s="493">
        <f t="shared" ca="1" si="25"/>
        <v>38504</v>
      </c>
      <c r="B68" s="511">
        <v>2.1529999999999996</v>
      </c>
      <c r="C68" s="511">
        <v>2.1729999999999996</v>
      </c>
      <c r="D68" s="493">
        <f t="shared" ca="1" si="26"/>
        <v>38504</v>
      </c>
      <c r="E68" s="511">
        <v>18.518999999999998</v>
      </c>
      <c r="F68" s="511">
        <v>18.724</v>
      </c>
      <c r="G68" s="318"/>
      <c r="H68" s="490">
        <f t="shared" ca="1" si="0"/>
        <v>38504</v>
      </c>
      <c r="I68" s="491">
        <f t="shared" si="1"/>
        <v>2.1729999999999996</v>
      </c>
      <c r="J68" s="492">
        <f t="shared" ca="1" si="2"/>
        <v>38504</v>
      </c>
      <c r="K68" s="491">
        <f t="shared" si="22"/>
        <v>18.724</v>
      </c>
      <c r="L68" s="486"/>
      <c r="M68" s="486"/>
      <c r="N68" s="486"/>
      <c r="O68" s="486"/>
      <c r="P68" s="486"/>
      <c r="Q68" s="486"/>
      <c r="R68" s="486"/>
      <c r="S68" s="486"/>
      <c r="T68" s="486"/>
      <c r="U68" s="486"/>
      <c r="V68" s="486"/>
      <c r="W68" s="486"/>
      <c r="X68" s="486"/>
      <c r="Y68" s="486"/>
      <c r="Z68" s="486"/>
      <c r="AA68" s="486"/>
      <c r="AB68" s="486"/>
      <c r="AC68" s="486"/>
      <c r="AD68" s="486"/>
      <c r="AE68" s="486"/>
      <c r="AF68" s="486"/>
      <c r="AG68" s="486"/>
      <c r="AH68" s="486"/>
      <c r="AI68" s="486"/>
      <c r="AJ68" s="486"/>
      <c r="AK68" s="486"/>
      <c r="AL68" s="486"/>
      <c r="AM68" s="486"/>
      <c r="AN68" s="486"/>
      <c r="AO68" s="486"/>
      <c r="AP68" s="486"/>
      <c r="AQ68" s="486"/>
      <c r="AR68" s="231"/>
    </row>
    <row r="69" spans="1:44" customFormat="1" ht="11.25">
      <c r="A69" s="493">
        <f t="shared" ca="1" si="25"/>
        <v>38534</v>
      </c>
      <c r="B69" s="511">
        <v>2.0679999999999996</v>
      </c>
      <c r="C69" s="511">
        <v>2.0879999999999996</v>
      </c>
      <c r="D69" s="493">
        <f t="shared" ca="1" si="26"/>
        <v>38534</v>
      </c>
      <c r="E69" s="511">
        <v>18.524999999999999</v>
      </c>
      <c r="F69" s="511">
        <v>18.738</v>
      </c>
      <c r="G69" s="318"/>
      <c r="H69" s="490">
        <f t="shared" ca="1" si="0"/>
        <v>38534</v>
      </c>
      <c r="I69" s="491">
        <f t="shared" si="1"/>
        <v>2.0879999999999996</v>
      </c>
      <c r="J69" s="492">
        <f t="shared" ca="1" si="2"/>
        <v>38534</v>
      </c>
      <c r="K69" s="491">
        <f t="shared" si="22"/>
        <v>18.738</v>
      </c>
      <c r="L69" s="486"/>
      <c r="M69" s="486"/>
      <c r="N69" s="486"/>
      <c r="O69" s="486"/>
      <c r="P69" s="486"/>
      <c r="Q69" s="486"/>
      <c r="R69" s="486"/>
      <c r="S69" s="486"/>
      <c r="T69" s="486"/>
      <c r="U69" s="486"/>
      <c r="V69" s="486"/>
      <c r="W69" s="486"/>
      <c r="X69" s="486"/>
      <c r="Y69" s="486"/>
      <c r="Z69" s="486"/>
      <c r="AA69" s="486"/>
      <c r="AB69" s="486"/>
      <c r="AC69" s="486"/>
      <c r="AD69" s="486"/>
      <c r="AE69" s="486"/>
      <c r="AF69" s="486"/>
      <c r="AG69" s="486"/>
      <c r="AH69" s="486"/>
      <c r="AI69" s="486"/>
      <c r="AJ69" s="486"/>
      <c r="AK69" s="486"/>
      <c r="AL69" s="486"/>
      <c r="AM69" s="486"/>
      <c r="AN69" s="486"/>
      <c r="AO69" s="486"/>
      <c r="AP69" s="486"/>
      <c r="AQ69" s="486"/>
      <c r="AR69" s="231"/>
    </row>
    <row r="70" spans="1:44" customFormat="1" ht="11.25">
      <c r="A70" s="493">
        <f t="shared" ca="1" si="25"/>
        <v>38565</v>
      </c>
      <c r="B70" s="511">
        <v>2.0019999999999998</v>
      </c>
      <c r="C70" s="511">
        <v>2.0219999999999998</v>
      </c>
      <c r="D70" s="493">
        <f t="shared" ca="1" si="26"/>
        <v>38565</v>
      </c>
      <c r="E70" s="511">
        <v>18.53</v>
      </c>
      <c r="F70" s="511">
        <v>18.751000000000001</v>
      </c>
      <c r="G70" s="318"/>
      <c r="H70" s="490">
        <f t="shared" ref="H70:H133" ca="1" si="27">A70</f>
        <v>38565</v>
      </c>
      <c r="I70" s="491">
        <f t="shared" ref="I70:I133" si="28">IF($J$1="bid",B70,C70)</f>
        <v>2.0219999999999998</v>
      </c>
      <c r="J70" s="492">
        <f t="shared" ref="J70:J133" ca="1" si="29">D70</f>
        <v>38565</v>
      </c>
      <c r="K70" s="491">
        <f t="shared" ref="K70:K101" si="30">IF($J$1="bid",E70,F70)</f>
        <v>18.751000000000001</v>
      </c>
      <c r="L70" s="486"/>
      <c r="M70" s="486"/>
      <c r="N70" s="486"/>
      <c r="O70" s="486"/>
      <c r="P70" s="486"/>
      <c r="Q70" s="486"/>
      <c r="R70" s="486"/>
      <c r="S70" s="486"/>
      <c r="T70" s="486"/>
      <c r="U70" s="486"/>
      <c r="V70" s="486"/>
      <c r="W70" s="486"/>
      <c r="X70" s="486"/>
      <c r="Y70" s="486"/>
      <c r="Z70" s="486"/>
      <c r="AA70" s="486"/>
      <c r="AB70" s="486"/>
      <c r="AC70" s="486"/>
      <c r="AD70" s="486"/>
      <c r="AE70" s="486"/>
      <c r="AF70" s="486"/>
      <c r="AG70" s="486"/>
      <c r="AH70" s="486"/>
      <c r="AI70" s="486"/>
      <c r="AJ70" s="486"/>
      <c r="AK70" s="486"/>
      <c r="AL70" s="486"/>
      <c r="AM70" s="486"/>
      <c r="AN70" s="486"/>
      <c r="AO70" s="486"/>
      <c r="AP70" s="486"/>
      <c r="AQ70" s="486"/>
      <c r="AR70" s="231"/>
    </row>
    <row r="71" spans="1:44" customFormat="1" ht="11.25">
      <c r="A71" s="497">
        <f t="shared" ref="A71:A86" ca="1" si="31">DATE(YEAR(A70),MONTH(A70)+1,1)</f>
        <v>38596</v>
      </c>
      <c r="B71" s="511">
        <v>1.9529999999999998</v>
      </c>
      <c r="C71" s="511">
        <v>1.9729999999999999</v>
      </c>
      <c r="D71" s="497">
        <f t="shared" ref="D71:D86" ca="1" si="32">DATE(YEAR(D70),MONTH(D70)+1,1)</f>
        <v>38596</v>
      </c>
      <c r="E71" s="511">
        <v>18.536000000000001</v>
      </c>
      <c r="F71" s="511">
        <v>18.765000000000001</v>
      </c>
      <c r="G71" s="318"/>
      <c r="H71" s="490">
        <f t="shared" ca="1" si="27"/>
        <v>38596</v>
      </c>
      <c r="I71" s="491">
        <f t="shared" si="28"/>
        <v>1.9729999999999999</v>
      </c>
      <c r="J71" s="492">
        <f t="shared" ca="1" si="29"/>
        <v>38596</v>
      </c>
      <c r="K71" s="491">
        <f t="shared" si="30"/>
        <v>18.765000000000001</v>
      </c>
      <c r="L71" s="486"/>
      <c r="M71" s="486"/>
      <c r="N71" s="486"/>
      <c r="O71" s="486"/>
      <c r="P71" s="486"/>
      <c r="Q71" s="486"/>
      <c r="R71" s="486"/>
      <c r="S71" s="486"/>
      <c r="T71" s="486"/>
      <c r="U71" s="486"/>
      <c r="V71" s="486"/>
      <c r="W71" s="486"/>
      <c r="X71" s="486"/>
      <c r="Y71" s="486"/>
      <c r="Z71" s="486"/>
      <c r="AA71" s="486"/>
      <c r="AB71" s="486"/>
      <c r="AC71" s="486"/>
      <c r="AD71" s="486"/>
      <c r="AE71" s="486"/>
      <c r="AF71" s="486"/>
      <c r="AG71" s="486"/>
      <c r="AH71" s="486"/>
      <c r="AI71" s="486"/>
      <c r="AJ71" s="486"/>
      <c r="AK71" s="486"/>
      <c r="AL71" s="486"/>
      <c r="AM71" s="486"/>
      <c r="AN71" s="486"/>
      <c r="AO71" s="486"/>
      <c r="AP71" s="486"/>
      <c r="AQ71" s="486"/>
      <c r="AR71" s="231"/>
    </row>
    <row r="72" spans="1:44" customFormat="1" ht="11.25">
      <c r="A72" s="497">
        <f t="shared" ca="1" si="31"/>
        <v>38626</v>
      </c>
      <c r="B72" s="511">
        <v>1.94</v>
      </c>
      <c r="C72" s="511">
        <v>1.96</v>
      </c>
      <c r="D72" s="497">
        <f t="shared" ca="1" si="32"/>
        <v>38626</v>
      </c>
      <c r="E72" s="511">
        <v>18.542000000000002</v>
      </c>
      <c r="F72" s="511">
        <v>18.780999999999999</v>
      </c>
      <c r="G72" s="318"/>
      <c r="H72" s="490">
        <f t="shared" ca="1" si="27"/>
        <v>38626</v>
      </c>
      <c r="I72" s="491">
        <f t="shared" si="28"/>
        <v>1.96</v>
      </c>
      <c r="J72" s="492">
        <f t="shared" ca="1" si="29"/>
        <v>38626</v>
      </c>
      <c r="K72" s="491">
        <f t="shared" si="30"/>
        <v>18.780999999999999</v>
      </c>
      <c r="L72" s="486"/>
      <c r="M72" s="486"/>
      <c r="N72" s="486"/>
      <c r="O72" s="486"/>
      <c r="P72" s="486"/>
      <c r="Q72" s="486"/>
      <c r="R72" s="486"/>
      <c r="S72" s="486"/>
      <c r="T72" s="486"/>
      <c r="U72" s="486"/>
      <c r="V72" s="486"/>
      <c r="W72" s="486"/>
      <c r="X72" s="486"/>
      <c r="Y72" s="486"/>
      <c r="Z72" s="486"/>
      <c r="AA72" s="486"/>
      <c r="AB72" s="486"/>
      <c r="AC72" s="486"/>
      <c r="AD72" s="486"/>
      <c r="AE72" s="486"/>
      <c r="AF72" s="486"/>
      <c r="AG72" s="486"/>
      <c r="AH72" s="486"/>
      <c r="AI72" s="486"/>
      <c r="AJ72" s="486"/>
      <c r="AK72" s="486"/>
      <c r="AL72" s="486"/>
      <c r="AM72" s="486"/>
      <c r="AN72" s="486"/>
      <c r="AO72" s="486"/>
      <c r="AP72" s="486"/>
      <c r="AQ72" s="486"/>
      <c r="AR72" s="231"/>
    </row>
    <row r="73" spans="1:44" customFormat="1" ht="11.25">
      <c r="A73" s="493">
        <f t="shared" ca="1" si="31"/>
        <v>38657</v>
      </c>
      <c r="B73" s="511">
        <v>1.9479999999999997</v>
      </c>
      <c r="C73" s="511">
        <v>1.9679999999999997</v>
      </c>
      <c r="D73" s="493">
        <f t="shared" ca="1" si="32"/>
        <v>38657</v>
      </c>
      <c r="E73" s="511">
        <v>18.547999999999998</v>
      </c>
      <c r="F73" s="511">
        <v>18.794</v>
      </c>
      <c r="G73" s="318"/>
      <c r="H73" s="490">
        <f t="shared" ca="1" si="27"/>
        <v>38657</v>
      </c>
      <c r="I73" s="491">
        <f t="shared" si="28"/>
        <v>1.9679999999999997</v>
      </c>
      <c r="J73" s="492">
        <f t="shared" ca="1" si="29"/>
        <v>38657</v>
      </c>
      <c r="K73" s="491">
        <f t="shared" si="30"/>
        <v>18.794</v>
      </c>
      <c r="L73" s="486"/>
      <c r="M73" s="486"/>
      <c r="N73" s="486"/>
      <c r="O73" s="486"/>
      <c r="P73" s="486"/>
      <c r="Q73" s="486"/>
      <c r="R73" s="486"/>
      <c r="S73" s="486"/>
      <c r="T73" s="486"/>
      <c r="U73" s="486"/>
      <c r="V73" s="486"/>
      <c r="W73" s="486"/>
      <c r="X73" s="486"/>
      <c r="Y73" s="486"/>
      <c r="Z73" s="486"/>
      <c r="AA73" s="486"/>
      <c r="AB73" s="486"/>
      <c r="AC73" s="486"/>
      <c r="AD73" s="486"/>
      <c r="AE73" s="486"/>
      <c r="AF73" s="486"/>
      <c r="AG73" s="486"/>
      <c r="AH73" s="486"/>
      <c r="AI73" s="486"/>
      <c r="AJ73" s="486"/>
      <c r="AK73" s="486"/>
      <c r="AL73" s="486"/>
      <c r="AM73" s="486"/>
      <c r="AN73" s="486"/>
      <c r="AO73" s="486"/>
      <c r="AP73" s="486"/>
      <c r="AQ73" s="486"/>
      <c r="AR73" s="231"/>
    </row>
    <row r="74" spans="1:44" customFormat="1" ht="11.25">
      <c r="A74" s="493">
        <f t="shared" ca="1" si="31"/>
        <v>38687</v>
      </c>
      <c r="B74" s="511">
        <v>1.94</v>
      </c>
      <c r="C74" s="511">
        <v>1.96</v>
      </c>
      <c r="D74" s="493">
        <f t="shared" ca="1" si="32"/>
        <v>38687</v>
      </c>
      <c r="E74" s="511">
        <v>18.553999999999998</v>
      </c>
      <c r="F74" s="511">
        <v>18.808</v>
      </c>
      <c r="G74" s="318"/>
      <c r="H74" s="490">
        <f t="shared" ca="1" si="27"/>
        <v>38687</v>
      </c>
      <c r="I74" s="491">
        <f t="shared" si="28"/>
        <v>1.96</v>
      </c>
      <c r="J74" s="492">
        <f t="shared" ca="1" si="29"/>
        <v>38687</v>
      </c>
      <c r="K74" s="491">
        <f t="shared" si="30"/>
        <v>18.808</v>
      </c>
      <c r="L74" s="486"/>
      <c r="M74" s="486"/>
      <c r="N74" s="486"/>
      <c r="O74" s="486"/>
      <c r="P74" s="486"/>
      <c r="Q74" s="486"/>
      <c r="R74" s="486"/>
      <c r="S74" s="486"/>
      <c r="T74" s="486"/>
      <c r="U74" s="486"/>
      <c r="V74" s="486"/>
      <c r="W74" s="486"/>
      <c r="X74" s="486"/>
      <c r="Y74" s="486"/>
      <c r="Z74" s="486"/>
      <c r="AA74" s="486"/>
      <c r="AB74" s="486"/>
      <c r="AC74" s="486"/>
      <c r="AD74" s="486"/>
      <c r="AE74" s="486"/>
      <c r="AF74" s="486"/>
      <c r="AG74" s="486"/>
      <c r="AH74" s="486"/>
      <c r="AI74" s="486"/>
      <c r="AJ74" s="486"/>
      <c r="AK74" s="486"/>
      <c r="AL74" s="486"/>
      <c r="AM74" s="486"/>
      <c r="AN74" s="486"/>
      <c r="AO74" s="486"/>
      <c r="AP74" s="486"/>
      <c r="AQ74" s="486"/>
      <c r="AR74" s="231"/>
    </row>
    <row r="75" spans="1:44" customFormat="1" ht="11.25">
      <c r="A75" s="493">
        <f t="shared" ca="1" si="31"/>
        <v>38718</v>
      </c>
      <c r="B75" s="511">
        <v>1.94</v>
      </c>
      <c r="C75" s="511">
        <v>1.96</v>
      </c>
      <c r="D75" s="493">
        <f t="shared" ca="1" si="32"/>
        <v>38718</v>
      </c>
      <c r="E75" s="511">
        <v>18.559999999999999</v>
      </c>
      <c r="F75" s="511">
        <v>18.823</v>
      </c>
      <c r="G75" s="318"/>
      <c r="H75" s="490">
        <f t="shared" ca="1" si="27"/>
        <v>38718</v>
      </c>
      <c r="I75" s="491">
        <f t="shared" si="28"/>
        <v>1.96</v>
      </c>
      <c r="J75" s="492">
        <f t="shared" ca="1" si="29"/>
        <v>38718</v>
      </c>
      <c r="K75" s="491">
        <f t="shared" si="30"/>
        <v>18.823</v>
      </c>
      <c r="L75" s="486"/>
      <c r="M75" s="486"/>
      <c r="N75" s="486"/>
      <c r="O75" s="486"/>
      <c r="P75" s="486"/>
      <c r="Q75" s="486"/>
      <c r="R75" s="486"/>
      <c r="S75" s="486"/>
      <c r="T75" s="486"/>
      <c r="U75" s="486"/>
      <c r="V75" s="486"/>
      <c r="W75" s="486"/>
      <c r="X75" s="486"/>
      <c r="Y75" s="486"/>
      <c r="Z75" s="486"/>
      <c r="AA75" s="486"/>
      <c r="AB75" s="486"/>
      <c r="AC75" s="486"/>
      <c r="AD75" s="486"/>
      <c r="AE75" s="486"/>
      <c r="AF75" s="486"/>
      <c r="AG75" s="486"/>
      <c r="AH75" s="486"/>
      <c r="AI75" s="486"/>
      <c r="AJ75" s="486"/>
      <c r="AK75" s="486"/>
      <c r="AL75" s="486"/>
      <c r="AM75" s="486"/>
      <c r="AN75" s="486"/>
      <c r="AO75" s="486"/>
      <c r="AP75" s="486"/>
      <c r="AQ75" s="486"/>
      <c r="AR75" s="231"/>
    </row>
    <row r="76" spans="1:44" customFormat="1" ht="11.25">
      <c r="A76" s="493">
        <f t="shared" ca="1" si="31"/>
        <v>38749</v>
      </c>
      <c r="B76" s="511">
        <v>1.94</v>
      </c>
      <c r="C76" s="511">
        <v>1.96</v>
      </c>
      <c r="D76" s="493">
        <f t="shared" ca="1" si="32"/>
        <v>38749</v>
      </c>
      <c r="E76" s="511">
        <v>18.565000000000001</v>
      </c>
      <c r="F76" s="511">
        <v>18.835999999999999</v>
      </c>
      <c r="G76" s="318"/>
      <c r="H76" s="490">
        <f t="shared" ca="1" si="27"/>
        <v>38749</v>
      </c>
      <c r="I76" s="491">
        <f t="shared" si="28"/>
        <v>1.96</v>
      </c>
      <c r="J76" s="492">
        <f t="shared" ca="1" si="29"/>
        <v>38749</v>
      </c>
      <c r="K76" s="491">
        <f t="shared" si="30"/>
        <v>18.835999999999999</v>
      </c>
      <c r="L76" s="486"/>
      <c r="M76" s="486"/>
      <c r="N76" s="486"/>
      <c r="O76" s="486"/>
      <c r="P76" s="486"/>
      <c r="Q76" s="486"/>
      <c r="R76" s="486"/>
      <c r="S76" s="486"/>
      <c r="T76" s="486"/>
      <c r="U76" s="486"/>
      <c r="V76" s="486"/>
      <c r="W76" s="486"/>
      <c r="X76" s="486"/>
      <c r="Y76" s="486"/>
      <c r="Z76" s="486"/>
      <c r="AA76" s="486"/>
      <c r="AB76" s="486"/>
      <c r="AC76" s="486"/>
      <c r="AD76" s="486"/>
      <c r="AE76" s="486"/>
      <c r="AF76" s="486"/>
      <c r="AG76" s="486"/>
      <c r="AH76" s="486"/>
      <c r="AI76" s="486"/>
      <c r="AJ76" s="486"/>
      <c r="AK76" s="486"/>
      <c r="AL76" s="486"/>
      <c r="AM76" s="486"/>
      <c r="AN76" s="486"/>
      <c r="AO76" s="486"/>
      <c r="AP76" s="486"/>
      <c r="AQ76" s="486"/>
      <c r="AR76" s="231"/>
    </row>
    <row r="77" spans="1:44" customFormat="1" ht="11.25">
      <c r="A77" s="493">
        <f t="shared" ca="1" si="31"/>
        <v>38777</v>
      </c>
      <c r="B77" s="511">
        <v>1.94</v>
      </c>
      <c r="C77" s="511">
        <v>1.96</v>
      </c>
      <c r="D77" s="493">
        <f t="shared" ca="1" si="32"/>
        <v>38777</v>
      </c>
      <c r="E77" s="511">
        <v>18.571000000000002</v>
      </c>
      <c r="F77" s="511">
        <v>18.850999999999999</v>
      </c>
      <c r="G77" s="318"/>
      <c r="H77" s="490">
        <f t="shared" ca="1" si="27"/>
        <v>38777</v>
      </c>
      <c r="I77" s="491">
        <f t="shared" si="28"/>
        <v>1.96</v>
      </c>
      <c r="J77" s="492">
        <f t="shared" ca="1" si="29"/>
        <v>38777</v>
      </c>
      <c r="K77" s="491">
        <f t="shared" si="30"/>
        <v>18.850999999999999</v>
      </c>
      <c r="L77" s="486"/>
      <c r="M77" s="486"/>
      <c r="N77" s="486"/>
      <c r="O77" s="486"/>
      <c r="P77" s="486"/>
      <c r="Q77" s="486"/>
      <c r="R77" s="486"/>
      <c r="S77" s="486"/>
      <c r="T77" s="486"/>
      <c r="U77" s="486"/>
      <c r="V77" s="486"/>
      <c r="W77" s="486"/>
      <c r="X77" s="486"/>
      <c r="Y77" s="486"/>
      <c r="Z77" s="486"/>
      <c r="AA77" s="486"/>
      <c r="AB77" s="486"/>
      <c r="AC77" s="486"/>
      <c r="AD77" s="486"/>
      <c r="AE77" s="486"/>
      <c r="AF77" s="486"/>
      <c r="AG77" s="486"/>
      <c r="AH77" s="486"/>
      <c r="AI77" s="486"/>
      <c r="AJ77" s="486"/>
      <c r="AK77" s="486"/>
      <c r="AL77" s="486"/>
      <c r="AM77" s="486"/>
      <c r="AN77" s="486"/>
      <c r="AO77" s="486"/>
      <c r="AP77" s="486"/>
      <c r="AQ77" s="486"/>
      <c r="AR77" s="231"/>
    </row>
    <row r="78" spans="1:44" customFormat="1" ht="11.25">
      <c r="A78" s="493">
        <f t="shared" ca="1" si="31"/>
        <v>38808</v>
      </c>
      <c r="B78" s="511">
        <v>2.0139999999999998</v>
      </c>
      <c r="C78" s="511">
        <v>2.0339999999999998</v>
      </c>
      <c r="D78" s="493">
        <f t="shared" ca="1" si="32"/>
        <v>38808</v>
      </c>
      <c r="E78" s="511">
        <v>18.577999999999999</v>
      </c>
      <c r="F78" s="511">
        <v>18.866</v>
      </c>
      <c r="G78" s="318"/>
      <c r="H78" s="490">
        <f t="shared" ca="1" si="27"/>
        <v>38808</v>
      </c>
      <c r="I78" s="491">
        <f t="shared" si="28"/>
        <v>2.0339999999999998</v>
      </c>
      <c r="J78" s="492">
        <f t="shared" ca="1" si="29"/>
        <v>38808</v>
      </c>
      <c r="K78" s="491">
        <f t="shared" si="30"/>
        <v>18.866</v>
      </c>
      <c r="L78" s="486"/>
      <c r="M78" s="486"/>
      <c r="N78" s="486"/>
      <c r="O78" s="486"/>
      <c r="P78" s="486"/>
      <c r="Q78" s="486"/>
      <c r="R78" s="486"/>
      <c r="S78" s="486"/>
      <c r="T78" s="486"/>
      <c r="U78" s="486"/>
      <c r="V78" s="486"/>
      <c r="W78" s="486"/>
      <c r="X78" s="486"/>
      <c r="Y78" s="486"/>
      <c r="Z78" s="486"/>
      <c r="AA78" s="486"/>
      <c r="AB78" s="486"/>
      <c r="AC78" s="486"/>
      <c r="AD78" s="486"/>
      <c r="AE78" s="486"/>
      <c r="AF78" s="486"/>
      <c r="AG78" s="486"/>
      <c r="AH78" s="486"/>
      <c r="AI78" s="486"/>
      <c r="AJ78" s="486"/>
      <c r="AK78" s="486"/>
      <c r="AL78" s="486"/>
      <c r="AM78" s="486"/>
      <c r="AN78" s="486"/>
      <c r="AO78" s="486"/>
      <c r="AP78" s="486"/>
      <c r="AQ78" s="486"/>
      <c r="AR78" s="231"/>
    </row>
    <row r="79" spans="1:44" customFormat="1" ht="11.25">
      <c r="A79" s="497">
        <f t="shared" ca="1" si="31"/>
        <v>38838</v>
      </c>
      <c r="B79" s="511">
        <v>2.1319999999999997</v>
      </c>
      <c r="C79" s="511">
        <v>2.1519999999999997</v>
      </c>
      <c r="D79" s="497">
        <f t="shared" ca="1" si="32"/>
        <v>38838</v>
      </c>
      <c r="E79" s="511">
        <v>18.585000000000001</v>
      </c>
      <c r="F79" s="511">
        <v>18.882000000000001</v>
      </c>
      <c r="G79" s="318"/>
      <c r="H79" s="490">
        <f t="shared" ca="1" si="27"/>
        <v>38838</v>
      </c>
      <c r="I79" s="491">
        <f t="shared" si="28"/>
        <v>2.1519999999999997</v>
      </c>
      <c r="J79" s="492">
        <f t="shared" ca="1" si="29"/>
        <v>38838</v>
      </c>
      <c r="K79" s="491">
        <f t="shared" si="30"/>
        <v>18.882000000000001</v>
      </c>
      <c r="L79" s="486"/>
      <c r="M79" s="486"/>
      <c r="N79" s="486"/>
      <c r="O79" s="486"/>
      <c r="P79" s="486"/>
      <c r="Q79" s="486"/>
      <c r="R79" s="486"/>
      <c r="S79" s="486"/>
      <c r="T79" s="486"/>
      <c r="U79" s="486"/>
      <c r="V79" s="486"/>
      <c r="W79" s="486"/>
      <c r="X79" s="486"/>
      <c r="Y79" s="486"/>
      <c r="Z79" s="486"/>
      <c r="AA79" s="486"/>
      <c r="AB79" s="486"/>
      <c r="AC79" s="486"/>
      <c r="AD79" s="486"/>
      <c r="AE79" s="486"/>
      <c r="AF79" s="486"/>
      <c r="AG79" s="486"/>
      <c r="AH79" s="486"/>
      <c r="AI79" s="486"/>
      <c r="AJ79" s="486"/>
      <c r="AK79" s="486"/>
      <c r="AL79" s="486"/>
      <c r="AM79" s="486"/>
      <c r="AN79" s="486"/>
      <c r="AO79" s="486"/>
      <c r="AP79" s="486"/>
      <c r="AQ79" s="486"/>
      <c r="AR79" s="231"/>
    </row>
    <row r="80" spans="1:44" customFormat="1" ht="11.25">
      <c r="A80" s="497">
        <f t="shared" ca="1" si="31"/>
        <v>38869</v>
      </c>
      <c r="B80" s="511">
        <v>2.1679999999999997</v>
      </c>
      <c r="C80" s="511">
        <v>2.1929999999999996</v>
      </c>
      <c r="D80" s="497">
        <f t="shared" ca="1" si="32"/>
        <v>38869</v>
      </c>
      <c r="E80" s="511">
        <v>18.593</v>
      </c>
      <c r="F80" s="511">
        <v>18.899000000000001</v>
      </c>
      <c r="G80" s="318"/>
      <c r="H80" s="490">
        <f t="shared" ca="1" si="27"/>
        <v>38869</v>
      </c>
      <c r="I80" s="491">
        <f t="shared" si="28"/>
        <v>2.1929999999999996</v>
      </c>
      <c r="J80" s="492">
        <f t="shared" ca="1" si="29"/>
        <v>38869</v>
      </c>
      <c r="K80" s="491">
        <f t="shared" si="30"/>
        <v>18.899000000000001</v>
      </c>
      <c r="L80" s="486"/>
      <c r="M80" s="486"/>
      <c r="N80" s="486"/>
      <c r="O80" s="486"/>
      <c r="P80" s="486"/>
      <c r="Q80" s="486"/>
      <c r="R80" s="486"/>
      <c r="S80" s="486"/>
      <c r="T80" s="486"/>
      <c r="U80" s="486"/>
      <c r="V80" s="486"/>
      <c r="W80" s="486"/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486"/>
      <c r="AI80" s="486"/>
      <c r="AJ80" s="486"/>
      <c r="AK80" s="486"/>
      <c r="AL80" s="486"/>
      <c r="AM80" s="486"/>
      <c r="AN80" s="486"/>
      <c r="AO80" s="486"/>
      <c r="AP80" s="486"/>
      <c r="AQ80" s="486"/>
      <c r="AR80" s="231"/>
    </row>
    <row r="81" spans="1:44" customFormat="1" ht="11.25">
      <c r="A81" s="497">
        <f t="shared" ca="1" si="31"/>
        <v>38899</v>
      </c>
      <c r="B81" s="511">
        <v>2.0829999999999997</v>
      </c>
      <c r="C81" s="511">
        <v>2.1079999999999997</v>
      </c>
      <c r="D81" s="497">
        <f t="shared" ca="1" si="32"/>
        <v>38899</v>
      </c>
      <c r="E81" s="511">
        <v>18.600000000000001</v>
      </c>
      <c r="F81" s="511">
        <v>18.914000000000001</v>
      </c>
      <c r="G81" s="318"/>
      <c r="H81" s="490">
        <f t="shared" ca="1" si="27"/>
        <v>38899</v>
      </c>
      <c r="I81" s="491">
        <f t="shared" si="28"/>
        <v>2.1079999999999997</v>
      </c>
      <c r="J81" s="492">
        <f t="shared" ca="1" si="29"/>
        <v>38899</v>
      </c>
      <c r="K81" s="491">
        <f t="shared" si="30"/>
        <v>18.914000000000001</v>
      </c>
      <c r="L81" s="486"/>
      <c r="M81" s="486"/>
      <c r="N81" s="486"/>
      <c r="O81" s="486"/>
      <c r="P81" s="486"/>
      <c r="Q81" s="486"/>
      <c r="R81" s="486"/>
      <c r="S81" s="486"/>
      <c r="T81" s="486"/>
      <c r="U81" s="486"/>
      <c r="V81" s="486"/>
      <c r="W81" s="486"/>
      <c r="X81" s="486"/>
      <c r="Y81" s="486"/>
      <c r="Z81" s="486"/>
      <c r="AA81" s="486"/>
      <c r="AB81" s="486"/>
      <c r="AC81" s="486"/>
      <c r="AD81" s="486"/>
      <c r="AE81" s="486"/>
      <c r="AF81" s="486"/>
      <c r="AG81" s="486"/>
      <c r="AH81" s="486"/>
      <c r="AI81" s="486"/>
      <c r="AJ81" s="486"/>
      <c r="AK81" s="486"/>
      <c r="AL81" s="486"/>
      <c r="AM81" s="486"/>
      <c r="AN81" s="486"/>
      <c r="AO81" s="486"/>
      <c r="AP81" s="486"/>
      <c r="AQ81" s="486"/>
      <c r="AR81" s="231"/>
    </row>
    <row r="82" spans="1:44" customFormat="1" ht="11.25">
      <c r="A82" s="493">
        <f t="shared" ca="1" si="31"/>
        <v>38930</v>
      </c>
      <c r="B82" s="511">
        <v>2.0169999999999999</v>
      </c>
      <c r="C82" s="511">
        <v>2.0419999999999998</v>
      </c>
      <c r="D82" s="493">
        <f t="shared" ca="1" si="32"/>
        <v>38930</v>
      </c>
      <c r="E82" s="511">
        <v>18.606999999999999</v>
      </c>
      <c r="F82" s="511">
        <v>18.928999999999998</v>
      </c>
      <c r="G82" s="318"/>
      <c r="H82" s="490">
        <f t="shared" ca="1" si="27"/>
        <v>38930</v>
      </c>
      <c r="I82" s="491">
        <f t="shared" si="28"/>
        <v>2.0419999999999998</v>
      </c>
      <c r="J82" s="492">
        <f t="shared" ca="1" si="29"/>
        <v>38930</v>
      </c>
      <c r="K82" s="491">
        <f t="shared" si="30"/>
        <v>18.928999999999998</v>
      </c>
      <c r="L82" s="486"/>
      <c r="M82" s="486"/>
      <c r="N82" s="486"/>
      <c r="O82" s="486"/>
      <c r="P82" s="486"/>
      <c r="Q82" s="486"/>
      <c r="R82" s="486"/>
      <c r="S82" s="486"/>
      <c r="T82" s="486"/>
      <c r="U82" s="486"/>
      <c r="V82" s="486"/>
      <c r="W82" s="486"/>
      <c r="X82" s="486"/>
      <c r="Y82" s="486"/>
      <c r="Z82" s="486"/>
      <c r="AA82" s="486"/>
      <c r="AB82" s="486"/>
      <c r="AC82" s="486"/>
      <c r="AD82" s="486"/>
      <c r="AE82" s="486"/>
      <c r="AF82" s="486"/>
      <c r="AG82" s="486"/>
      <c r="AH82" s="486"/>
      <c r="AI82" s="486"/>
      <c r="AJ82" s="486"/>
      <c r="AK82" s="486"/>
      <c r="AL82" s="486"/>
      <c r="AM82" s="486"/>
      <c r="AN82" s="486"/>
      <c r="AO82" s="486"/>
      <c r="AP82" s="486"/>
      <c r="AQ82" s="486"/>
      <c r="AR82" s="231"/>
    </row>
    <row r="83" spans="1:44" customFormat="1" ht="11.25">
      <c r="A83" s="493">
        <f t="shared" ca="1" si="31"/>
        <v>38961</v>
      </c>
      <c r="B83" s="511">
        <v>1.968</v>
      </c>
      <c r="C83" s="511">
        <v>1.9929999999999999</v>
      </c>
      <c r="D83" s="493">
        <f t="shared" ca="1" si="32"/>
        <v>38961</v>
      </c>
      <c r="E83" s="511">
        <v>18.614999999999998</v>
      </c>
      <c r="F83" s="511">
        <v>18.945</v>
      </c>
      <c r="G83" s="318"/>
      <c r="H83" s="490">
        <f t="shared" ca="1" si="27"/>
        <v>38961</v>
      </c>
      <c r="I83" s="491">
        <f t="shared" si="28"/>
        <v>1.9929999999999999</v>
      </c>
      <c r="J83" s="492">
        <f t="shared" ca="1" si="29"/>
        <v>38961</v>
      </c>
      <c r="K83" s="491">
        <f t="shared" si="30"/>
        <v>18.945</v>
      </c>
      <c r="L83" s="486"/>
      <c r="M83" s="486"/>
      <c r="N83" s="486"/>
      <c r="O83" s="486"/>
      <c r="P83" s="486"/>
      <c r="Q83" s="486"/>
      <c r="R83" s="486"/>
      <c r="S83" s="486"/>
      <c r="T83" s="486"/>
      <c r="U83" s="486"/>
      <c r="V83" s="486"/>
      <c r="W83" s="486"/>
      <c r="X83" s="486"/>
      <c r="Y83" s="486"/>
      <c r="Z83" s="486"/>
      <c r="AA83" s="486"/>
      <c r="AB83" s="486"/>
      <c r="AC83" s="486"/>
      <c r="AD83" s="486"/>
      <c r="AE83" s="486"/>
      <c r="AF83" s="486"/>
      <c r="AG83" s="486"/>
      <c r="AH83" s="486"/>
      <c r="AI83" s="486"/>
      <c r="AJ83" s="486"/>
      <c r="AK83" s="486"/>
      <c r="AL83" s="486"/>
      <c r="AM83" s="486"/>
      <c r="AN83" s="486"/>
      <c r="AO83" s="486"/>
      <c r="AP83" s="486"/>
      <c r="AQ83" s="486"/>
      <c r="AR83" s="231"/>
    </row>
    <row r="84" spans="1:44" customFormat="1" ht="11.25">
      <c r="A84" s="493">
        <f t="shared" ca="1" si="31"/>
        <v>38991</v>
      </c>
      <c r="B84" s="511">
        <v>1.9550000000000001</v>
      </c>
      <c r="C84" s="511">
        <v>1.98</v>
      </c>
      <c r="D84" s="493">
        <f t="shared" ca="1" si="32"/>
        <v>38991</v>
      </c>
      <c r="E84" s="511">
        <v>18.623000000000001</v>
      </c>
      <c r="F84" s="511">
        <v>18.960999999999999</v>
      </c>
      <c r="G84" s="318"/>
      <c r="H84" s="490">
        <f t="shared" ca="1" si="27"/>
        <v>38991</v>
      </c>
      <c r="I84" s="491">
        <f t="shared" si="28"/>
        <v>1.98</v>
      </c>
      <c r="J84" s="492">
        <f t="shared" ca="1" si="29"/>
        <v>38991</v>
      </c>
      <c r="K84" s="491">
        <f t="shared" si="30"/>
        <v>18.960999999999999</v>
      </c>
      <c r="L84" s="486"/>
      <c r="M84" s="486"/>
      <c r="N84" s="486"/>
      <c r="O84" s="486"/>
      <c r="P84" s="486"/>
      <c r="Q84" s="486"/>
      <c r="R84" s="486"/>
      <c r="S84" s="486"/>
      <c r="T84" s="486"/>
      <c r="U84" s="486"/>
      <c r="V84" s="486"/>
      <c r="W84" s="486"/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486"/>
      <c r="AK84" s="486"/>
      <c r="AL84" s="486"/>
      <c r="AM84" s="486"/>
      <c r="AN84" s="486"/>
      <c r="AO84" s="486"/>
      <c r="AP84" s="486"/>
      <c r="AQ84" s="486"/>
      <c r="AR84" s="231"/>
    </row>
    <row r="85" spans="1:44" customFormat="1" ht="11.25">
      <c r="A85" s="493">
        <f t="shared" ca="1" si="31"/>
        <v>39022</v>
      </c>
      <c r="B85" s="511">
        <v>1.9629999999999999</v>
      </c>
      <c r="C85" s="511">
        <v>1.9879999999999998</v>
      </c>
      <c r="D85" s="493">
        <f t="shared" ca="1" si="32"/>
        <v>39022</v>
      </c>
      <c r="E85" s="511">
        <v>18.63</v>
      </c>
      <c r="F85" s="511">
        <v>18.975000000000001</v>
      </c>
      <c r="G85" s="318"/>
      <c r="H85" s="490">
        <f t="shared" ca="1" si="27"/>
        <v>39022</v>
      </c>
      <c r="I85" s="491">
        <f t="shared" si="28"/>
        <v>1.9879999999999998</v>
      </c>
      <c r="J85" s="492">
        <f t="shared" ca="1" si="29"/>
        <v>39022</v>
      </c>
      <c r="K85" s="491">
        <f t="shared" si="30"/>
        <v>18.975000000000001</v>
      </c>
      <c r="L85" s="486"/>
      <c r="M85" s="486"/>
      <c r="N85" s="486"/>
      <c r="O85" s="486"/>
      <c r="P85" s="486"/>
      <c r="Q85" s="486"/>
      <c r="R85" s="486"/>
      <c r="S85" s="486"/>
      <c r="T85" s="486"/>
      <c r="U85" s="486"/>
      <c r="V85" s="486"/>
      <c r="W85" s="486"/>
      <c r="X85" s="486"/>
      <c r="Y85" s="486"/>
      <c r="Z85" s="486"/>
      <c r="AA85" s="486"/>
      <c r="AB85" s="486"/>
      <c r="AC85" s="486"/>
      <c r="AD85" s="486"/>
      <c r="AE85" s="486"/>
      <c r="AF85" s="486"/>
      <c r="AG85" s="486"/>
      <c r="AH85" s="486"/>
      <c r="AI85" s="486"/>
      <c r="AJ85" s="486"/>
      <c r="AK85" s="486"/>
      <c r="AL85" s="486"/>
      <c r="AM85" s="486"/>
      <c r="AN85" s="486"/>
      <c r="AO85" s="486"/>
      <c r="AP85" s="486"/>
      <c r="AQ85" s="486"/>
      <c r="AR85" s="231"/>
    </row>
    <row r="86" spans="1:44" customFormat="1" ht="11.25">
      <c r="A86" s="493">
        <f t="shared" ca="1" si="31"/>
        <v>39052</v>
      </c>
      <c r="B86" s="511">
        <v>1.9550000000000001</v>
      </c>
      <c r="C86" s="511">
        <v>1.98</v>
      </c>
      <c r="D86" s="493">
        <f t="shared" ca="1" si="32"/>
        <v>39052</v>
      </c>
      <c r="E86" s="511">
        <v>18.638000000000002</v>
      </c>
      <c r="F86" s="511">
        <v>18.992999999999999</v>
      </c>
      <c r="G86" s="318"/>
      <c r="H86" s="490">
        <f t="shared" ca="1" si="27"/>
        <v>39052</v>
      </c>
      <c r="I86" s="491">
        <f t="shared" si="28"/>
        <v>1.98</v>
      </c>
      <c r="J86" s="492">
        <f t="shared" ca="1" si="29"/>
        <v>39052</v>
      </c>
      <c r="K86" s="491">
        <f t="shared" si="30"/>
        <v>18.992999999999999</v>
      </c>
      <c r="L86" s="486"/>
      <c r="M86" s="486"/>
      <c r="N86" s="486"/>
      <c r="O86" s="486"/>
      <c r="P86" s="486"/>
      <c r="Q86" s="486"/>
      <c r="R86" s="486"/>
      <c r="S86" s="486"/>
      <c r="T86" s="486"/>
      <c r="U86" s="486"/>
      <c r="V86" s="486"/>
      <c r="W86" s="486"/>
      <c r="X86" s="486"/>
      <c r="Y86" s="486"/>
      <c r="Z86" s="486"/>
      <c r="AA86" s="486"/>
      <c r="AB86" s="486"/>
      <c r="AC86" s="486"/>
      <c r="AD86" s="486"/>
      <c r="AE86" s="486"/>
      <c r="AF86" s="486"/>
      <c r="AG86" s="486"/>
      <c r="AH86" s="486"/>
      <c r="AI86" s="486"/>
      <c r="AJ86" s="486"/>
      <c r="AK86" s="486"/>
      <c r="AL86" s="486"/>
      <c r="AM86" s="486"/>
      <c r="AN86" s="486"/>
      <c r="AO86" s="486"/>
      <c r="AP86" s="486"/>
      <c r="AQ86" s="486"/>
      <c r="AR86" s="231"/>
    </row>
    <row r="87" spans="1:44" customFormat="1" ht="11.25">
      <c r="A87" s="493">
        <f t="shared" ref="A87:A102" ca="1" si="33">DATE(YEAR(A86),MONTH(A86)+1,1)</f>
        <v>39083</v>
      </c>
      <c r="B87" s="511">
        <v>1.9550000000000001</v>
      </c>
      <c r="C87" s="511">
        <v>1.98</v>
      </c>
      <c r="D87" s="493">
        <f t="shared" ref="D87:D102" ca="1" si="34">DATE(YEAR(D86),MONTH(D86)+1,1)</f>
        <v>39083</v>
      </c>
      <c r="E87" s="511">
        <v>18.645</v>
      </c>
      <c r="F87" s="511">
        <v>19.009</v>
      </c>
      <c r="G87" s="318"/>
      <c r="H87" s="490">
        <f t="shared" ca="1" si="27"/>
        <v>39083</v>
      </c>
      <c r="I87" s="491">
        <f t="shared" si="28"/>
        <v>1.98</v>
      </c>
      <c r="J87" s="492">
        <f t="shared" ca="1" si="29"/>
        <v>39083</v>
      </c>
      <c r="K87" s="491">
        <f t="shared" si="30"/>
        <v>19.009</v>
      </c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6"/>
      <c r="Z87" s="486"/>
      <c r="AA87" s="486"/>
      <c r="AB87" s="486"/>
      <c r="AC87" s="486"/>
      <c r="AD87" s="486"/>
      <c r="AE87" s="486"/>
      <c r="AF87" s="486"/>
      <c r="AG87" s="486"/>
      <c r="AH87" s="486"/>
      <c r="AI87" s="486"/>
      <c r="AJ87" s="486"/>
      <c r="AK87" s="486"/>
      <c r="AL87" s="486"/>
      <c r="AM87" s="486"/>
      <c r="AN87" s="486"/>
      <c r="AO87" s="486"/>
      <c r="AP87" s="486"/>
      <c r="AQ87" s="486"/>
      <c r="AR87" s="231"/>
    </row>
    <row r="88" spans="1:44" customFormat="1" ht="11.25">
      <c r="A88" s="493">
        <f t="shared" ca="1" si="33"/>
        <v>39114</v>
      </c>
      <c r="B88" s="511">
        <v>1.9550000000000001</v>
      </c>
      <c r="C88" s="511">
        <v>1.98</v>
      </c>
      <c r="D88" s="493">
        <f t="shared" ca="1" si="34"/>
        <v>39114</v>
      </c>
      <c r="E88" s="511">
        <v>18.652000000000001</v>
      </c>
      <c r="F88" s="511">
        <v>19.023</v>
      </c>
      <c r="G88" s="318"/>
      <c r="H88" s="490">
        <f t="shared" ca="1" si="27"/>
        <v>39114</v>
      </c>
      <c r="I88" s="491">
        <f t="shared" si="28"/>
        <v>1.98</v>
      </c>
      <c r="J88" s="492">
        <f t="shared" ca="1" si="29"/>
        <v>39114</v>
      </c>
      <c r="K88" s="491">
        <f t="shared" si="30"/>
        <v>19.023</v>
      </c>
      <c r="L88" s="486"/>
      <c r="M88" s="486"/>
      <c r="N88" s="486"/>
      <c r="O88" s="486"/>
      <c r="P88" s="486"/>
      <c r="Q88" s="486"/>
      <c r="R88" s="486"/>
      <c r="S88" s="486"/>
      <c r="T88" s="486"/>
      <c r="U88" s="486"/>
      <c r="V88" s="486"/>
      <c r="W88" s="486"/>
      <c r="X88" s="486"/>
      <c r="Y88" s="486"/>
      <c r="Z88" s="486"/>
      <c r="AA88" s="486"/>
      <c r="AB88" s="486"/>
      <c r="AC88" s="486"/>
      <c r="AD88" s="486"/>
      <c r="AE88" s="486"/>
      <c r="AF88" s="486"/>
      <c r="AG88" s="486"/>
      <c r="AH88" s="486"/>
      <c r="AI88" s="486"/>
      <c r="AJ88" s="486"/>
      <c r="AK88" s="486"/>
      <c r="AL88" s="486"/>
      <c r="AM88" s="486"/>
      <c r="AN88" s="486"/>
      <c r="AO88" s="486"/>
      <c r="AP88" s="486"/>
      <c r="AQ88" s="486"/>
      <c r="AR88" s="231"/>
    </row>
    <row r="89" spans="1:44" customFormat="1" ht="11.25">
      <c r="A89" s="493">
        <f t="shared" ca="1" si="33"/>
        <v>39142</v>
      </c>
      <c r="B89" s="511">
        <v>1.9550000000000001</v>
      </c>
      <c r="C89" s="511">
        <v>1.98</v>
      </c>
      <c r="D89" s="493">
        <f t="shared" ca="1" si="34"/>
        <v>39142</v>
      </c>
      <c r="E89" s="511">
        <v>18.661000000000001</v>
      </c>
      <c r="F89" s="511">
        <v>19.041</v>
      </c>
      <c r="G89" s="318"/>
      <c r="H89" s="490">
        <f t="shared" ca="1" si="27"/>
        <v>39142</v>
      </c>
      <c r="I89" s="491">
        <f t="shared" si="28"/>
        <v>1.98</v>
      </c>
      <c r="J89" s="492">
        <f t="shared" ca="1" si="29"/>
        <v>39142</v>
      </c>
      <c r="K89" s="491">
        <f t="shared" si="30"/>
        <v>19.041</v>
      </c>
      <c r="L89" s="486"/>
      <c r="M89" s="486"/>
      <c r="N89" s="486"/>
      <c r="O89" s="486"/>
      <c r="P89" s="486"/>
      <c r="Q89" s="486"/>
      <c r="R89" s="486"/>
      <c r="S89" s="486"/>
      <c r="T89" s="486"/>
      <c r="U89" s="486"/>
      <c r="V89" s="486"/>
      <c r="W89" s="486"/>
      <c r="X89" s="486"/>
      <c r="Y89" s="486"/>
      <c r="Z89" s="486"/>
      <c r="AA89" s="486"/>
      <c r="AB89" s="486"/>
      <c r="AC89" s="486"/>
      <c r="AD89" s="486"/>
      <c r="AE89" s="486"/>
      <c r="AF89" s="486"/>
      <c r="AG89" s="486"/>
      <c r="AH89" s="486"/>
      <c r="AI89" s="486"/>
      <c r="AJ89" s="486"/>
      <c r="AK89" s="486"/>
      <c r="AL89" s="486"/>
      <c r="AM89" s="486"/>
      <c r="AN89" s="486"/>
      <c r="AO89" s="486"/>
      <c r="AP89" s="486"/>
      <c r="AQ89" s="486"/>
      <c r="AR89" s="231"/>
    </row>
    <row r="90" spans="1:44" customFormat="1" ht="11.25">
      <c r="A90" s="493">
        <f t="shared" ca="1" si="33"/>
        <v>39173</v>
      </c>
      <c r="B90" s="511">
        <v>2.0289999999999999</v>
      </c>
      <c r="C90" s="511">
        <v>2.0539999999999998</v>
      </c>
      <c r="D90" s="493">
        <f t="shared" ca="1" si="34"/>
        <v>39173</v>
      </c>
      <c r="E90" s="511">
        <v>18.667999999999999</v>
      </c>
      <c r="F90" s="511">
        <v>19.056000000000001</v>
      </c>
      <c r="G90" s="318"/>
      <c r="H90" s="490">
        <f t="shared" ca="1" si="27"/>
        <v>39173</v>
      </c>
      <c r="I90" s="491">
        <f t="shared" si="28"/>
        <v>2.0539999999999998</v>
      </c>
      <c r="J90" s="492">
        <f t="shared" ca="1" si="29"/>
        <v>39173</v>
      </c>
      <c r="K90" s="491">
        <f t="shared" si="30"/>
        <v>19.056000000000001</v>
      </c>
      <c r="L90" s="486"/>
      <c r="M90" s="486"/>
      <c r="N90" s="486"/>
      <c r="O90" s="486"/>
      <c r="P90" s="486"/>
      <c r="Q90" s="486"/>
      <c r="R90" s="486"/>
      <c r="S90" s="486"/>
      <c r="T90" s="486"/>
      <c r="U90" s="486"/>
      <c r="V90" s="486"/>
      <c r="W90" s="486"/>
      <c r="X90" s="486"/>
      <c r="Y90" s="486"/>
      <c r="Z90" s="486"/>
      <c r="AA90" s="486"/>
      <c r="AB90" s="486"/>
      <c r="AC90" s="486"/>
      <c r="AD90" s="486"/>
      <c r="AE90" s="486"/>
      <c r="AF90" s="486"/>
      <c r="AG90" s="486"/>
      <c r="AH90" s="486"/>
      <c r="AI90" s="486"/>
      <c r="AJ90" s="486"/>
      <c r="AK90" s="486"/>
      <c r="AL90" s="486"/>
      <c r="AM90" s="486"/>
      <c r="AN90" s="486"/>
      <c r="AO90" s="486"/>
      <c r="AP90" s="486"/>
      <c r="AQ90" s="486"/>
      <c r="AR90" s="231"/>
    </row>
    <row r="91" spans="1:44" customFormat="1" ht="11.25">
      <c r="A91" s="493">
        <f t="shared" ca="1" si="33"/>
        <v>39203</v>
      </c>
      <c r="B91" s="511">
        <v>2.1469999999999998</v>
      </c>
      <c r="C91" s="511">
        <v>2.1719999999999997</v>
      </c>
      <c r="D91" s="493">
        <f t="shared" ca="1" si="34"/>
        <v>39203</v>
      </c>
      <c r="E91" s="511">
        <v>18.675999999999998</v>
      </c>
      <c r="F91" s="511">
        <v>19.071999999999999</v>
      </c>
      <c r="G91" s="318"/>
      <c r="H91" s="490">
        <f t="shared" ca="1" si="27"/>
        <v>39203</v>
      </c>
      <c r="I91" s="491">
        <f t="shared" si="28"/>
        <v>2.1719999999999997</v>
      </c>
      <c r="J91" s="492">
        <f t="shared" ca="1" si="29"/>
        <v>39203</v>
      </c>
      <c r="K91" s="491">
        <f t="shared" si="30"/>
        <v>19.071999999999999</v>
      </c>
      <c r="L91" s="486"/>
      <c r="M91" s="486"/>
      <c r="N91" s="486"/>
      <c r="O91" s="486"/>
      <c r="P91" s="486"/>
      <c r="Q91" s="486"/>
      <c r="R91" s="486"/>
      <c r="S91" s="486"/>
      <c r="T91" s="486"/>
      <c r="U91" s="486"/>
      <c r="V91" s="486"/>
      <c r="W91" s="486"/>
      <c r="X91" s="486"/>
      <c r="Y91" s="486"/>
      <c r="Z91" s="486"/>
      <c r="AA91" s="486"/>
      <c r="AB91" s="486"/>
      <c r="AC91" s="486"/>
      <c r="AD91" s="486"/>
      <c r="AE91" s="486"/>
      <c r="AF91" s="486"/>
      <c r="AG91" s="486"/>
      <c r="AH91" s="486"/>
      <c r="AI91" s="486"/>
      <c r="AJ91" s="486"/>
      <c r="AK91" s="486"/>
      <c r="AL91" s="486"/>
      <c r="AM91" s="486"/>
      <c r="AN91" s="486"/>
      <c r="AO91" s="486"/>
      <c r="AP91" s="486"/>
      <c r="AQ91" s="486"/>
      <c r="AR91" s="231"/>
    </row>
    <row r="92" spans="1:44" customFormat="1" ht="11.25">
      <c r="A92" s="493">
        <f t="shared" ca="1" si="33"/>
        <v>39234</v>
      </c>
      <c r="B92" s="511">
        <v>2.1929999999999996</v>
      </c>
      <c r="C92" s="511">
        <v>2.2229999999999994</v>
      </c>
      <c r="D92" s="493">
        <f t="shared" ca="1" si="34"/>
        <v>39234</v>
      </c>
      <c r="E92" s="511">
        <v>18.684999999999999</v>
      </c>
      <c r="F92" s="511">
        <v>19.09</v>
      </c>
      <c r="G92" s="318"/>
      <c r="H92" s="490">
        <f t="shared" ca="1" si="27"/>
        <v>39234</v>
      </c>
      <c r="I92" s="491">
        <f t="shared" si="28"/>
        <v>2.2229999999999994</v>
      </c>
      <c r="J92" s="492">
        <f t="shared" ca="1" si="29"/>
        <v>39234</v>
      </c>
      <c r="K92" s="491">
        <f t="shared" si="30"/>
        <v>19.09</v>
      </c>
      <c r="L92" s="486"/>
      <c r="M92" s="486"/>
      <c r="N92" s="486"/>
      <c r="O92" s="486"/>
      <c r="P92" s="486"/>
      <c r="Q92" s="486"/>
      <c r="R92" s="486"/>
      <c r="S92" s="486"/>
      <c r="T92" s="486"/>
      <c r="U92" s="486"/>
      <c r="V92" s="486"/>
      <c r="W92" s="486"/>
      <c r="X92" s="486"/>
      <c r="Y92" s="486"/>
      <c r="Z92" s="486"/>
      <c r="AA92" s="486"/>
      <c r="AB92" s="486"/>
      <c r="AC92" s="486"/>
      <c r="AD92" s="486"/>
      <c r="AE92" s="486"/>
      <c r="AF92" s="486"/>
      <c r="AG92" s="486"/>
      <c r="AH92" s="486"/>
      <c r="AI92" s="486"/>
      <c r="AJ92" s="486"/>
      <c r="AK92" s="486"/>
      <c r="AL92" s="486"/>
      <c r="AM92" s="486"/>
      <c r="AN92" s="486"/>
      <c r="AO92" s="486"/>
      <c r="AP92" s="486"/>
      <c r="AQ92" s="486"/>
      <c r="AR92" s="231"/>
    </row>
    <row r="93" spans="1:44" customFormat="1" ht="11.25">
      <c r="A93" s="493">
        <f t="shared" ca="1" si="33"/>
        <v>39264</v>
      </c>
      <c r="B93" s="511">
        <v>2.1079999999999997</v>
      </c>
      <c r="C93" s="511">
        <v>2.1379999999999995</v>
      </c>
      <c r="D93" s="493">
        <f t="shared" ca="1" si="34"/>
        <v>39264</v>
      </c>
      <c r="E93" s="511">
        <v>18.693000000000001</v>
      </c>
      <c r="F93" s="511">
        <v>19.106000000000002</v>
      </c>
      <c r="G93" s="318"/>
      <c r="H93" s="490">
        <f t="shared" ca="1" si="27"/>
        <v>39264</v>
      </c>
      <c r="I93" s="491">
        <f t="shared" si="28"/>
        <v>2.1379999999999995</v>
      </c>
      <c r="J93" s="492">
        <f t="shared" ca="1" si="29"/>
        <v>39264</v>
      </c>
      <c r="K93" s="491">
        <f t="shared" si="30"/>
        <v>19.106000000000002</v>
      </c>
      <c r="L93" s="486"/>
      <c r="M93" s="486"/>
      <c r="N93" s="486"/>
      <c r="O93" s="486"/>
      <c r="P93" s="486"/>
      <c r="Q93" s="486"/>
      <c r="R93" s="486"/>
      <c r="S93" s="486"/>
      <c r="T93" s="486"/>
      <c r="U93" s="486"/>
      <c r="V93" s="486"/>
      <c r="W93" s="486"/>
      <c r="X93" s="486"/>
      <c r="Y93" s="486"/>
      <c r="Z93" s="486"/>
      <c r="AA93" s="486"/>
      <c r="AB93" s="486"/>
      <c r="AC93" s="486"/>
      <c r="AD93" s="486"/>
      <c r="AE93" s="486"/>
      <c r="AF93" s="486"/>
      <c r="AG93" s="486"/>
      <c r="AH93" s="486"/>
      <c r="AI93" s="486"/>
      <c r="AJ93" s="486"/>
      <c r="AK93" s="486"/>
      <c r="AL93" s="486"/>
      <c r="AM93" s="486"/>
      <c r="AN93" s="486"/>
      <c r="AO93" s="486"/>
      <c r="AP93" s="486"/>
      <c r="AQ93" s="486"/>
      <c r="AR93" s="231"/>
    </row>
    <row r="94" spans="1:44" customFormat="1" ht="11.25">
      <c r="A94" s="493">
        <f t="shared" ca="1" si="33"/>
        <v>39295</v>
      </c>
      <c r="B94" s="511">
        <v>2.0419999999999998</v>
      </c>
      <c r="C94" s="511">
        <v>2.0719999999999996</v>
      </c>
      <c r="D94" s="493">
        <f t="shared" ca="1" si="34"/>
        <v>39295</v>
      </c>
      <c r="E94" s="511">
        <v>18.701000000000001</v>
      </c>
      <c r="F94" s="511">
        <v>19.122</v>
      </c>
      <c r="G94" s="318"/>
      <c r="H94" s="490">
        <f t="shared" ca="1" si="27"/>
        <v>39295</v>
      </c>
      <c r="I94" s="491">
        <f t="shared" si="28"/>
        <v>2.0719999999999996</v>
      </c>
      <c r="J94" s="492">
        <f t="shared" ca="1" si="29"/>
        <v>39295</v>
      </c>
      <c r="K94" s="491">
        <f t="shared" si="30"/>
        <v>19.122</v>
      </c>
      <c r="L94" s="486"/>
      <c r="M94" s="486"/>
      <c r="N94" s="486"/>
      <c r="O94" s="486"/>
      <c r="P94" s="486"/>
      <c r="Q94" s="486"/>
      <c r="R94" s="486"/>
      <c r="S94" s="486"/>
      <c r="T94" s="486"/>
      <c r="U94" s="486"/>
      <c r="V94" s="486"/>
      <c r="W94" s="486"/>
      <c r="X94" s="486"/>
      <c r="Y94" s="486"/>
      <c r="Z94" s="486"/>
      <c r="AA94" s="486"/>
      <c r="AB94" s="486"/>
      <c r="AC94" s="486"/>
      <c r="AD94" s="486"/>
      <c r="AE94" s="486"/>
      <c r="AF94" s="486"/>
      <c r="AG94" s="486"/>
      <c r="AH94" s="486"/>
      <c r="AI94" s="486"/>
      <c r="AJ94" s="486"/>
      <c r="AK94" s="486"/>
      <c r="AL94" s="486"/>
      <c r="AM94" s="486"/>
      <c r="AN94" s="486"/>
      <c r="AO94" s="486"/>
      <c r="AP94" s="486"/>
      <c r="AQ94" s="486"/>
      <c r="AR94" s="231"/>
    </row>
    <row r="95" spans="1:44" customFormat="1" ht="11.25">
      <c r="A95" s="493">
        <f t="shared" ca="1" si="33"/>
        <v>39326</v>
      </c>
      <c r="B95" s="511">
        <v>1.9929999999999997</v>
      </c>
      <c r="C95" s="511">
        <v>2.0229999999999997</v>
      </c>
      <c r="D95" s="493">
        <f t="shared" ca="1" si="34"/>
        <v>39326</v>
      </c>
      <c r="E95" s="511">
        <v>18.71</v>
      </c>
      <c r="F95" s="511">
        <v>19.14</v>
      </c>
      <c r="G95" s="318"/>
      <c r="H95" s="490">
        <f t="shared" ca="1" si="27"/>
        <v>39326</v>
      </c>
      <c r="I95" s="491">
        <f t="shared" si="28"/>
        <v>2.0229999999999997</v>
      </c>
      <c r="J95" s="492">
        <f t="shared" ca="1" si="29"/>
        <v>39326</v>
      </c>
      <c r="K95" s="491">
        <f t="shared" si="30"/>
        <v>19.14</v>
      </c>
      <c r="L95" s="486"/>
      <c r="M95" s="486"/>
      <c r="N95" s="486"/>
      <c r="O95" s="486"/>
      <c r="P95" s="486"/>
      <c r="Q95" s="486"/>
      <c r="R95" s="486"/>
      <c r="S95" s="486"/>
      <c r="T95" s="486"/>
      <c r="U95" s="486"/>
      <c r="V95" s="486"/>
      <c r="W95" s="486"/>
      <c r="X95" s="486"/>
      <c r="Y95" s="486"/>
      <c r="Z95" s="486"/>
      <c r="AA95" s="486"/>
      <c r="AB95" s="486"/>
      <c r="AC95" s="486"/>
      <c r="AD95" s="486"/>
      <c r="AE95" s="486"/>
      <c r="AF95" s="486"/>
      <c r="AG95" s="486"/>
      <c r="AH95" s="486"/>
      <c r="AI95" s="486"/>
      <c r="AJ95" s="486"/>
      <c r="AK95" s="486"/>
      <c r="AL95" s="486"/>
      <c r="AM95" s="486"/>
      <c r="AN95" s="486"/>
      <c r="AO95" s="486"/>
      <c r="AP95" s="486"/>
      <c r="AQ95" s="486"/>
      <c r="AR95" s="231"/>
    </row>
    <row r="96" spans="1:44" customFormat="1" ht="11.25">
      <c r="A96" s="493">
        <f t="shared" ca="1" si="33"/>
        <v>39356</v>
      </c>
      <c r="B96" s="511">
        <v>1.98</v>
      </c>
      <c r="C96" s="511">
        <v>2.0099999999999998</v>
      </c>
      <c r="D96" s="493">
        <f t="shared" ca="1" si="34"/>
        <v>39356</v>
      </c>
      <c r="E96" s="511">
        <v>18.718</v>
      </c>
      <c r="F96" s="511">
        <v>19.155999999999999</v>
      </c>
      <c r="G96" s="318"/>
      <c r="H96" s="490">
        <f t="shared" ca="1" si="27"/>
        <v>39356</v>
      </c>
      <c r="I96" s="491">
        <f t="shared" si="28"/>
        <v>2.0099999999999998</v>
      </c>
      <c r="J96" s="492">
        <f t="shared" ca="1" si="29"/>
        <v>39356</v>
      </c>
      <c r="K96" s="491">
        <f t="shared" si="30"/>
        <v>19.155999999999999</v>
      </c>
      <c r="L96" s="486"/>
      <c r="M96" s="486"/>
      <c r="N96" s="486"/>
      <c r="O96" s="486"/>
      <c r="P96" s="486"/>
      <c r="Q96" s="486"/>
      <c r="R96" s="486"/>
      <c r="S96" s="486"/>
      <c r="T96" s="486"/>
      <c r="U96" s="486"/>
      <c r="V96" s="486"/>
      <c r="W96" s="486"/>
      <c r="X96" s="486"/>
      <c r="Y96" s="486"/>
      <c r="Z96" s="486"/>
      <c r="AA96" s="486"/>
      <c r="AB96" s="486"/>
      <c r="AC96" s="486"/>
      <c r="AD96" s="486"/>
      <c r="AE96" s="486"/>
      <c r="AF96" s="486"/>
      <c r="AG96" s="486"/>
      <c r="AH96" s="486"/>
      <c r="AI96" s="486"/>
      <c r="AJ96" s="486"/>
      <c r="AK96" s="486"/>
      <c r="AL96" s="486"/>
      <c r="AM96" s="486"/>
      <c r="AN96" s="486"/>
      <c r="AO96" s="486"/>
      <c r="AP96" s="486"/>
      <c r="AQ96" s="486"/>
      <c r="AR96" s="231"/>
    </row>
    <row r="97" spans="1:44" customFormat="1" ht="11.25">
      <c r="A97" s="493">
        <f t="shared" ca="1" si="33"/>
        <v>39387</v>
      </c>
      <c r="B97" s="511">
        <v>1.9879999999999998</v>
      </c>
      <c r="C97" s="511">
        <v>2.0179999999999998</v>
      </c>
      <c r="D97" s="493">
        <f t="shared" ca="1" si="34"/>
        <v>39387</v>
      </c>
      <c r="E97" s="511">
        <v>18.725999999999999</v>
      </c>
      <c r="F97" s="511">
        <v>19.172999999999998</v>
      </c>
      <c r="G97" s="318"/>
      <c r="H97" s="490">
        <f t="shared" ca="1" si="27"/>
        <v>39387</v>
      </c>
      <c r="I97" s="491">
        <f t="shared" si="28"/>
        <v>2.0179999999999998</v>
      </c>
      <c r="J97" s="492">
        <f t="shared" ca="1" si="29"/>
        <v>39387</v>
      </c>
      <c r="K97" s="491">
        <f t="shared" si="30"/>
        <v>19.172999999999998</v>
      </c>
      <c r="L97" s="486"/>
      <c r="M97" s="486"/>
      <c r="N97" s="486"/>
      <c r="O97" s="486"/>
      <c r="P97" s="486"/>
      <c r="Q97" s="486"/>
      <c r="R97" s="486"/>
      <c r="S97" s="486"/>
      <c r="T97" s="486"/>
      <c r="U97" s="486"/>
      <c r="V97" s="486"/>
      <c r="W97" s="486"/>
      <c r="X97" s="486"/>
      <c r="Y97" s="486"/>
      <c r="Z97" s="486"/>
      <c r="AA97" s="486"/>
      <c r="AB97" s="486"/>
      <c r="AC97" s="486"/>
      <c r="AD97" s="486"/>
      <c r="AE97" s="486"/>
      <c r="AF97" s="486"/>
      <c r="AG97" s="486"/>
      <c r="AH97" s="486"/>
      <c r="AI97" s="486"/>
      <c r="AJ97" s="486"/>
      <c r="AK97" s="486"/>
      <c r="AL97" s="486"/>
      <c r="AM97" s="486"/>
      <c r="AN97" s="486"/>
      <c r="AO97" s="486"/>
      <c r="AP97" s="486"/>
      <c r="AQ97" s="486"/>
      <c r="AR97" s="231"/>
    </row>
    <row r="98" spans="1:44" customFormat="1" ht="11.25">
      <c r="A98" s="493">
        <f t="shared" ca="1" si="33"/>
        <v>39417</v>
      </c>
      <c r="B98" s="511">
        <v>1.98</v>
      </c>
      <c r="C98" s="511">
        <v>2.0099999999999998</v>
      </c>
      <c r="D98" s="493">
        <f t="shared" ca="1" si="34"/>
        <v>39417</v>
      </c>
      <c r="E98" s="511">
        <v>18.734999999999999</v>
      </c>
      <c r="F98" s="511">
        <v>19.190000000000001</v>
      </c>
      <c r="G98" s="318"/>
      <c r="H98" s="490">
        <f t="shared" ca="1" si="27"/>
        <v>39417</v>
      </c>
      <c r="I98" s="491">
        <f t="shared" si="28"/>
        <v>2.0099999999999998</v>
      </c>
      <c r="J98" s="492">
        <f t="shared" ca="1" si="29"/>
        <v>39417</v>
      </c>
      <c r="K98" s="491">
        <f t="shared" si="30"/>
        <v>19.190000000000001</v>
      </c>
      <c r="L98" s="486"/>
      <c r="M98" s="486"/>
      <c r="N98" s="486"/>
      <c r="O98" s="486"/>
      <c r="P98" s="486"/>
      <c r="Q98" s="486"/>
      <c r="R98" s="486"/>
      <c r="S98" s="486"/>
      <c r="T98" s="486"/>
      <c r="U98" s="486"/>
      <c r="V98" s="486"/>
      <c r="W98" s="486"/>
      <c r="X98" s="486"/>
      <c r="Y98" s="486"/>
      <c r="Z98" s="486"/>
      <c r="AA98" s="486"/>
      <c r="AB98" s="486"/>
      <c r="AC98" s="486"/>
      <c r="AD98" s="486"/>
      <c r="AE98" s="486"/>
      <c r="AF98" s="486"/>
      <c r="AG98" s="486"/>
      <c r="AH98" s="486"/>
      <c r="AI98" s="486"/>
      <c r="AJ98" s="486"/>
      <c r="AK98" s="486"/>
      <c r="AL98" s="486"/>
      <c r="AM98" s="486"/>
      <c r="AN98" s="486"/>
      <c r="AO98" s="486"/>
      <c r="AP98" s="486"/>
      <c r="AQ98" s="486"/>
      <c r="AR98" s="231"/>
    </row>
    <row r="99" spans="1:44" customFormat="1" ht="11.25">
      <c r="A99" s="493">
        <f t="shared" ca="1" si="33"/>
        <v>39448</v>
      </c>
      <c r="B99" s="511">
        <v>1.98</v>
      </c>
      <c r="C99" s="511">
        <v>2.0099999999999998</v>
      </c>
      <c r="D99" s="493">
        <f t="shared" ca="1" si="34"/>
        <v>39448</v>
      </c>
      <c r="E99" s="511">
        <v>18.742999999999999</v>
      </c>
      <c r="F99" s="511">
        <v>19.206</v>
      </c>
      <c r="G99" s="318"/>
      <c r="H99" s="490">
        <f t="shared" ca="1" si="27"/>
        <v>39448</v>
      </c>
      <c r="I99" s="491">
        <f t="shared" si="28"/>
        <v>2.0099999999999998</v>
      </c>
      <c r="J99" s="492">
        <f t="shared" ca="1" si="29"/>
        <v>39448</v>
      </c>
      <c r="K99" s="491">
        <f t="shared" si="30"/>
        <v>19.206</v>
      </c>
      <c r="L99" s="486"/>
      <c r="M99" s="486"/>
      <c r="N99" s="486"/>
      <c r="O99" s="486"/>
      <c r="P99" s="486"/>
      <c r="Q99" s="486"/>
      <c r="R99" s="486"/>
      <c r="S99" s="486"/>
      <c r="T99" s="486"/>
      <c r="U99" s="486"/>
      <c r="V99" s="486"/>
      <c r="W99" s="486"/>
      <c r="X99" s="486"/>
      <c r="Y99" s="486"/>
      <c r="Z99" s="486"/>
      <c r="AA99" s="486"/>
      <c r="AB99" s="486"/>
      <c r="AC99" s="486"/>
      <c r="AD99" s="486"/>
      <c r="AE99" s="486"/>
      <c r="AF99" s="486"/>
      <c r="AG99" s="486"/>
      <c r="AH99" s="486"/>
      <c r="AI99" s="486"/>
      <c r="AJ99" s="486"/>
      <c r="AK99" s="486"/>
      <c r="AL99" s="486"/>
      <c r="AM99" s="486"/>
      <c r="AN99" s="486"/>
      <c r="AO99" s="486"/>
      <c r="AP99" s="486"/>
      <c r="AQ99" s="486"/>
      <c r="AR99" s="231"/>
    </row>
    <row r="100" spans="1:44" customFormat="1" ht="11.25">
      <c r="A100" s="493">
        <f t="shared" ca="1" si="33"/>
        <v>39479</v>
      </c>
      <c r="B100" s="511">
        <v>1.98</v>
      </c>
      <c r="C100" s="511">
        <v>2.0099999999999998</v>
      </c>
      <c r="D100" s="493">
        <f t="shared" ca="1" si="34"/>
        <v>39479</v>
      </c>
      <c r="E100" s="511">
        <v>18.751999999999999</v>
      </c>
      <c r="F100" s="511">
        <v>19.222999999999999</v>
      </c>
      <c r="G100" s="318"/>
      <c r="H100" s="490">
        <f t="shared" ca="1" si="27"/>
        <v>39479</v>
      </c>
      <c r="I100" s="491">
        <f t="shared" si="28"/>
        <v>2.0099999999999998</v>
      </c>
      <c r="J100" s="492">
        <f t="shared" ca="1" si="29"/>
        <v>39479</v>
      </c>
      <c r="K100" s="491">
        <f t="shared" si="30"/>
        <v>19.222999999999999</v>
      </c>
      <c r="L100" s="486"/>
      <c r="M100" s="486"/>
      <c r="N100" s="486"/>
      <c r="O100" s="486"/>
      <c r="P100" s="486"/>
      <c r="Q100" s="486"/>
      <c r="R100" s="486"/>
      <c r="S100" s="486"/>
      <c r="T100" s="486"/>
      <c r="U100" s="486"/>
      <c r="V100" s="486"/>
      <c r="W100" s="486"/>
      <c r="X100" s="486"/>
      <c r="Y100" s="486"/>
      <c r="Z100" s="486"/>
      <c r="AA100" s="486"/>
      <c r="AB100" s="486"/>
      <c r="AC100" s="486"/>
      <c r="AD100" s="486"/>
      <c r="AE100" s="486"/>
      <c r="AF100" s="486"/>
      <c r="AG100" s="486"/>
      <c r="AH100" s="486"/>
      <c r="AI100" s="486"/>
      <c r="AJ100" s="486"/>
      <c r="AK100" s="486"/>
      <c r="AL100" s="486"/>
      <c r="AM100" s="486"/>
      <c r="AN100" s="486"/>
      <c r="AO100" s="486"/>
      <c r="AP100" s="486"/>
      <c r="AQ100" s="486"/>
      <c r="AR100" s="231"/>
    </row>
    <row r="101" spans="1:44" customFormat="1" ht="11.25">
      <c r="A101" s="493">
        <f t="shared" ca="1" si="33"/>
        <v>39508</v>
      </c>
      <c r="B101" s="511">
        <v>1.98</v>
      </c>
      <c r="C101" s="511">
        <v>2.0099999999999998</v>
      </c>
      <c r="D101" s="493">
        <f t="shared" ca="1" si="34"/>
        <v>39508</v>
      </c>
      <c r="E101" s="511">
        <v>18.760000000000002</v>
      </c>
      <c r="F101" s="511">
        <v>19.239999999999998</v>
      </c>
      <c r="G101" s="318"/>
      <c r="H101" s="490">
        <f t="shared" ca="1" si="27"/>
        <v>39508</v>
      </c>
      <c r="I101" s="491">
        <f t="shared" si="28"/>
        <v>2.0099999999999998</v>
      </c>
      <c r="J101" s="492">
        <f t="shared" ca="1" si="29"/>
        <v>39508</v>
      </c>
      <c r="K101" s="491">
        <f t="shared" si="30"/>
        <v>19.239999999999998</v>
      </c>
      <c r="L101" s="486"/>
      <c r="M101" s="486"/>
      <c r="N101" s="486"/>
      <c r="O101" s="486"/>
      <c r="P101" s="486"/>
      <c r="Q101" s="486"/>
      <c r="R101" s="486"/>
      <c r="S101" s="486"/>
      <c r="T101" s="486"/>
      <c r="U101" s="486"/>
      <c r="V101" s="486"/>
      <c r="W101" s="486"/>
      <c r="X101" s="486"/>
      <c r="Y101" s="486"/>
      <c r="Z101" s="486"/>
      <c r="AA101" s="486"/>
      <c r="AB101" s="486"/>
      <c r="AC101" s="486"/>
      <c r="AD101" s="486"/>
      <c r="AE101" s="486"/>
      <c r="AF101" s="486"/>
      <c r="AG101" s="486"/>
      <c r="AH101" s="486"/>
      <c r="AI101" s="486"/>
      <c r="AJ101" s="486"/>
      <c r="AK101" s="486"/>
      <c r="AL101" s="486"/>
      <c r="AM101" s="486"/>
      <c r="AN101" s="486"/>
      <c r="AO101" s="486"/>
      <c r="AP101" s="486"/>
      <c r="AQ101" s="486"/>
      <c r="AR101" s="231"/>
    </row>
    <row r="102" spans="1:44" customFormat="1" ht="11.25">
      <c r="A102" s="493">
        <f t="shared" ca="1" si="33"/>
        <v>39539</v>
      </c>
      <c r="B102" s="511">
        <v>2.0539999999999998</v>
      </c>
      <c r="C102" s="511">
        <v>2.0839999999999996</v>
      </c>
      <c r="D102" s="493">
        <f t="shared" ca="1" si="34"/>
        <v>39539</v>
      </c>
      <c r="E102" s="511">
        <v>18.768000000000001</v>
      </c>
      <c r="F102" s="511">
        <v>19.256</v>
      </c>
      <c r="G102" s="318"/>
      <c r="H102" s="490">
        <f t="shared" ca="1" si="27"/>
        <v>39539</v>
      </c>
      <c r="I102" s="491">
        <f t="shared" si="28"/>
        <v>2.0839999999999996</v>
      </c>
      <c r="J102" s="492">
        <f t="shared" ca="1" si="29"/>
        <v>39539</v>
      </c>
      <c r="K102" s="491">
        <f t="shared" ref="K102:K133" si="35">IF($J$1="bid",E102,F102)</f>
        <v>19.256</v>
      </c>
      <c r="L102" s="486"/>
      <c r="M102" s="486"/>
      <c r="N102" s="486"/>
      <c r="O102" s="486"/>
      <c r="P102" s="486"/>
      <c r="Q102" s="486"/>
      <c r="R102" s="486"/>
      <c r="S102" s="486"/>
      <c r="T102" s="486"/>
      <c r="U102" s="486"/>
      <c r="V102" s="486"/>
      <c r="W102" s="486"/>
      <c r="X102" s="486"/>
      <c r="Y102" s="486"/>
      <c r="Z102" s="486"/>
      <c r="AA102" s="486"/>
      <c r="AB102" s="486"/>
      <c r="AC102" s="486"/>
      <c r="AD102" s="486"/>
      <c r="AE102" s="486"/>
      <c r="AF102" s="486"/>
      <c r="AG102" s="486"/>
      <c r="AH102" s="486"/>
      <c r="AI102" s="486"/>
      <c r="AJ102" s="486"/>
      <c r="AK102" s="486"/>
      <c r="AL102" s="486"/>
      <c r="AM102" s="486"/>
      <c r="AN102" s="486"/>
      <c r="AO102" s="486"/>
      <c r="AP102" s="486"/>
      <c r="AQ102" s="486"/>
      <c r="AR102" s="231"/>
    </row>
    <row r="103" spans="1:44" customFormat="1" ht="11.25">
      <c r="A103" s="493">
        <f t="shared" ref="A103:A118" ca="1" si="36">DATE(YEAR(A102),MONTH(A102)+1,1)</f>
        <v>39569</v>
      </c>
      <c r="B103" s="511">
        <v>2.1719999999999997</v>
      </c>
      <c r="C103" s="511">
        <v>2.2019999999999995</v>
      </c>
      <c r="D103" s="493">
        <f t="shared" ref="D103:D118" ca="1" si="37">DATE(YEAR(D102),MONTH(D102)+1,1)</f>
        <v>39569</v>
      </c>
      <c r="E103" s="511">
        <v>18.777999999999999</v>
      </c>
      <c r="F103" s="511">
        <v>19.274999999999999</v>
      </c>
      <c r="G103" s="318"/>
      <c r="H103" s="490">
        <f t="shared" ca="1" si="27"/>
        <v>39569</v>
      </c>
      <c r="I103" s="491">
        <f t="shared" si="28"/>
        <v>2.2019999999999995</v>
      </c>
      <c r="J103" s="492">
        <f t="shared" ca="1" si="29"/>
        <v>39569</v>
      </c>
      <c r="K103" s="491">
        <f t="shared" si="35"/>
        <v>19.274999999999999</v>
      </c>
      <c r="L103" s="486"/>
      <c r="M103" s="486"/>
      <c r="N103" s="486"/>
      <c r="O103" s="486"/>
      <c r="P103" s="486"/>
      <c r="Q103" s="486"/>
      <c r="R103" s="486"/>
      <c r="S103" s="486"/>
      <c r="T103" s="486"/>
      <c r="U103" s="486"/>
      <c r="V103" s="486"/>
      <c r="W103" s="486"/>
      <c r="X103" s="486"/>
      <c r="Y103" s="486"/>
      <c r="Z103" s="486"/>
      <c r="AA103" s="486"/>
      <c r="AB103" s="486"/>
      <c r="AC103" s="486"/>
      <c r="AD103" s="486"/>
      <c r="AE103" s="486"/>
      <c r="AF103" s="486"/>
      <c r="AG103" s="486"/>
      <c r="AH103" s="486"/>
      <c r="AI103" s="486"/>
      <c r="AJ103" s="486"/>
      <c r="AK103" s="486"/>
      <c r="AL103" s="486"/>
      <c r="AM103" s="486"/>
      <c r="AN103" s="486"/>
      <c r="AO103" s="486"/>
      <c r="AP103" s="486"/>
      <c r="AQ103" s="486"/>
      <c r="AR103" s="231"/>
    </row>
    <row r="104" spans="1:44" customFormat="1" ht="11.25">
      <c r="A104" s="493">
        <f t="shared" ca="1" si="36"/>
        <v>39600</v>
      </c>
      <c r="B104" s="511">
        <v>2.2329999999999992</v>
      </c>
      <c r="C104" s="511">
        <v>2.2729999999999992</v>
      </c>
      <c r="D104" s="493">
        <f t="shared" ca="1" si="37"/>
        <v>39600</v>
      </c>
      <c r="E104" s="511">
        <v>18.786999999999999</v>
      </c>
      <c r="F104" s="511">
        <v>19.292000000000002</v>
      </c>
      <c r="G104" s="318"/>
      <c r="H104" s="490">
        <f t="shared" ca="1" si="27"/>
        <v>39600</v>
      </c>
      <c r="I104" s="491">
        <f t="shared" si="28"/>
        <v>2.2729999999999992</v>
      </c>
      <c r="J104" s="492">
        <f t="shared" ca="1" si="29"/>
        <v>39600</v>
      </c>
      <c r="K104" s="491">
        <f t="shared" si="35"/>
        <v>19.292000000000002</v>
      </c>
      <c r="L104" s="486"/>
      <c r="M104" s="486"/>
      <c r="N104" s="486"/>
      <c r="O104" s="486"/>
      <c r="P104" s="486"/>
      <c r="Q104" s="486"/>
      <c r="R104" s="486"/>
      <c r="S104" s="486"/>
      <c r="T104" s="486"/>
      <c r="U104" s="486"/>
      <c r="V104" s="486"/>
      <c r="W104" s="486"/>
      <c r="X104" s="486"/>
      <c r="Y104" s="486"/>
      <c r="Z104" s="486"/>
      <c r="AA104" s="486"/>
      <c r="AB104" s="486"/>
      <c r="AC104" s="486"/>
      <c r="AD104" s="486"/>
      <c r="AE104" s="486"/>
      <c r="AF104" s="486"/>
      <c r="AG104" s="486"/>
      <c r="AH104" s="486"/>
      <c r="AI104" s="486"/>
      <c r="AJ104" s="486"/>
      <c r="AK104" s="486"/>
      <c r="AL104" s="486"/>
      <c r="AM104" s="486"/>
      <c r="AN104" s="486"/>
      <c r="AO104" s="486"/>
      <c r="AP104" s="486"/>
      <c r="AQ104" s="486"/>
      <c r="AR104" s="231"/>
    </row>
    <row r="105" spans="1:44" customFormat="1" ht="11.25">
      <c r="A105" s="493">
        <f t="shared" ca="1" si="36"/>
        <v>39630</v>
      </c>
      <c r="B105" s="511">
        <v>2.1479999999999992</v>
      </c>
      <c r="C105" s="511">
        <v>2.1879999999999993</v>
      </c>
      <c r="D105" s="493">
        <f t="shared" ca="1" si="37"/>
        <v>39630</v>
      </c>
      <c r="E105" s="511">
        <v>18.795999999999999</v>
      </c>
      <c r="F105" s="511">
        <v>19.309000000000001</v>
      </c>
      <c r="G105" s="318"/>
      <c r="H105" s="490">
        <f t="shared" ca="1" si="27"/>
        <v>39630</v>
      </c>
      <c r="I105" s="491">
        <f t="shared" si="28"/>
        <v>2.1879999999999993</v>
      </c>
      <c r="J105" s="492">
        <f t="shared" ca="1" si="29"/>
        <v>39630</v>
      </c>
      <c r="K105" s="491">
        <f t="shared" si="35"/>
        <v>19.309000000000001</v>
      </c>
      <c r="L105" s="486"/>
      <c r="M105" s="486"/>
      <c r="N105" s="486"/>
      <c r="O105" s="486"/>
      <c r="P105" s="486"/>
      <c r="Q105" s="486"/>
      <c r="R105" s="486"/>
      <c r="S105" s="486"/>
      <c r="T105" s="486"/>
      <c r="U105" s="486"/>
      <c r="V105" s="486"/>
      <c r="W105" s="486"/>
      <c r="X105" s="486"/>
      <c r="Y105" s="486"/>
      <c r="Z105" s="486"/>
      <c r="AA105" s="486"/>
      <c r="AB105" s="486"/>
      <c r="AC105" s="486"/>
      <c r="AD105" s="486"/>
      <c r="AE105" s="486"/>
      <c r="AF105" s="486"/>
      <c r="AG105" s="486"/>
      <c r="AH105" s="486"/>
      <c r="AI105" s="486"/>
      <c r="AJ105" s="486"/>
      <c r="AK105" s="486"/>
      <c r="AL105" s="486"/>
      <c r="AM105" s="486"/>
      <c r="AN105" s="486"/>
      <c r="AO105" s="486"/>
      <c r="AP105" s="486"/>
      <c r="AQ105" s="486"/>
      <c r="AR105" s="231"/>
    </row>
    <row r="106" spans="1:44" customFormat="1" ht="11.25">
      <c r="A106" s="493">
        <f t="shared" ca="1" si="36"/>
        <v>39661</v>
      </c>
      <c r="B106" s="511">
        <v>2.0819999999999994</v>
      </c>
      <c r="C106" s="511">
        <v>2.1219999999999994</v>
      </c>
      <c r="D106" s="493">
        <f t="shared" ca="1" si="37"/>
        <v>39661</v>
      </c>
      <c r="E106" s="511">
        <v>18.805</v>
      </c>
      <c r="F106" s="511">
        <v>19.327000000000002</v>
      </c>
      <c r="G106" s="318"/>
      <c r="H106" s="490">
        <f t="shared" ca="1" si="27"/>
        <v>39661</v>
      </c>
      <c r="I106" s="491">
        <f t="shared" si="28"/>
        <v>2.1219999999999994</v>
      </c>
      <c r="J106" s="492">
        <f t="shared" ca="1" si="29"/>
        <v>39661</v>
      </c>
      <c r="K106" s="491">
        <f t="shared" si="35"/>
        <v>19.327000000000002</v>
      </c>
      <c r="L106" s="486"/>
      <c r="M106" s="486"/>
      <c r="N106" s="486"/>
      <c r="O106" s="486"/>
      <c r="P106" s="486"/>
      <c r="Q106" s="486"/>
      <c r="R106" s="486"/>
      <c r="S106" s="486"/>
      <c r="T106" s="486"/>
      <c r="U106" s="486"/>
      <c r="V106" s="486"/>
      <c r="W106" s="486"/>
      <c r="X106" s="486"/>
      <c r="Y106" s="486"/>
      <c r="Z106" s="486"/>
      <c r="AA106" s="486"/>
      <c r="AB106" s="486"/>
      <c r="AC106" s="486"/>
      <c r="AD106" s="486"/>
      <c r="AE106" s="486"/>
      <c r="AF106" s="486"/>
      <c r="AG106" s="486"/>
      <c r="AH106" s="486"/>
      <c r="AI106" s="486"/>
      <c r="AJ106" s="486"/>
      <c r="AK106" s="486"/>
      <c r="AL106" s="486"/>
      <c r="AM106" s="486"/>
      <c r="AN106" s="486"/>
      <c r="AO106" s="486"/>
      <c r="AP106" s="486"/>
      <c r="AQ106" s="486"/>
      <c r="AR106" s="231"/>
    </row>
    <row r="107" spans="1:44" customFormat="1" ht="11.25">
      <c r="A107" s="493">
        <f t="shared" ca="1" si="36"/>
        <v>39692</v>
      </c>
      <c r="B107" s="511">
        <v>2.0329999999999995</v>
      </c>
      <c r="C107" s="511">
        <v>2.0729999999999995</v>
      </c>
      <c r="D107" s="493">
        <f t="shared" ca="1" si="37"/>
        <v>39692</v>
      </c>
      <c r="E107" s="511">
        <v>18.814</v>
      </c>
      <c r="F107" s="511">
        <v>19.344000000000001</v>
      </c>
      <c r="G107" s="318"/>
      <c r="H107" s="490">
        <f t="shared" ca="1" si="27"/>
        <v>39692</v>
      </c>
      <c r="I107" s="491">
        <f t="shared" si="28"/>
        <v>2.0729999999999995</v>
      </c>
      <c r="J107" s="492">
        <f t="shared" ca="1" si="29"/>
        <v>39692</v>
      </c>
      <c r="K107" s="491">
        <f t="shared" si="35"/>
        <v>19.344000000000001</v>
      </c>
      <c r="L107" s="486"/>
      <c r="M107" s="486"/>
      <c r="N107" s="486"/>
      <c r="O107" s="486"/>
      <c r="P107" s="486"/>
      <c r="Q107" s="486"/>
      <c r="R107" s="486"/>
      <c r="S107" s="486"/>
      <c r="T107" s="486"/>
      <c r="U107" s="486"/>
      <c r="V107" s="486"/>
      <c r="W107" s="486"/>
      <c r="X107" s="486"/>
      <c r="Y107" s="486"/>
      <c r="Z107" s="486"/>
      <c r="AA107" s="486"/>
      <c r="AB107" s="486"/>
      <c r="AC107" s="486"/>
      <c r="AD107" s="486"/>
      <c r="AE107" s="486"/>
      <c r="AF107" s="486"/>
      <c r="AG107" s="486"/>
      <c r="AH107" s="486"/>
      <c r="AI107" s="486"/>
      <c r="AJ107" s="486"/>
      <c r="AK107" s="486"/>
      <c r="AL107" s="486"/>
      <c r="AM107" s="486"/>
      <c r="AN107" s="486"/>
      <c r="AO107" s="486"/>
      <c r="AP107" s="486"/>
      <c r="AQ107" s="486"/>
      <c r="AR107" s="231"/>
    </row>
    <row r="108" spans="1:44" customFormat="1" ht="11.25">
      <c r="A108" s="493">
        <f t="shared" ca="1" si="36"/>
        <v>39722</v>
      </c>
      <c r="B108" s="511">
        <v>2.02</v>
      </c>
      <c r="C108" s="511">
        <v>2.06</v>
      </c>
      <c r="D108" s="493">
        <f t="shared" ca="1" si="37"/>
        <v>39722</v>
      </c>
      <c r="E108" s="511">
        <v>18.823</v>
      </c>
      <c r="F108" s="511">
        <v>19.361000000000001</v>
      </c>
      <c r="G108" s="318"/>
      <c r="H108" s="490">
        <f t="shared" ca="1" si="27"/>
        <v>39722</v>
      </c>
      <c r="I108" s="491">
        <f t="shared" si="28"/>
        <v>2.06</v>
      </c>
      <c r="J108" s="492">
        <f t="shared" ca="1" si="29"/>
        <v>39722</v>
      </c>
      <c r="K108" s="491">
        <f t="shared" si="35"/>
        <v>19.361000000000001</v>
      </c>
      <c r="L108" s="486"/>
      <c r="M108" s="486"/>
      <c r="N108" s="486"/>
      <c r="O108" s="486"/>
      <c r="P108" s="486"/>
      <c r="Q108" s="486"/>
      <c r="R108" s="486"/>
      <c r="S108" s="486"/>
      <c r="T108" s="486"/>
      <c r="U108" s="486"/>
      <c r="V108" s="486"/>
      <c r="W108" s="486"/>
      <c r="X108" s="486"/>
      <c r="Y108" s="486"/>
      <c r="Z108" s="486"/>
      <c r="AA108" s="486"/>
      <c r="AB108" s="486"/>
      <c r="AC108" s="486"/>
      <c r="AD108" s="486"/>
      <c r="AE108" s="486"/>
      <c r="AF108" s="486"/>
      <c r="AG108" s="486"/>
      <c r="AH108" s="486"/>
      <c r="AI108" s="486"/>
      <c r="AJ108" s="486"/>
      <c r="AK108" s="486"/>
      <c r="AL108" s="486"/>
      <c r="AM108" s="486"/>
      <c r="AN108" s="486"/>
      <c r="AO108" s="486"/>
      <c r="AP108" s="486"/>
      <c r="AQ108" s="486"/>
      <c r="AR108" s="231"/>
    </row>
    <row r="109" spans="1:44" customFormat="1" ht="11.25">
      <c r="A109" s="493">
        <f t="shared" ca="1" si="36"/>
        <v>39753</v>
      </c>
      <c r="B109" s="511">
        <v>2.0279999999999996</v>
      </c>
      <c r="C109" s="511">
        <v>2.0679999999999996</v>
      </c>
      <c r="D109" s="493">
        <f t="shared" ca="1" si="37"/>
        <v>39753</v>
      </c>
      <c r="E109" s="511">
        <v>18.832999999999998</v>
      </c>
      <c r="F109" s="511">
        <v>19.38</v>
      </c>
      <c r="G109" s="318"/>
      <c r="H109" s="490">
        <f t="shared" ca="1" si="27"/>
        <v>39753</v>
      </c>
      <c r="I109" s="491">
        <f t="shared" si="28"/>
        <v>2.0679999999999996</v>
      </c>
      <c r="J109" s="492">
        <f t="shared" ca="1" si="29"/>
        <v>39753</v>
      </c>
      <c r="K109" s="491">
        <f t="shared" si="35"/>
        <v>19.38</v>
      </c>
      <c r="L109" s="486"/>
      <c r="M109" s="486"/>
      <c r="N109" s="486"/>
      <c r="O109" s="486"/>
      <c r="P109" s="486"/>
      <c r="Q109" s="486"/>
      <c r="R109" s="486"/>
      <c r="S109" s="486"/>
      <c r="T109" s="486"/>
      <c r="U109" s="486"/>
      <c r="V109" s="486"/>
      <c r="W109" s="486"/>
      <c r="X109" s="486"/>
      <c r="Y109" s="486"/>
      <c r="Z109" s="486"/>
      <c r="AA109" s="486"/>
      <c r="AB109" s="486"/>
      <c r="AC109" s="486"/>
      <c r="AD109" s="486"/>
      <c r="AE109" s="486"/>
      <c r="AF109" s="486"/>
      <c r="AG109" s="486"/>
      <c r="AH109" s="486"/>
      <c r="AI109" s="486"/>
      <c r="AJ109" s="486"/>
      <c r="AK109" s="486"/>
      <c r="AL109" s="486"/>
      <c r="AM109" s="486"/>
      <c r="AN109" s="486"/>
      <c r="AO109" s="486"/>
      <c r="AP109" s="486"/>
      <c r="AQ109" s="486"/>
      <c r="AR109" s="231"/>
    </row>
    <row r="110" spans="1:44" customFormat="1" ht="11.25">
      <c r="A110" s="493">
        <f t="shared" ca="1" si="36"/>
        <v>39783</v>
      </c>
      <c r="B110" s="511">
        <v>2.02</v>
      </c>
      <c r="C110" s="511">
        <v>2.06</v>
      </c>
      <c r="D110" s="493">
        <f t="shared" ca="1" si="37"/>
        <v>39783</v>
      </c>
      <c r="E110" s="511">
        <v>18.841000000000001</v>
      </c>
      <c r="F110" s="511">
        <v>19.396000000000001</v>
      </c>
      <c r="G110" s="318"/>
      <c r="H110" s="490">
        <f t="shared" ca="1" si="27"/>
        <v>39783</v>
      </c>
      <c r="I110" s="491">
        <f t="shared" si="28"/>
        <v>2.06</v>
      </c>
      <c r="J110" s="492">
        <f t="shared" ca="1" si="29"/>
        <v>39783</v>
      </c>
      <c r="K110" s="491">
        <f t="shared" si="35"/>
        <v>19.396000000000001</v>
      </c>
      <c r="L110" s="486"/>
      <c r="M110" s="486"/>
      <c r="N110" s="486"/>
      <c r="O110" s="486"/>
      <c r="P110" s="486"/>
      <c r="Q110" s="486"/>
      <c r="R110" s="486"/>
      <c r="S110" s="486"/>
      <c r="T110" s="486"/>
      <c r="U110" s="486"/>
      <c r="V110" s="486"/>
      <c r="W110" s="486"/>
      <c r="X110" s="486"/>
      <c r="Y110" s="486"/>
      <c r="Z110" s="486"/>
      <c r="AA110" s="486"/>
      <c r="AB110" s="486"/>
      <c r="AC110" s="486"/>
      <c r="AD110" s="486"/>
      <c r="AE110" s="486"/>
      <c r="AF110" s="486"/>
      <c r="AG110" s="486"/>
      <c r="AH110" s="486"/>
      <c r="AI110" s="486"/>
      <c r="AJ110" s="486"/>
      <c r="AK110" s="486"/>
      <c r="AL110" s="486"/>
      <c r="AM110" s="486"/>
      <c r="AN110" s="486"/>
      <c r="AO110" s="486"/>
      <c r="AP110" s="486"/>
      <c r="AQ110" s="486"/>
      <c r="AR110" s="231"/>
    </row>
    <row r="111" spans="1:44" customFormat="1" ht="11.25">
      <c r="A111" s="493">
        <f t="shared" ca="1" si="36"/>
        <v>39814</v>
      </c>
      <c r="B111" s="511">
        <v>2.02</v>
      </c>
      <c r="C111" s="511">
        <v>2.06</v>
      </c>
      <c r="D111" s="493">
        <f t="shared" ca="1" si="37"/>
        <v>39814</v>
      </c>
      <c r="E111" s="511">
        <v>18.850999999999999</v>
      </c>
      <c r="F111" s="511">
        <v>19.414000000000001</v>
      </c>
      <c r="G111" s="318"/>
      <c r="H111" s="490">
        <f t="shared" ca="1" si="27"/>
        <v>39814</v>
      </c>
      <c r="I111" s="491">
        <f t="shared" si="28"/>
        <v>2.06</v>
      </c>
      <c r="J111" s="492">
        <f t="shared" ca="1" si="29"/>
        <v>39814</v>
      </c>
      <c r="K111" s="491">
        <f t="shared" si="35"/>
        <v>19.414000000000001</v>
      </c>
      <c r="L111" s="486"/>
      <c r="M111" s="486"/>
      <c r="N111" s="486"/>
      <c r="O111" s="486"/>
      <c r="P111" s="486"/>
      <c r="Q111" s="486"/>
      <c r="R111" s="486"/>
      <c r="S111" s="486"/>
      <c r="T111" s="486"/>
      <c r="U111" s="486"/>
      <c r="V111" s="486"/>
      <c r="W111" s="486"/>
      <c r="X111" s="486"/>
      <c r="Y111" s="486"/>
      <c r="Z111" s="486"/>
      <c r="AA111" s="486"/>
      <c r="AB111" s="486"/>
      <c r="AC111" s="486"/>
      <c r="AD111" s="486"/>
      <c r="AE111" s="486"/>
      <c r="AF111" s="486"/>
      <c r="AG111" s="486"/>
      <c r="AH111" s="486"/>
      <c r="AI111" s="486"/>
      <c r="AJ111" s="486"/>
      <c r="AK111" s="486"/>
      <c r="AL111" s="486"/>
      <c r="AM111" s="486"/>
      <c r="AN111" s="486"/>
      <c r="AO111" s="486"/>
      <c r="AP111" s="486"/>
      <c r="AQ111" s="486"/>
      <c r="AR111" s="231"/>
    </row>
    <row r="112" spans="1:44" customFormat="1" ht="11.25">
      <c r="A112" s="493">
        <f t="shared" ca="1" si="36"/>
        <v>39845</v>
      </c>
      <c r="B112" s="511">
        <v>2.02</v>
      </c>
      <c r="C112" s="511">
        <v>2.06</v>
      </c>
      <c r="D112" s="493">
        <f t="shared" ca="1" si="37"/>
        <v>39845</v>
      </c>
      <c r="E112" s="511">
        <v>18.861000000000001</v>
      </c>
      <c r="F112" s="511">
        <v>19.433</v>
      </c>
      <c r="G112" s="318"/>
      <c r="H112" s="490">
        <f t="shared" ca="1" si="27"/>
        <v>39845</v>
      </c>
      <c r="I112" s="491">
        <f t="shared" si="28"/>
        <v>2.06</v>
      </c>
      <c r="J112" s="492">
        <f t="shared" ca="1" si="29"/>
        <v>39845</v>
      </c>
      <c r="K112" s="491">
        <f t="shared" si="35"/>
        <v>19.433</v>
      </c>
      <c r="L112" s="486"/>
      <c r="M112" s="486"/>
      <c r="N112" s="486"/>
      <c r="O112" s="486"/>
      <c r="P112" s="486"/>
      <c r="Q112" s="486"/>
      <c r="R112" s="486"/>
      <c r="S112" s="486"/>
      <c r="T112" s="486"/>
      <c r="U112" s="486"/>
      <c r="V112" s="486"/>
      <c r="W112" s="486"/>
      <c r="X112" s="486"/>
      <c r="Y112" s="486"/>
      <c r="Z112" s="486"/>
      <c r="AA112" s="486"/>
      <c r="AB112" s="486"/>
      <c r="AC112" s="486"/>
      <c r="AD112" s="486"/>
      <c r="AE112" s="486"/>
      <c r="AF112" s="486"/>
      <c r="AG112" s="486"/>
      <c r="AH112" s="486"/>
      <c r="AI112" s="486"/>
      <c r="AJ112" s="486"/>
      <c r="AK112" s="486"/>
      <c r="AL112" s="486"/>
      <c r="AM112" s="486"/>
      <c r="AN112" s="486"/>
      <c r="AO112" s="486"/>
      <c r="AP112" s="486"/>
      <c r="AQ112" s="486"/>
      <c r="AR112" s="231"/>
    </row>
    <row r="113" spans="1:44" customFormat="1" ht="11.25">
      <c r="A113" s="493">
        <f t="shared" ca="1" si="36"/>
        <v>39873</v>
      </c>
      <c r="B113" s="511">
        <v>2.02</v>
      </c>
      <c r="C113" s="511">
        <v>2.06</v>
      </c>
      <c r="D113" s="493">
        <f t="shared" ca="1" si="37"/>
        <v>39873</v>
      </c>
      <c r="E113" s="511">
        <v>18.869</v>
      </c>
      <c r="F113" s="511">
        <v>19.449000000000002</v>
      </c>
      <c r="G113" s="318"/>
      <c r="H113" s="490">
        <f t="shared" ca="1" si="27"/>
        <v>39873</v>
      </c>
      <c r="I113" s="491">
        <f t="shared" si="28"/>
        <v>2.06</v>
      </c>
      <c r="J113" s="492">
        <f t="shared" ca="1" si="29"/>
        <v>39873</v>
      </c>
      <c r="K113" s="491">
        <f t="shared" si="35"/>
        <v>19.449000000000002</v>
      </c>
      <c r="L113" s="486"/>
      <c r="M113" s="486"/>
      <c r="N113" s="486"/>
      <c r="O113" s="486"/>
      <c r="P113" s="486"/>
      <c r="Q113" s="486"/>
      <c r="R113" s="486"/>
      <c r="S113" s="486"/>
      <c r="T113" s="486"/>
      <c r="U113" s="486"/>
      <c r="V113" s="486"/>
      <c r="W113" s="486"/>
      <c r="X113" s="486"/>
      <c r="Y113" s="486"/>
      <c r="Z113" s="486"/>
      <c r="AA113" s="486"/>
      <c r="AB113" s="486"/>
      <c r="AC113" s="486"/>
      <c r="AD113" s="486"/>
      <c r="AE113" s="486"/>
      <c r="AF113" s="486"/>
      <c r="AG113" s="486"/>
      <c r="AH113" s="486"/>
      <c r="AI113" s="486"/>
      <c r="AJ113" s="486"/>
      <c r="AK113" s="486"/>
      <c r="AL113" s="486"/>
      <c r="AM113" s="486"/>
      <c r="AN113" s="486"/>
      <c r="AO113" s="486"/>
      <c r="AP113" s="486"/>
      <c r="AQ113" s="486"/>
      <c r="AR113" s="231"/>
    </row>
    <row r="114" spans="1:44" customFormat="1" ht="11.25">
      <c r="A114" s="493">
        <f t="shared" ca="1" si="36"/>
        <v>39904</v>
      </c>
      <c r="B114" s="511">
        <v>2.0939999999999994</v>
      </c>
      <c r="C114" s="511">
        <v>2.1339999999999995</v>
      </c>
      <c r="D114" s="493">
        <f t="shared" ca="1" si="37"/>
        <v>39904</v>
      </c>
      <c r="E114" s="511">
        <v>18.878</v>
      </c>
      <c r="F114" s="511">
        <v>19.466000000000001</v>
      </c>
      <c r="G114" s="318"/>
      <c r="H114" s="490">
        <f t="shared" ca="1" si="27"/>
        <v>39904</v>
      </c>
      <c r="I114" s="491">
        <f t="shared" si="28"/>
        <v>2.1339999999999995</v>
      </c>
      <c r="J114" s="492">
        <f t="shared" ca="1" si="29"/>
        <v>39904</v>
      </c>
      <c r="K114" s="491">
        <f t="shared" si="35"/>
        <v>19.466000000000001</v>
      </c>
      <c r="L114" s="486"/>
      <c r="M114" s="486"/>
      <c r="N114" s="486"/>
      <c r="O114" s="486"/>
      <c r="P114" s="486"/>
      <c r="Q114" s="486"/>
      <c r="R114" s="486"/>
      <c r="S114" s="486"/>
      <c r="T114" s="486"/>
      <c r="U114" s="486"/>
      <c r="V114" s="486"/>
      <c r="W114" s="486"/>
      <c r="X114" s="486"/>
      <c r="Y114" s="486"/>
      <c r="Z114" s="486"/>
      <c r="AA114" s="486"/>
      <c r="AB114" s="486"/>
      <c r="AC114" s="486"/>
      <c r="AD114" s="486"/>
      <c r="AE114" s="486"/>
      <c r="AF114" s="486"/>
      <c r="AG114" s="486"/>
      <c r="AH114" s="486"/>
      <c r="AI114" s="486"/>
      <c r="AJ114" s="486"/>
      <c r="AK114" s="486"/>
      <c r="AL114" s="486"/>
      <c r="AM114" s="486"/>
      <c r="AN114" s="486"/>
      <c r="AO114" s="486"/>
      <c r="AP114" s="486"/>
      <c r="AQ114" s="486"/>
      <c r="AR114" s="231"/>
    </row>
    <row r="115" spans="1:44" customFormat="1" ht="11.25">
      <c r="A115" s="493">
        <f t="shared" ca="1" si="36"/>
        <v>39934</v>
      </c>
      <c r="B115" s="511">
        <v>2.2119999999999993</v>
      </c>
      <c r="C115" s="511">
        <v>2.2519999999999993</v>
      </c>
      <c r="D115" s="493">
        <f t="shared" ca="1" si="37"/>
        <v>39934</v>
      </c>
      <c r="E115" s="511">
        <v>18.888000000000002</v>
      </c>
      <c r="F115" s="511">
        <v>19.484999999999999</v>
      </c>
      <c r="G115" s="318"/>
      <c r="H115" s="490">
        <f t="shared" ca="1" si="27"/>
        <v>39934</v>
      </c>
      <c r="I115" s="491">
        <f t="shared" si="28"/>
        <v>2.2519999999999993</v>
      </c>
      <c r="J115" s="492">
        <f t="shared" ca="1" si="29"/>
        <v>39934</v>
      </c>
      <c r="K115" s="491">
        <f t="shared" si="35"/>
        <v>19.484999999999999</v>
      </c>
      <c r="L115" s="486"/>
      <c r="M115" s="486"/>
      <c r="N115" s="486"/>
      <c r="O115" s="486"/>
      <c r="P115" s="486"/>
      <c r="Q115" s="486"/>
      <c r="R115" s="486"/>
      <c r="S115" s="486"/>
      <c r="T115" s="486"/>
      <c r="U115" s="486"/>
      <c r="V115" s="486"/>
      <c r="W115" s="486"/>
      <c r="X115" s="486"/>
      <c r="Y115" s="486"/>
      <c r="Z115" s="486"/>
      <c r="AA115" s="486"/>
      <c r="AB115" s="486"/>
      <c r="AC115" s="486"/>
      <c r="AD115" s="486"/>
      <c r="AE115" s="486"/>
      <c r="AF115" s="486"/>
      <c r="AG115" s="486"/>
      <c r="AH115" s="486"/>
      <c r="AI115" s="486"/>
      <c r="AJ115" s="486"/>
      <c r="AK115" s="486"/>
      <c r="AL115" s="486"/>
      <c r="AM115" s="486"/>
      <c r="AN115" s="486"/>
      <c r="AO115" s="486"/>
      <c r="AP115" s="486"/>
      <c r="AQ115" s="486"/>
      <c r="AR115" s="231"/>
    </row>
    <row r="116" spans="1:44" customFormat="1" ht="11.25">
      <c r="A116" s="493">
        <f t="shared" ca="1" si="36"/>
        <v>39965</v>
      </c>
      <c r="B116" s="511">
        <v>2.2929999999999993</v>
      </c>
      <c r="C116" s="511">
        <v>2.3429999999999991</v>
      </c>
      <c r="D116" s="493">
        <f t="shared" ca="1" si="37"/>
        <v>39965</v>
      </c>
      <c r="E116" s="511">
        <v>18.896999999999998</v>
      </c>
      <c r="F116" s="511">
        <v>19.501999999999999</v>
      </c>
      <c r="G116" s="318"/>
      <c r="H116" s="490">
        <f t="shared" ca="1" si="27"/>
        <v>39965</v>
      </c>
      <c r="I116" s="491">
        <f t="shared" si="28"/>
        <v>2.3429999999999991</v>
      </c>
      <c r="J116" s="492">
        <f t="shared" ca="1" si="29"/>
        <v>39965</v>
      </c>
      <c r="K116" s="491">
        <f t="shared" si="35"/>
        <v>19.501999999999999</v>
      </c>
      <c r="L116" s="486"/>
      <c r="M116" s="486"/>
      <c r="N116" s="486"/>
      <c r="O116" s="486"/>
      <c r="P116" s="486"/>
      <c r="Q116" s="486"/>
      <c r="R116" s="486"/>
      <c r="S116" s="486"/>
      <c r="T116" s="486"/>
      <c r="U116" s="486"/>
      <c r="V116" s="486"/>
      <c r="W116" s="486"/>
      <c r="X116" s="486"/>
      <c r="Y116" s="486"/>
      <c r="Z116" s="486"/>
      <c r="AA116" s="486"/>
      <c r="AB116" s="486"/>
      <c r="AC116" s="486"/>
      <c r="AD116" s="486"/>
      <c r="AE116" s="486"/>
      <c r="AF116" s="486"/>
      <c r="AG116" s="486"/>
      <c r="AH116" s="486"/>
      <c r="AI116" s="486"/>
      <c r="AJ116" s="486"/>
      <c r="AK116" s="486"/>
      <c r="AL116" s="486"/>
      <c r="AM116" s="486"/>
      <c r="AN116" s="486"/>
      <c r="AO116" s="486"/>
      <c r="AP116" s="486"/>
      <c r="AQ116" s="486"/>
      <c r="AR116" s="231"/>
    </row>
    <row r="117" spans="1:44" customFormat="1" ht="11.25">
      <c r="A117" s="493">
        <f t="shared" ca="1" si="36"/>
        <v>39995</v>
      </c>
      <c r="B117" s="511">
        <v>2.2079999999999993</v>
      </c>
      <c r="C117" s="511">
        <v>2.2579999999999991</v>
      </c>
      <c r="D117" s="493">
        <f t="shared" ca="1" si="37"/>
        <v>39995</v>
      </c>
      <c r="E117" s="511">
        <v>18.905999999999999</v>
      </c>
      <c r="F117" s="511">
        <v>19.518999999999998</v>
      </c>
      <c r="G117" s="318"/>
      <c r="H117" s="490">
        <f t="shared" ca="1" si="27"/>
        <v>39995</v>
      </c>
      <c r="I117" s="491">
        <f t="shared" si="28"/>
        <v>2.2579999999999991</v>
      </c>
      <c r="J117" s="492">
        <f t="shared" ca="1" si="29"/>
        <v>39995</v>
      </c>
      <c r="K117" s="491">
        <f t="shared" si="35"/>
        <v>19.518999999999998</v>
      </c>
      <c r="L117" s="486"/>
      <c r="M117" s="486"/>
      <c r="N117" s="486"/>
      <c r="O117" s="486"/>
      <c r="P117" s="486"/>
      <c r="Q117" s="486"/>
      <c r="R117" s="486"/>
      <c r="S117" s="486"/>
      <c r="T117" s="486"/>
      <c r="U117" s="486"/>
      <c r="V117" s="486"/>
      <c r="W117" s="486"/>
      <c r="X117" s="486"/>
      <c r="Y117" s="486"/>
      <c r="Z117" s="486"/>
      <c r="AA117" s="486"/>
      <c r="AB117" s="486"/>
      <c r="AC117" s="486"/>
      <c r="AD117" s="486"/>
      <c r="AE117" s="486"/>
      <c r="AF117" s="486"/>
      <c r="AG117" s="486"/>
      <c r="AH117" s="486"/>
      <c r="AI117" s="486"/>
      <c r="AJ117" s="486"/>
      <c r="AK117" s="486"/>
      <c r="AL117" s="486"/>
      <c r="AM117" s="486"/>
      <c r="AN117" s="486"/>
      <c r="AO117" s="486"/>
      <c r="AP117" s="486"/>
      <c r="AQ117" s="486"/>
      <c r="AR117" s="231"/>
    </row>
    <row r="118" spans="1:44" customFormat="1" ht="11.25">
      <c r="A118" s="493">
        <f t="shared" ca="1" si="36"/>
        <v>40026</v>
      </c>
      <c r="B118" s="511">
        <v>2.1419999999999995</v>
      </c>
      <c r="C118" s="511">
        <v>2.1919999999999993</v>
      </c>
      <c r="D118" s="493">
        <f t="shared" ca="1" si="37"/>
        <v>40026</v>
      </c>
      <c r="E118" s="511">
        <v>18.914999999999999</v>
      </c>
      <c r="F118" s="511">
        <v>19.536999999999999</v>
      </c>
      <c r="G118" s="318"/>
      <c r="H118" s="490">
        <f t="shared" ca="1" si="27"/>
        <v>40026</v>
      </c>
      <c r="I118" s="491">
        <f t="shared" si="28"/>
        <v>2.1919999999999993</v>
      </c>
      <c r="J118" s="492">
        <f t="shared" ca="1" si="29"/>
        <v>40026</v>
      </c>
      <c r="K118" s="491">
        <f t="shared" si="35"/>
        <v>19.536999999999999</v>
      </c>
      <c r="L118" s="486"/>
      <c r="M118" s="486"/>
      <c r="N118" s="486"/>
      <c r="O118" s="486"/>
      <c r="P118" s="486"/>
      <c r="Q118" s="486"/>
      <c r="R118" s="486"/>
      <c r="S118" s="486"/>
      <c r="T118" s="486"/>
      <c r="U118" s="486"/>
      <c r="V118" s="486"/>
      <c r="W118" s="486"/>
      <c r="X118" s="486"/>
      <c r="Y118" s="486"/>
      <c r="Z118" s="486"/>
      <c r="AA118" s="486"/>
      <c r="AB118" s="486"/>
      <c r="AC118" s="486"/>
      <c r="AD118" s="486"/>
      <c r="AE118" s="486"/>
      <c r="AF118" s="486"/>
      <c r="AG118" s="486"/>
      <c r="AH118" s="486"/>
      <c r="AI118" s="486"/>
      <c r="AJ118" s="486"/>
      <c r="AK118" s="486"/>
      <c r="AL118" s="486"/>
      <c r="AM118" s="486"/>
      <c r="AN118" s="486"/>
      <c r="AO118" s="486"/>
      <c r="AP118" s="486"/>
      <c r="AQ118" s="486"/>
      <c r="AR118" s="231"/>
    </row>
    <row r="119" spans="1:44" customFormat="1" ht="11.25">
      <c r="A119" s="493">
        <f t="shared" ref="A119:A134" ca="1" si="38">DATE(YEAR(A118),MONTH(A118)+1,1)</f>
        <v>40057</v>
      </c>
      <c r="B119" s="511">
        <v>2.0929999999999995</v>
      </c>
      <c r="C119" s="511">
        <v>2.1429999999999993</v>
      </c>
      <c r="D119" s="493">
        <f t="shared" ref="D119:D134" ca="1" si="39">DATE(YEAR(D118),MONTH(D118)+1,1)</f>
        <v>40057</v>
      </c>
      <c r="E119" s="511">
        <v>18.923999999999999</v>
      </c>
      <c r="F119" s="511">
        <v>19.553999999999998</v>
      </c>
      <c r="G119" s="318"/>
      <c r="H119" s="490">
        <f t="shared" ca="1" si="27"/>
        <v>40057</v>
      </c>
      <c r="I119" s="491">
        <f t="shared" si="28"/>
        <v>2.1429999999999993</v>
      </c>
      <c r="J119" s="492">
        <f t="shared" ca="1" si="29"/>
        <v>40057</v>
      </c>
      <c r="K119" s="491">
        <f t="shared" si="35"/>
        <v>19.553999999999998</v>
      </c>
      <c r="L119" s="486"/>
      <c r="M119" s="486"/>
      <c r="N119" s="486"/>
      <c r="O119" s="486"/>
      <c r="P119" s="486"/>
      <c r="Q119" s="486"/>
      <c r="R119" s="486"/>
      <c r="S119" s="486"/>
      <c r="T119" s="486"/>
      <c r="U119" s="486"/>
      <c r="V119" s="486"/>
      <c r="W119" s="486"/>
      <c r="X119" s="486"/>
      <c r="Y119" s="486"/>
      <c r="Z119" s="486"/>
      <c r="AA119" s="486"/>
      <c r="AB119" s="486"/>
      <c r="AC119" s="486"/>
      <c r="AD119" s="486"/>
      <c r="AE119" s="486"/>
      <c r="AF119" s="486"/>
      <c r="AG119" s="486"/>
      <c r="AH119" s="486"/>
      <c r="AI119" s="486"/>
      <c r="AJ119" s="486"/>
      <c r="AK119" s="486"/>
      <c r="AL119" s="486"/>
      <c r="AM119" s="486"/>
      <c r="AN119" s="486"/>
      <c r="AO119" s="486"/>
      <c r="AP119" s="486"/>
      <c r="AQ119" s="486"/>
      <c r="AR119" s="231"/>
    </row>
    <row r="120" spans="1:44" customFormat="1" ht="11.25">
      <c r="A120" s="493">
        <f t="shared" ca="1" si="38"/>
        <v>40087</v>
      </c>
      <c r="B120" s="511">
        <v>2.08</v>
      </c>
      <c r="C120" s="511">
        <v>2.13</v>
      </c>
      <c r="D120" s="493">
        <f t="shared" ca="1" si="39"/>
        <v>40087</v>
      </c>
      <c r="E120" s="511">
        <v>18.933</v>
      </c>
      <c r="F120" s="511">
        <v>19.571000000000002</v>
      </c>
      <c r="G120" s="318"/>
      <c r="H120" s="490">
        <f t="shared" ca="1" si="27"/>
        <v>40087</v>
      </c>
      <c r="I120" s="491">
        <f t="shared" si="28"/>
        <v>2.13</v>
      </c>
      <c r="J120" s="492">
        <f t="shared" ca="1" si="29"/>
        <v>40087</v>
      </c>
      <c r="K120" s="491">
        <f t="shared" si="35"/>
        <v>19.571000000000002</v>
      </c>
      <c r="L120" s="486"/>
      <c r="M120" s="486"/>
      <c r="N120" s="486"/>
      <c r="O120" s="486"/>
      <c r="P120" s="486"/>
      <c r="Q120" s="486"/>
      <c r="R120" s="486"/>
      <c r="S120" s="486"/>
      <c r="T120" s="486"/>
      <c r="U120" s="486"/>
      <c r="V120" s="486"/>
      <c r="W120" s="486"/>
      <c r="X120" s="486"/>
      <c r="Y120" s="486"/>
      <c r="Z120" s="486"/>
      <c r="AA120" s="486"/>
      <c r="AB120" s="486"/>
      <c r="AC120" s="486"/>
      <c r="AD120" s="486"/>
      <c r="AE120" s="486"/>
      <c r="AF120" s="486"/>
      <c r="AG120" s="486"/>
      <c r="AH120" s="486"/>
      <c r="AI120" s="486"/>
      <c r="AJ120" s="486"/>
      <c r="AK120" s="486"/>
      <c r="AL120" s="486"/>
      <c r="AM120" s="486"/>
      <c r="AN120" s="486"/>
      <c r="AO120" s="486"/>
      <c r="AP120" s="486"/>
      <c r="AQ120" s="486"/>
      <c r="AR120" s="231"/>
    </row>
    <row r="121" spans="1:44" customFormat="1" ht="11.25">
      <c r="A121" s="493">
        <f t="shared" ca="1" si="38"/>
        <v>40118</v>
      </c>
      <c r="B121" s="511">
        <v>2.0879999999999996</v>
      </c>
      <c r="C121" s="511">
        <v>2.1379999999999995</v>
      </c>
      <c r="D121" s="493">
        <f t="shared" ca="1" si="39"/>
        <v>40118</v>
      </c>
      <c r="E121" s="511">
        <v>18.943000000000001</v>
      </c>
      <c r="F121" s="511">
        <v>19.59</v>
      </c>
      <c r="G121" s="318"/>
      <c r="H121" s="490">
        <f t="shared" ca="1" si="27"/>
        <v>40118</v>
      </c>
      <c r="I121" s="491">
        <f t="shared" si="28"/>
        <v>2.1379999999999995</v>
      </c>
      <c r="J121" s="492">
        <f t="shared" ca="1" si="29"/>
        <v>40118</v>
      </c>
      <c r="K121" s="491">
        <f t="shared" si="35"/>
        <v>19.59</v>
      </c>
      <c r="L121" s="486"/>
      <c r="M121" s="486"/>
      <c r="N121" s="486"/>
      <c r="O121" s="486"/>
      <c r="P121" s="486"/>
      <c r="Q121" s="486"/>
      <c r="R121" s="486"/>
      <c r="S121" s="486"/>
      <c r="T121" s="486"/>
      <c r="U121" s="486"/>
      <c r="V121" s="486"/>
      <c r="W121" s="486"/>
      <c r="X121" s="486"/>
      <c r="Y121" s="486"/>
      <c r="Z121" s="486"/>
      <c r="AA121" s="486"/>
      <c r="AB121" s="486"/>
      <c r="AC121" s="486"/>
      <c r="AD121" s="486"/>
      <c r="AE121" s="486"/>
      <c r="AF121" s="486"/>
      <c r="AG121" s="486"/>
      <c r="AH121" s="486"/>
      <c r="AI121" s="486"/>
      <c r="AJ121" s="486"/>
      <c r="AK121" s="486"/>
      <c r="AL121" s="486"/>
      <c r="AM121" s="486"/>
      <c r="AN121" s="486"/>
      <c r="AO121" s="486"/>
      <c r="AP121" s="486"/>
      <c r="AQ121" s="486"/>
      <c r="AR121" s="231"/>
    </row>
    <row r="122" spans="1:44" customFormat="1" ht="11.25">
      <c r="A122" s="493">
        <f t="shared" ca="1" si="38"/>
        <v>40148</v>
      </c>
      <c r="B122" s="511">
        <v>2.08</v>
      </c>
      <c r="C122" s="511">
        <v>2.13</v>
      </c>
      <c r="D122" s="493">
        <f t="shared" ca="1" si="39"/>
        <v>40148</v>
      </c>
      <c r="E122" s="511">
        <v>18.951000000000001</v>
      </c>
      <c r="F122" s="511">
        <v>19.606000000000002</v>
      </c>
      <c r="G122" s="318"/>
      <c r="H122" s="490">
        <f t="shared" ca="1" si="27"/>
        <v>40148</v>
      </c>
      <c r="I122" s="491">
        <f t="shared" si="28"/>
        <v>2.13</v>
      </c>
      <c r="J122" s="492">
        <f t="shared" ca="1" si="29"/>
        <v>40148</v>
      </c>
      <c r="K122" s="491">
        <f t="shared" si="35"/>
        <v>19.606000000000002</v>
      </c>
      <c r="L122" s="486"/>
      <c r="M122" s="486"/>
      <c r="N122" s="486"/>
      <c r="O122" s="486"/>
      <c r="P122" s="486"/>
      <c r="Q122" s="486"/>
      <c r="R122" s="486"/>
      <c r="S122" s="486"/>
      <c r="T122" s="486"/>
      <c r="U122" s="486"/>
      <c r="V122" s="486"/>
      <c r="W122" s="486"/>
      <c r="X122" s="486"/>
      <c r="Y122" s="486"/>
      <c r="Z122" s="486"/>
      <c r="AA122" s="486"/>
      <c r="AB122" s="486"/>
      <c r="AC122" s="486"/>
      <c r="AD122" s="486"/>
      <c r="AE122" s="486"/>
      <c r="AF122" s="486"/>
      <c r="AG122" s="486"/>
      <c r="AH122" s="486"/>
      <c r="AI122" s="486"/>
      <c r="AJ122" s="486"/>
      <c r="AK122" s="486"/>
      <c r="AL122" s="486"/>
      <c r="AM122" s="486"/>
      <c r="AN122" s="486"/>
      <c r="AO122" s="486"/>
      <c r="AP122" s="486"/>
      <c r="AQ122" s="486"/>
      <c r="AR122" s="231"/>
    </row>
    <row r="123" spans="1:44" customFormat="1" ht="11.25">
      <c r="A123" s="493">
        <f t="shared" ca="1" si="38"/>
        <v>40179</v>
      </c>
      <c r="B123" s="511">
        <v>2.08</v>
      </c>
      <c r="C123" s="511">
        <v>2.13</v>
      </c>
      <c r="D123" s="493">
        <f t="shared" ca="1" si="39"/>
        <v>40179</v>
      </c>
      <c r="E123" s="511">
        <v>18.960999999999999</v>
      </c>
      <c r="F123" s="511">
        <v>19.623999999999999</v>
      </c>
      <c r="G123" s="318"/>
      <c r="H123" s="490">
        <f t="shared" ca="1" si="27"/>
        <v>40179</v>
      </c>
      <c r="I123" s="491">
        <f t="shared" si="28"/>
        <v>2.13</v>
      </c>
      <c r="J123" s="492">
        <f t="shared" ca="1" si="29"/>
        <v>40179</v>
      </c>
      <c r="K123" s="491">
        <f t="shared" si="35"/>
        <v>19.623999999999999</v>
      </c>
      <c r="L123" s="486"/>
      <c r="M123" s="486"/>
      <c r="N123" s="486"/>
      <c r="O123" s="486"/>
      <c r="P123" s="486"/>
      <c r="Q123" s="486"/>
      <c r="R123" s="486"/>
      <c r="S123" s="486"/>
      <c r="T123" s="486"/>
      <c r="U123" s="486"/>
      <c r="V123" s="486"/>
      <c r="W123" s="486"/>
      <c r="X123" s="486"/>
      <c r="Y123" s="486"/>
      <c r="Z123" s="486"/>
      <c r="AA123" s="486"/>
      <c r="AB123" s="486"/>
      <c r="AC123" s="486"/>
      <c r="AD123" s="486"/>
      <c r="AE123" s="486"/>
      <c r="AF123" s="486"/>
      <c r="AG123" s="486"/>
      <c r="AH123" s="486"/>
      <c r="AI123" s="486"/>
      <c r="AJ123" s="486"/>
      <c r="AK123" s="486"/>
      <c r="AL123" s="486"/>
      <c r="AM123" s="486"/>
      <c r="AN123" s="486"/>
      <c r="AO123" s="486"/>
      <c r="AP123" s="486"/>
      <c r="AQ123" s="486"/>
      <c r="AR123" s="231"/>
    </row>
    <row r="124" spans="1:44" customFormat="1" ht="11.25">
      <c r="A124" s="493">
        <f t="shared" ca="1" si="38"/>
        <v>40210</v>
      </c>
      <c r="B124" s="511">
        <v>2.08</v>
      </c>
      <c r="C124" s="511">
        <v>2.13</v>
      </c>
      <c r="D124" s="493">
        <f t="shared" ca="1" si="39"/>
        <v>40210</v>
      </c>
      <c r="E124" s="511">
        <v>18.97</v>
      </c>
      <c r="F124" s="511">
        <v>19.641999999999999</v>
      </c>
      <c r="G124" s="318"/>
      <c r="H124" s="490">
        <f t="shared" ca="1" si="27"/>
        <v>40210</v>
      </c>
      <c r="I124" s="491">
        <f t="shared" si="28"/>
        <v>2.13</v>
      </c>
      <c r="J124" s="492">
        <f t="shared" ca="1" si="29"/>
        <v>40210</v>
      </c>
      <c r="K124" s="491">
        <f t="shared" si="35"/>
        <v>19.641999999999999</v>
      </c>
      <c r="L124" s="486"/>
      <c r="M124" s="486"/>
      <c r="N124" s="486"/>
      <c r="O124" s="486"/>
      <c r="P124" s="486"/>
      <c r="Q124" s="486"/>
      <c r="R124" s="486"/>
      <c r="S124" s="486"/>
      <c r="T124" s="486"/>
      <c r="U124" s="486"/>
      <c r="V124" s="486"/>
      <c r="W124" s="486"/>
      <c r="X124" s="486"/>
      <c r="Y124" s="486"/>
      <c r="Z124" s="486"/>
      <c r="AA124" s="486"/>
      <c r="AB124" s="486"/>
      <c r="AC124" s="486"/>
      <c r="AD124" s="486"/>
      <c r="AE124" s="486"/>
      <c r="AF124" s="486"/>
      <c r="AG124" s="486"/>
      <c r="AH124" s="486"/>
      <c r="AI124" s="486"/>
      <c r="AJ124" s="486"/>
      <c r="AK124" s="486"/>
      <c r="AL124" s="486"/>
      <c r="AM124" s="486"/>
      <c r="AN124" s="486"/>
      <c r="AO124" s="486"/>
      <c r="AP124" s="486"/>
      <c r="AQ124" s="486"/>
      <c r="AR124" s="231"/>
    </row>
    <row r="125" spans="1:44" customFormat="1" ht="11.25">
      <c r="A125" s="493">
        <f t="shared" ca="1" si="38"/>
        <v>40238</v>
      </c>
      <c r="B125" s="511">
        <v>2.08</v>
      </c>
      <c r="C125" s="511">
        <v>2.13</v>
      </c>
      <c r="D125" s="493">
        <f t="shared" ca="1" si="39"/>
        <v>40238</v>
      </c>
      <c r="E125" s="511">
        <v>18.978999999999999</v>
      </c>
      <c r="F125" s="511">
        <v>19.658999999999999</v>
      </c>
      <c r="G125" s="318"/>
      <c r="H125" s="490">
        <f t="shared" ca="1" si="27"/>
        <v>40238</v>
      </c>
      <c r="I125" s="491">
        <f t="shared" si="28"/>
        <v>2.13</v>
      </c>
      <c r="J125" s="492">
        <f t="shared" ca="1" si="29"/>
        <v>40238</v>
      </c>
      <c r="K125" s="491">
        <f t="shared" si="35"/>
        <v>19.658999999999999</v>
      </c>
      <c r="L125" s="486"/>
      <c r="M125" s="486"/>
      <c r="N125" s="486"/>
      <c r="O125" s="486"/>
      <c r="P125" s="486"/>
      <c r="Q125" s="486"/>
      <c r="R125" s="486"/>
      <c r="S125" s="486"/>
      <c r="T125" s="486"/>
      <c r="U125" s="486"/>
      <c r="V125" s="486"/>
      <c r="W125" s="486"/>
      <c r="X125" s="486"/>
      <c r="Y125" s="486"/>
      <c r="Z125" s="486"/>
      <c r="AA125" s="486"/>
      <c r="AB125" s="486"/>
      <c r="AC125" s="486"/>
      <c r="AD125" s="486"/>
      <c r="AE125" s="486"/>
      <c r="AF125" s="486"/>
      <c r="AG125" s="486"/>
      <c r="AH125" s="486"/>
      <c r="AI125" s="486"/>
      <c r="AJ125" s="486"/>
      <c r="AK125" s="486"/>
      <c r="AL125" s="486"/>
      <c r="AM125" s="486"/>
      <c r="AN125" s="486"/>
      <c r="AO125" s="486"/>
      <c r="AP125" s="486"/>
      <c r="AQ125" s="486"/>
      <c r="AR125" s="231"/>
    </row>
    <row r="126" spans="1:44" customFormat="1" ht="11.25">
      <c r="A126" s="493">
        <f t="shared" ca="1" si="38"/>
        <v>40269</v>
      </c>
      <c r="B126" s="511">
        <v>2.1539999999999995</v>
      </c>
      <c r="C126" s="511">
        <v>2.2039999999999993</v>
      </c>
      <c r="D126" s="493">
        <f t="shared" ca="1" si="39"/>
        <v>40269</v>
      </c>
      <c r="E126" s="511">
        <v>18.989000000000001</v>
      </c>
      <c r="F126" s="511">
        <v>19.677</v>
      </c>
      <c r="G126" s="318"/>
      <c r="H126" s="490">
        <f t="shared" ca="1" si="27"/>
        <v>40269</v>
      </c>
      <c r="I126" s="491">
        <f t="shared" si="28"/>
        <v>2.2039999999999993</v>
      </c>
      <c r="J126" s="492">
        <f t="shared" ca="1" si="29"/>
        <v>40269</v>
      </c>
      <c r="K126" s="491">
        <f t="shared" si="35"/>
        <v>19.677</v>
      </c>
      <c r="L126" s="486"/>
      <c r="M126" s="486"/>
      <c r="N126" s="486"/>
      <c r="O126" s="486"/>
      <c r="P126" s="486"/>
      <c r="Q126" s="486"/>
      <c r="R126" s="486"/>
      <c r="S126" s="486"/>
      <c r="T126" s="486"/>
      <c r="U126" s="486"/>
      <c r="V126" s="486"/>
      <c r="W126" s="486"/>
      <c r="X126" s="486"/>
      <c r="Y126" s="486"/>
      <c r="Z126" s="486"/>
      <c r="AA126" s="486"/>
      <c r="AB126" s="486"/>
      <c r="AC126" s="486"/>
      <c r="AD126" s="486"/>
      <c r="AE126" s="486"/>
      <c r="AF126" s="486"/>
      <c r="AG126" s="486"/>
      <c r="AH126" s="486"/>
      <c r="AI126" s="486"/>
      <c r="AJ126" s="486"/>
      <c r="AK126" s="486"/>
      <c r="AL126" s="486"/>
      <c r="AM126" s="486"/>
      <c r="AN126" s="486"/>
      <c r="AO126" s="486"/>
      <c r="AP126" s="486"/>
      <c r="AQ126" s="486"/>
      <c r="AR126" s="231"/>
    </row>
    <row r="127" spans="1:44" customFormat="1" ht="11.25">
      <c r="A127" s="493">
        <f t="shared" ca="1" si="38"/>
        <v>40299</v>
      </c>
      <c r="B127" s="511">
        <v>2.2719999999999994</v>
      </c>
      <c r="C127" s="511">
        <v>2.3219999999999992</v>
      </c>
      <c r="D127" s="493">
        <f t="shared" ca="1" si="39"/>
        <v>40299</v>
      </c>
      <c r="E127" s="511">
        <v>18.998000000000001</v>
      </c>
      <c r="F127" s="511">
        <v>19.693999999999999</v>
      </c>
      <c r="G127" s="318"/>
      <c r="H127" s="490">
        <f t="shared" ca="1" si="27"/>
        <v>40299</v>
      </c>
      <c r="I127" s="491">
        <f t="shared" si="28"/>
        <v>2.3219999999999992</v>
      </c>
      <c r="J127" s="492">
        <f t="shared" ca="1" si="29"/>
        <v>40299</v>
      </c>
      <c r="K127" s="491">
        <f t="shared" si="35"/>
        <v>19.693999999999999</v>
      </c>
      <c r="L127" s="486"/>
      <c r="M127" s="486"/>
      <c r="N127" s="486"/>
      <c r="O127" s="486"/>
      <c r="P127" s="486"/>
      <c r="Q127" s="486"/>
      <c r="R127" s="486"/>
      <c r="S127" s="486"/>
      <c r="T127" s="486"/>
      <c r="U127" s="486"/>
      <c r="V127" s="486"/>
      <c r="W127" s="486"/>
      <c r="X127" s="486"/>
      <c r="Y127" s="486"/>
      <c r="Z127" s="486"/>
      <c r="AA127" s="486"/>
      <c r="AB127" s="486"/>
      <c r="AC127" s="486"/>
      <c r="AD127" s="486"/>
      <c r="AE127" s="486"/>
      <c r="AF127" s="486"/>
      <c r="AG127" s="486"/>
      <c r="AH127" s="486"/>
      <c r="AI127" s="486"/>
      <c r="AJ127" s="486"/>
      <c r="AK127" s="486"/>
      <c r="AL127" s="486"/>
      <c r="AM127" s="486"/>
      <c r="AN127" s="486"/>
      <c r="AO127" s="486"/>
      <c r="AP127" s="486"/>
      <c r="AQ127" s="486"/>
      <c r="AR127" s="231"/>
    </row>
    <row r="128" spans="1:44" customFormat="1" ht="11.25">
      <c r="A128" s="493">
        <f t="shared" ca="1" si="38"/>
        <v>40330</v>
      </c>
      <c r="B128" s="511">
        <v>2.3629999999999991</v>
      </c>
      <c r="C128" s="511">
        <v>2.4329999999999989</v>
      </c>
      <c r="D128" s="493">
        <f t="shared" ca="1" si="39"/>
        <v>40330</v>
      </c>
      <c r="E128" s="511">
        <v>19.007000000000001</v>
      </c>
      <c r="F128" s="511">
        <v>19.712</v>
      </c>
      <c r="G128" s="318"/>
      <c r="H128" s="490">
        <f t="shared" ca="1" si="27"/>
        <v>40330</v>
      </c>
      <c r="I128" s="491">
        <f t="shared" si="28"/>
        <v>2.4329999999999989</v>
      </c>
      <c r="J128" s="492">
        <f t="shared" ca="1" si="29"/>
        <v>40330</v>
      </c>
      <c r="K128" s="491">
        <f t="shared" si="35"/>
        <v>19.712</v>
      </c>
      <c r="L128" s="486"/>
      <c r="M128" s="486"/>
      <c r="N128" s="486"/>
      <c r="O128" s="486"/>
      <c r="P128" s="486"/>
      <c r="Q128" s="486"/>
      <c r="R128" s="486"/>
      <c r="S128" s="486"/>
      <c r="T128" s="486"/>
      <c r="U128" s="486"/>
      <c r="V128" s="486"/>
      <c r="W128" s="486"/>
      <c r="X128" s="486"/>
      <c r="Y128" s="486"/>
      <c r="Z128" s="486"/>
      <c r="AA128" s="486"/>
      <c r="AB128" s="486"/>
      <c r="AC128" s="486"/>
      <c r="AD128" s="486"/>
      <c r="AE128" s="486"/>
      <c r="AF128" s="486"/>
      <c r="AG128" s="486"/>
      <c r="AH128" s="486"/>
      <c r="AI128" s="486"/>
      <c r="AJ128" s="486"/>
      <c r="AK128" s="486"/>
      <c r="AL128" s="486"/>
      <c r="AM128" s="486"/>
      <c r="AN128" s="486"/>
      <c r="AO128" s="486"/>
      <c r="AP128" s="486"/>
      <c r="AQ128" s="486"/>
      <c r="AR128" s="231"/>
    </row>
    <row r="129" spans="1:44" customFormat="1" ht="11.25">
      <c r="A129" s="493">
        <f t="shared" ca="1" si="38"/>
        <v>40360</v>
      </c>
      <c r="B129" s="511">
        <v>2.2779999999999991</v>
      </c>
      <c r="C129" s="511">
        <v>2.347999999999999</v>
      </c>
      <c r="D129" s="493">
        <f t="shared" ca="1" si="39"/>
        <v>40360</v>
      </c>
      <c r="E129" s="511">
        <v>19.015999999999998</v>
      </c>
      <c r="F129" s="511">
        <v>19.728999999999999</v>
      </c>
      <c r="G129" s="318"/>
      <c r="H129" s="490">
        <f t="shared" ca="1" si="27"/>
        <v>40360</v>
      </c>
      <c r="I129" s="491">
        <f t="shared" si="28"/>
        <v>2.347999999999999</v>
      </c>
      <c r="J129" s="492">
        <f t="shared" ca="1" si="29"/>
        <v>40360</v>
      </c>
      <c r="K129" s="491">
        <f t="shared" si="35"/>
        <v>19.728999999999999</v>
      </c>
      <c r="L129" s="486"/>
      <c r="M129" s="486"/>
      <c r="N129" s="486"/>
      <c r="O129" s="486"/>
      <c r="P129" s="486"/>
      <c r="Q129" s="486"/>
      <c r="R129" s="486"/>
      <c r="S129" s="486"/>
      <c r="T129" s="486"/>
      <c r="U129" s="486"/>
      <c r="V129" s="486"/>
      <c r="W129" s="486"/>
      <c r="X129" s="486"/>
      <c r="Y129" s="486"/>
      <c r="Z129" s="486"/>
      <c r="AA129" s="486"/>
      <c r="AB129" s="486"/>
      <c r="AC129" s="486"/>
      <c r="AD129" s="486"/>
      <c r="AE129" s="486"/>
      <c r="AF129" s="486"/>
      <c r="AG129" s="486"/>
      <c r="AH129" s="486"/>
      <c r="AI129" s="486"/>
      <c r="AJ129" s="486"/>
      <c r="AK129" s="486"/>
      <c r="AL129" s="486"/>
      <c r="AM129" s="486"/>
      <c r="AN129" s="486"/>
      <c r="AO129" s="486"/>
      <c r="AP129" s="486"/>
      <c r="AQ129" s="486"/>
      <c r="AR129" s="231"/>
    </row>
    <row r="130" spans="1:44" customFormat="1" ht="11.25">
      <c r="A130" s="493">
        <f t="shared" ca="1" si="38"/>
        <v>40391</v>
      </c>
      <c r="B130" s="511">
        <v>2.2119999999999993</v>
      </c>
      <c r="C130" s="511">
        <v>2.2819999999999991</v>
      </c>
      <c r="D130" s="493">
        <f t="shared" ca="1" si="39"/>
        <v>40391</v>
      </c>
      <c r="E130" s="511">
        <v>19.024999999999999</v>
      </c>
      <c r="F130" s="511">
        <v>19.745999999999999</v>
      </c>
      <c r="G130" s="318"/>
      <c r="H130" s="490">
        <f t="shared" ca="1" si="27"/>
        <v>40391</v>
      </c>
      <c r="I130" s="491">
        <f t="shared" si="28"/>
        <v>2.2819999999999991</v>
      </c>
      <c r="J130" s="492">
        <f t="shared" ca="1" si="29"/>
        <v>40391</v>
      </c>
      <c r="K130" s="491">
        <f t="shared" si="35"/>
        <v>19.745999999999999</v>
      </c>
      <c r="L130" s="486"/>
      <c r="M130" s="486"/>
      <c r="N130" s="486"/>
      <c r="O130" s="486"/>
      <c r="P130" s="486"/>
      <c r="Q130" s="486"/>
      <c r="R130" s="486"/>
      <c r="S130" s="486"/>
      <c r="T130" s="486"/>
      <c r="U130" s="486"/>
      <c r="V130" s="486"/>
      <c r="W130" s="486"/>
      <c r="X130" s="486"/>
      <c r="Y130" s="486"/>
      <c r="Z130" s="486"/>
      <c r="AA130" s="486"/>
      <c r="AB130" s="486"/>
      <c r="AC130" s="486"/>
      <c r="AD130" s="486"/>
      <c r="AE130" s="486"/>
      <c r="AF130" s="486"/>
      <c r="AG130" s="486"/>
      <c r="AH130" s="486"/>
      <c r="AI130" s="486"/>
      <c r="AJ130" s="486"/>
      <c r="AK130" s="486"/>
      <c r="AL130" s="486"/>
      <c r="AM130" s="486"/>
      <c r="AN130" s="486"/>
      <c r="AO130" s="486"/>
      <c r="AP130" s="486"/>
      <c r="AQ130" s="486"/>
      <c r="AR130" s="231"/>
    </row>
    <row r="131" spans="1:44" customFormat="1" ht="11.25">
      <c r="A131" s="493">
        <f t="shared" ca="1" si="38"/>
        <v>40422</v>
      </c>
      <c r="B131" s="511">
        <v>2.1629999999999994</v>
      </c>
      <c r="C131" s="511">
        <v>2.2329999999999992</v>
      </c>
      <c r="D131" s="493">
        <f t="shared" ca="1" si="39"/>
        <v>40422</v>
      </c>
      <c r="E131" s="511">
        <v>19.033000000000001</v>
      </c>
      <c r="F131" s="511">
        <v>19.762</v>
      </c>
      <c r="G131" s="318"/>
      <c r="H131" s="490">
        <f t="shared" ca="1" si="27"/>
        <v>40422</v>
      </c>
      <c r="I131" s="491">
        <f t="shared" si="28"/>
        <v>2.2329999999999992</v>
      </c>
      <c r="J131" s="492">
        <f t="shared" ca="1" si="29"/>
        <v>40422</v>
      </c>
      <c r="K131" s="491">
        <f t="shared" si="35"/>
        <v>19.762</v>
      </c>
      <c r="L131" s="486"/>
      <c r="M131" s="486"/>
      <c r="N131" s="486"/>
      <c r="O131" s="486"/>
      <c r="P131" s="486"/>
      <c r="Q131" s="486"/>
      <c r="R131" s="486"/>
      <c r="S131" s="486"/>
      <c r="T131" s="486"/>
      <c r="U131" s="486"/>
      <c r="V131" s="486"/>
      <c r="W131" s="486"/>
      <c r="X131" s="486"/>
      <c r="Y131" s="486"/>
      <c r="Z131" s="486"/>
      <c r="AA131" s="486"/>
      <c r="AB131" s="486"/>
      <c r="AC131" s="486"/>
      <c r="AD131" s="486"/>
      <c r="AE131" s="486"/>
      <c r="AF131" s="486"/>
      <c r="AG131" s="486"/>
      <c r="AH131" s="486"/>
      <c r="AI131" s="486"/>
      <c r="AJ131" s="486"/>
      <c r="AK131" s="486"/>
      <c r="AL131" s="486"/>
      <c r="AM131" s="486"/>
      <c r="AN131" s="486"/>
      <c r="AO131" s="486"/>
      <c r="AP131" s="486"/>
      <c r="AQ131" s="486"/>
      <c r="AR131" s="231"/>
    </row>
    <row r="132" spans="1:44" customFormat="1" ht="11.25">
      <c r="A132" s="493">
        <f t="shared" ca="1" si="38"/>
        <v>40452</v>
      </c>
      <c r="B132" s="511">
        <v>2.15</v>
      </c>
      <c r="C132" s="511">
        <v>2.2200000000000002</v>
      </c>
      <c r="D132" s="493">
        <f t="shared" ca="1" si="39"/>
        <v>40452</v>
      </c>
      <c r="E132" s="511">
        <v>19.044</v>
      </c>
      <c r="F132" s="511">
        <v>19.782</v>
      </c>
      <c r="G132" s="318"/>
      <c r="H132" s="490">
        <f t="shared" ca="1" si="27"/>
        <v>40452</v>
      </c>
      <c r="I132" s="491">
        <f t="shared" si="28"/>
        <v>2.2200000000000002</v>
      </c>
      <c r="J132" s="492">
        <f t="shared" ca="1" si="29"/>
        <v>40452</v>
      </c>
      <c r="K132" s="491">
        <f t="shared" si="35"/>
        <v>19.782</v>
      </c>
      <c r="L132" s="486"/>
      <c r="M132" s="486"/>
      <c r="N132" s="486"/>
      <c r="O132" s="486"/>
      <c r="P132" s="486"/>
      <c r="Q132" s="486"/>
      <c r="R132" s="486"/>
      <c r="S132" s="486"/>
      <c r="T132" s="486"/>
      <c r="U132" s="486"/>
      <c r="V132" s="486"/>
      <c r="W132" s="486"/>
      <c r="X132" s="486"/>
      <c r="Y132" s="486"/>
      <c r="Z132" s="486"/>
      <c r="AA132" s="486"/>
      <c r="AB132" s="486"/>
      <c r="AC132" s="486"/>
      <c r="AD132" s="486"/>
      <c r="AE132" s="486"/>
      <c r="AF132" s="486"/>
      <c r="AG132" s="486"/>
      <c r="AH132" s="486"/>
      <c r="AI132" s="486"/>
      <c r="AJ132" s="486"/>
      <c r="AK132" s="486"/>
      <c r="AL132" s="486"/>
      <c r="AM132" s="486"/>
      <c r="AN132" s="486"/>
      <c r="AO132" s="486"/>
      <c r="AP132" s="486"/>
      <c r="AQ132" s="486"/>
      <c r="AR132" s="231"/>
    </row>
    <row r="133" spans="1:44" customFormat="1" ht="11.25">
      <c r="A133" s="493">
        <f t="shared" ca="1" si="38"/>
        <v>40483</v>
      </c>
      <c r="B133" s="511">
        <v>2.1579999999999995</v>
      </c>
      <c r="C133" s="511">
        <v>2.2279999999999993</v>
      </c>
      <c r="D133" s="493">
        <f t="shared" ca="1" si="39"/>
        <v>40483</v>
      </c>
      <c r="E133" s="511">
        <v>19.052</v>
      </c>
      <c r="F133" s="511">
        <v>19.797999999999998</v>
      </c>
      <c r="G133" s="318"/>
      <c r="H133" s="490">
        <f t="shared" ca="1" si="27"/>
        <v>40483</v>
      </c>
      <c r="I133" s="491">
        <f t="shared" si="28"/>
        <v>2.2279999999999993</v>
      </c>
      <c r="J133" s="492">
        <f t="shared" ca="1" si="29"/>
        <v>40483</v>
      </c>
      <c r="K133" s="491">
        <f t="shared" si="35"/>
        <v>19.797999999999998</v>
      </c>
      <c r="L133" s="486"/>
      <c r="M133" s="486"/>
      <c r="N133" s="486"/>
      <c r="O133" s="486"/>
      <c r="P133" s="486"/>
      <c r="Q133" s="486"/>
      <c r="R133" s="486"/>
      <c r="S133" s="486"/>
      <c r="T133" s="486"/>
      <c r="U133" s="486"/>
      <c r="V133" s="486"/>
      <c r="W133" s="486"/>
      <c r="X133" s="486"/>
      <c r="Y133" s="486"/>
      <c r="Z133" s="486"/>
      <c r="AA133" s="486"/>
      <c r="AB133" s="486"/>
      <c r="AC133" s="486"/>
      <c r="AD133" s="486"/>
      <c r="AE133" s="486"/>
      <c r="AF133" s="486"/>
      <c r="AG133" s="486"/>
      <c r="AH133" s="486"/>
      <c r="AI133" s="486"/>
      <c r="AJ133" s="486"/>
      <c r="AK133" s="486"/>
      <c r="AL133" s="486"/>
      <c r="AM133" s="486"/>
      <c r="AN133" s="486"/>
      <c r="AO133" s="486"/>
      <c r="AP133" s="486"/>
      <c r="AQ133" s="486"/>
      <c r="AR133" s="231"/>
    </row>
    <row r="134" spans="1:44" customFormat="1" ht="11.25">
      <c r="A134" s="493">
        <f t="shared" ca="1" si="38"/>
        <v>40513</v>
      </c>
      <c r="B134" s="511">
        <v>2.15</v>
      </c>
      <c r="C134" s="511">
        <v>2.2200000000000002</v>
      </c>
      <c r="D134" s="493">
        <f t="shared" ca="1" si="39"/>
        <v>40513</v>
      </c>
      <c r="E134" s="511">
        <v>19.061</v>
      </c>
      <c r="F134" s="511">
        <v>19.815999999999999</v>
      </c>
      <c r="G134" s="318"/>
      <c r="H134" s="490">
        <f t="shared" ref="H134:H197" ca="1" si="40">A134</f>
        <v>40513</v>
      </c>
      <c r="I134" s="491">
        <f t="shared" ref="I134:I197" si="41">IF($J$1="bid",B134,C134)</f>
        <v>2.2200000000000002</v>
      </c>
      <c r="J134" s="492">
        <f t="shared" ref="J134:J197" ca="1" si="42">D134</f>
        <v>40513</v>
      </c>
      <c r="K134" s="491">
        <f t="shared" ref="K134:K165" si="43">IF($J$1="bid",E134,F134)</f>
        <v>19.815999999999999</v>
      </c>
      <c r="L134" s="486"/>
      <c r="M134" s="486"/>
      <c r="N134" s="486"/>
      <c r="O134" s="486"/>
      <c r="P134" s="486"/>
      <c r="Q134" s="486"/>
      <c r="R134" s="486"/>
      <c r="S134" s="486"/>
      <c r="T134" s="486"/>
      <c r="U134" s="486"/>
      <c r="V134" s="486"/>
      <c r="W134" s="486"/>
      <c r="X134" s="486"/>
      <c r="Y134" s="486"/>
      <c r="Z134" s="486"/>
      <c r="AA134" s="486"/>
      <c r="AB134" s="486"/>
      <c r="AC134" s="486"/>
      <c r="AD134" s="486"/>
      <c r="AE134" s="486"/>
      <c r="AF134" s="486"/>
      <c r="AG134" s="486"/>
      <c r="AH134" s="486"/>
      <c r="AI134" s="486"/>
      <c r="AJ134" s="486"/>
      <c r="AK134" s="486"/>
      <c r="AL134" s="486"/>
      <c r="AM134" s="486"/>
      <c r="AN134" s="486"/>
      <c r="AO134" s="486"/>
      <c r="AP134" s="486"/>
      <c r="AQ134" s="486"/>
      <c r="AR134" s="231"/>
    </row>
    <row r="135" spans="1:44" customFormat="1" ht="11.25">
      <c r="A135" s="493">
        <f t="shared" ref="A135:A150" ca="1" si="44">DATE(YEAR(A134),MONTH(A134)+1,1)</f>
        <v>40544</v>
      </c>
      <c r="B135" s="511">
        <v>2.15</v>
      </c>
      <c r="C135" s="511">
        <v>2.2200000000000002</v>
      </c>
      <c r="D135" s="493">
        <f t="shared" ref="D135:D150" ca="1" si="45">DATE(YEAR(D134),MONTH(D134)+1,1)</f>
        <v>40544</v>
      </c>
      <c r="E135" s="511">
        <v>19.071000000000002</v>
      </c>
      <c r="F135" s="511">
        <v>19.835000000000001</v>
      </c>
      <c r="G135" s="318"/>
      <c r="H135" s="490">
        <f t="shared" ca="1" si="40"/>
        <v>40544</v>
      </c>
      <c r="I135" s="491">
        <f t="shared" si="41"/>
        <v>2.2200000000000002</v>
      </c>
      <c r="J135" s="492">
        <f t="shared" ca="1" si="42"/>
        <v>40544</v>
      </c>
      <c r="K135" s="491">
        <f t="shared" si="43"/>
        <v>19.835000000000001</v>
      </c>
      <c r="L135" s="486"/>
      <c r="M135" s="486"/>
      <c r="N135" s="486"/>
      <c r="O135" s="486"/>
      <c r="P135" s="486"/>
      <c r="Q135" s="486"/>
      <c r="R135" s="486"/>
      <c r="S135" s="486"/>
      <c r="T135" s="486"/>
      <c r="U135" s="486"/>
      <c r="V135" s="486"/>
      <c r="W135" s="486"/>
      <c r="X135" s="486"/>
      <c r="Y135" s="486"/>
      <c r="Z135" s="486"/>
      <c r="AA135" s="486"/>
      <c r="AB135" s="486"/>
      <c r="AC135" s="486"/>
      <c r="AD135" s="486"/>
      <c r="AE135" s="486"/>
      <c r="AF135" s="486"/>
      <c r="AG135" s="486"/>
      <c r="AH135" s="486"/>
      <c r="AI135" s="486"/>
      <c r="AJ135" s="486"/>
      <c r="AK135" s="486"/>
      <c r="AL135" s="486"/>
      <c r="AM135" s="486"/>
      <c r="AN135" s="486"/>
      <c r="AO135" s="486"/>
      <c r="AP135" s="486"/>
      <c r="AQ135" s="486"/>
      <c r="AR135" s="231"/>
    </row>
    <row r="136" spans="1:44" customFormat="1" ht="11.25">
      <c r="A136" s="493">
        <f t="shared" ca="1" si="44"/>
        <v>40575</v>
      </c>
      <c r="B136" s="511">
        <v>2.15</v>
      </c>
      <c r="C136" s="511">
        <v>2.2200000000000002</v>
      </c>
      <c r="D136" s="493">
        <f t="shared" ca="1" si="45"/>
        <v>40575</v>
      </c>
      <c r="E136" s="511">
        <v>19.079999999999998</v>
      </c>
      <c r="F136" s="511">
        <v>19.850999999999999</v>
      </c>
      <c r="G136" s="318"/>
      <c r="H136" s="490">
        <f t="shared" ca="1" si="40"/>
        <v>40575</v>
      </c>
      <c r="I136" s="491">
        <f t="shared" si="41"/>
        <v>2.2200000000000002</v>
      </c>
      <c r="J136" s="492">
        <f t="shared" ca="1" si="42"/>
        <v>40575</v>
      </c>
      <c r="K136" s="491">
        <f t="shared" si="43"/>
        <v>19.850999999999999</v>
      </c>
      <c r="L136" s="486"/>
      <c r="M136" s="486"/>
      <c r="N136" s="486"/>
      <c r="O136" s="486"/>
      <c r="P136" s="486"/>
      <c r="Q136" s="486"/>
      <c r="R136" s="486"/>
      <c r="S136" s="486"/>
      <c r="T136" s="486"/>
      <c r="U136" s="486"/>
      <c r="V136" s="486"/>
      <c r="W136" s="486"/>
      <c r="X136" s="486"/>
      <c r="Y136" s="486"/>
      <c r="Z136" s="486"/>
      <c r="AA136" s="486"/>
      <c r="AB136" s="486"/>
      <c r="AC136" s="486"/>
      <c r="AD136" s="486"/>
      <c r="AE136" s="486"/>
      <c r="AF136" s="486"/>
      <c r="AG136" s="486"/>
      <c r="AH136" s="486"/>
      <c r="AI136" s="486"/>
      <c r="AJ136" s="486"/>
      <c r="AK136" s="486"/>
      <c r="AL136" s="486"/>
      <c r="AM136" s="486"/>
      <c r="AN136" s="486"/>
      <c r="AO136" s="486"/>
      <c r="AP136" s="486"/>
      <c r="AQ136" s="486"/>
      <c r="AR136" s="231"/>
    </row>
    <row r="137" spans="1:44" customFormat="1" ht="11.25">
      <c r="A137" s="493">
        <f t="shared" ca="1" si="44"/>
        <v>40603</v>
      </c>
      <c r="B137" s="511">
        <v>2.15</v>
      </c>
      <c r="C137" s="511">
        <v>2.2200000000000002</v>
      </c>
      <c r="D137" s="493">
        <f t="shared" ca="1" si="45"/>
        <v>40603</v>
      </c>
      <c r="E137" s="511">
        <v>19.088999999999999</v>
      </c>
      <c r="F137" s="511">
        <v>19.869</v>
      </c>
      <c r="G137" s="318"/>
      <c r="H137" s="490">
        <f t="shared" ca="1" si="40"/>
        <v>40603</v>
      </c>
      <c r="I137" s="491">
        <f t="shared" si="41"/>
        <v>2.2200000000000002</v>
      </c>
      <c r="J137" s="492">
        <f t="shared" ca="1" si="42"/>
        <v>40603</v>
      </c>
      <c r="K137" s="491">
        <f t="shared" si="43"/>
        <v>19.869</v>
      </c>
      <c r="L137" s="486"/>
      <c r="M137" s="486"/>
      <c r="N137" s="486"/>
      <c r="O137" s="486"/>
      <c r="P137" s="486"/>
      <c r="Q137" s="486"/>
      <c r="R137" s="486"/>
      <c r="S137" s="486"/>
      <c r="T137" s="486"/>
      <c r="U137" s="486"/>
      <c r="V137" s="486"/>
      <c r="W137" s="486"/>
      <c r="X137" s="486"/>
      <c r="Y137" s="486"/>
      <c r="Z137" s="486"/>
      <c r="AA137" s="486"/>
      <c r="AB137" s="486"/>
      <c r="AC137" s="486"/>
      <c r="AD137" s="486"/>
      <c r="AE137" s="486"/>
      <c r="AF137" s="486"/>
      <c r="AG137" s="486"/>
      <c r="AH137" s="486"/>
      <c r="AI137" s="486"/>
      <c r="AJ137" s="486"/>
      <c r="AK137" s="486"/>
      <c r="AL137" s="486"/>
      <c r="AM137" s="486"/>
      <c r="AN137" s="486"/>
      <c r="AO137" s="486"/>
      <c r="AP137" s="486"/>
      <c r="AQ137" s="486"/>
      <c r="AR137" s="231"/>
    </row>
    <row r="138" spans="1:44" customFormat="1" ht="11.25">
      <c r="A138" s="493">
        <f t="shared" ca="1" si="44"/>
        <v>40634</v>
      </c>
      <c r="B138" s="511">
        <v>2.2239999999999993</v>
      </c>
      <c r="C138" s="511">
        <v>2.2939999999999992</v>
      </c>
      <c r="D138" s="493">
        <f t="shared" ca="1" si="45"/>
        <v>40634</v>
      </c>
      <c r="E138" s="511">
        <v>19.099</v>
      </c>
      <c r="F138" s="511">
        <v>19.887</v>
      </c>
      <c r="G138" s="318"/>
      <c r="H138" s="490">
        <f t="shared" ca="1" si="40"/>
        <v>40634</v>
      </c>
      <c r="I138" s="491">
        <f t="shared" si="41"/>
        <v>2.2939999999999992</v>
      </c>
      <c r="J138" s="492">
        <f t="shared" ca="1" si="42"/>
        <v>40634</v>
      </c>
      <c r="K138" s="491">
        <f t="shared" si="43"/>
        <v>19.887</v>
      </c>
      <c r="L138" s="486"/>
      <c r="M138" s="486"/>
      <c r="N138" s="486"/>
      <c r="O138" s="486"/>
      <c r="P138" s="486"/>
      <c r="Q138" s="486"/>
      <c r="R138" s="486"/>
      <c r="S138" s="486"/>
      <c r="T138" s="486"/>
      <c r="U138" s="486"/>
      <c r="V138" s="486"/>
      <c r="W138" s="486"/>
      <c r="X138" s="486"/>
      <c r="Y138" s="486"/>
      <c r="Z138" s="486"/>
      <c r="AA138" s="486"/>
      <c r="AB138" s="486"/>
      <c r="AC138" s="486"/>
      <c r="AD138" s="486"/>
      <c r="AE138" s="486"/>
      <c r="AF138" s="486"/>
      <c r="AG138" s="486"/>
      <c r="AH138" s="486"/>
      <c r="AI138" s="486"/>
      <c r="AJ138" s="486"/>
      <c r="AK138" s="486"/>
      <c r="AL138" s="486"/>
      <c r="AM138" s="486"/>
      <c r="AN138" s="486"/>
      <c r="AO138" s="486"/>
      <c r="AP138" s="486"/>
      <c r="AQ138" s="486"/>
      <c r="AR138" s="231"/>
    </row>
    <row r="139" spans="1:44" customFormat="1" ht="11.25">
      <c r="A139" s="493">
        <f t="shared" ca="1" si="44"/>
        <v>40664</v>
      </c>
      <c r="B139" s="511">
        <v>2.3419999999999992</v>
      </c>
      <c r="C139" s="511">
        <v>2.411999999999999</v>
      </c>
      <c r="D139" s="493">
        <f t="shared" ca="1" si="45"/>
        <v>40664</v>
      </c>
      <c r="E139" s="511">
        <v>19.108000000000001</v>
      </c>
      <c r="F139" s="511">
        <v>19.904</v>
      </c>
      <c r="G139" s="318"/>
      <c r="H139" s="490">
        <f t="shared" ca="1" si="40"/>
        <v>40664</v>
      </c>
      <c r="I139" s="491">
        <f t="shared" si="41"/>
        <v>2.411999999999999</v>
      </c>
      <c r="J139" s="492">
        <f t="shared" ca="1" si="42"/>
        <v>40664</v>
      </c>
      <c r="K139" s="491">
        <f t="shared" si="43"/>
        <v>19.904</v>
      </c>
      <c r="L139" s="486"/>
      <c r="M139" s="486"/>
      <c r="N139" s="486"/>
      <c r="O139" s="486"/>
      <c r="P139" s="486"/>
      <c r="Q139" s="486"/>
      <c r="R139" s="486"/>
      <c r="S139" s="486"/>
      <c r="T139" s="486"/>
      <c r="U139" s="486"/>
      <c r="V139" s="486"/>
      <c r="W139" s="486"/>
      <c r="X139" s="486"/>
      <c r="Y139" s="486"/>
      <c r="Z139" s="486"/>
      <c r="AA139" s="486"/>
      <c r="AB139" s="486"/>
      <c r="AC139" s="486"/>
      <c r="AD139" s="486"/>
      <c r="AE139" s="486"/>
      <c r="AF139" s="486"/>
      <c r="AG139" s="486"/>
      <c r="AH139" s="486"/>
      <c r="AI139" s="486"/>
      <c r="AJ139" s="486"/>
      <c r="AK139" s="486"/>
      <c r="AL139" s="486"/>
      <c r="AM139" s="486"/>
      <c r="AN139" s="486"/>
      <c r="AO139" s="486"/>
      <c r="AP139" s="486"/>
      <c r="AQ139" s="486"/>
      <c r="AR139" s="231"/>
    </row>
    <row r="140" spans="1:44" customFormat="1" ht="11.25">
      <c r="A140" s="493">
        <f t="shared" ca="1" si="44"/>
        <v>40695</v>
      </c>
      <c r="B140" s="511">
        <v>2.472999999999999</v>
      </c>
      <c r="C140" s="511">
        <v>2.5429999999999988</v>
      </c>
      <c r="D140" s="493">
        <f t="shared" ca="1" si="45"/>
        <v>40695</v>
      </c>
      <c r="E140" s="511">
        <v>19.117000000000001</v>
      </c>
      <c r="F140" s="511">
        <v>19.922000000000001</v>
      </c>
      <c r="G140" s="318"/>
      <c r="H140" s="490">
        <f t="shared" ca="1" si="40"/>
        <v>40695</v>
      </c>
      <c r="I140" s="491">
        <f t="shared" si="41"/>
        <v>2.5429999999999988</v>
      </c>
      <c r="J140" s="492">
        <f t="shared" ca="1" si="42"/>
        <v>40695</v>
      </c>
      <c r="K140" s="491">
        <f t="shared" si="43"/>
        <v>19.922000000000001</v>
      </c>
      <c r="L140" s="486"/>
      <c r="M140" s="486"/>
      <c r="N140" s="486"/>
      <c r="O140" s="486"/>
      <c r="P140" s="486"/>
      <c r="Q140" s="486"/>
      <c r="R140" s="486"/>
      <c r="S140" s="486"/>
      <c r="T140" s="486"/>
      <c r="U140" s="486"/>
      <c r="V140" s="486"/>
      <c r="W140" s="486"/>
      <c r="X140" s="486"/>
      <c r="Y140" s="486"/>
      <c r="Z140" s="486"/>
      <c r="AA140" s="486"/>
      <c r="AB140" s="486"/>
      <c r="AC140" s="486"/>
      <c r="AD140" s="486"/>
      <c r="AE140" s="486"/>
      <c r="AF140" s="486"/>
      <c r="AG140" s="486"/>
      <c r="AH140" s="486"/>
      <c r="AI140" s="486"/>
      <c r="AJ140" s="486"/>
      <c r="AK140" s="486"/>
      <c r="AL140" s="486"/>
      <c r="AM140" s="486"/>
      <c r="AN140" s="486"/>
      <c r="AO140" s="486"/>
      <c r="AP140" s="486"/>
      <c r="AQ140" s="486"/>
      <c r="AR140" s="231"/>
    </row>
    <row r="141" spans="1:44" customFormat="1" ht="11.25">
      <c r="A141" s="493">
        <f t="shared" ca="1" si="44"/>
        <v>40725</v>
      </c>
      <c r="B141" s="511">
        <v>2.387999999999999</v>
      </c>
      <c r="C141" s="511">
        <v>2.4579999999999989</v>
      </c>
      <c r="D141" s="493">
        <f t="shared" ca="1" si="45"/>
        <v>40725</v>
      </c>
      <c r="E141" s="511">
        <v>19.126000000000001</v>
      </c>
      <c r="F141" s="511">
        <v>19.940000000000001</v>
      </c>
      <c r="G141" s="318"/>
      <c r="H141" s="490">
        <f t="shared" ca="1" si="40"/>
        <v>40725</v>
      </c>
      <c r="I141" s="491">
        <f t="shared" si="41"/>
        <v>2.4579999999999989</v>
      </c>
      <c r="J141" s="492">
        <f t="shared" ca="1" si="42"/>
        <v>40725</v>
      </c>
      <c r="K141" s="491">
        <f t="shared" si="43"/>
        <v>19.940000000000001</v>
      </c>
      <c r="L141" s="486"/>
      <c r="M141" s="486"/>
      <c r="N141" s="486"/>
      <c r="O141" s="486"/>
      <c r="P141" s="486"/>
      <c r="Q141" s="486"/>
      <c r="R141" s="486"/>
      <c r="S141" s="486"/>
      <c r="T141" s="486"/>
      <c r="U141" s="486"/>
      <c r="V141" s="486"/>
      <c r="W141" s="486"/>
      <c r="X141" s="486"/>
      <c r="Y141" s="486"/>
      <c r="Z141" s="486"/>
      <c r="AA141" s="486"/>
      <c r="AB141" s="486"/>
      <c r="AC141" s="486"/>
      <c r="AD141" s="486"/>
      <c r="AE141" s="486"/>
      <c r="AF141" s="486"/>
      <c r="AG141" s="486"/>
      <c r="AH141" s="486"/>
      <c r="AI141" s="486"/>
      <c r="AJ141" s="486"/>
      <c r="AK141" s="486"/>
      <c r="AL141" s="486"/>
      <c r="AM141" s="486"/>
      <c r="AN141" s="486"/>
      <c r="AO141" s="486"/>
      <c r="AP141" s="486"/>
      <c r="AQ141" s="486"/>
      <c r="AR141" s="231"/>
    </row>
    <row r="142" spans="1:44" customFormat="1" ht="11.25">
      <c r="A142" s="493">
        <f t="shared" ca="1" si="44"/>
        <v>40756</v>
      </c>
      <c r="B142" s="511">
        <v>2.3219999999999992</v>
      </c>
      <c r="C142" s="511">
        <v>2.391999999999999</v>
      </c>
      <c r="D142" s="493">
        <f t="shared" ca="1" si="45"/>
        <v>40756</v>
      </c>
      <c r="E142" s="511">
        <v>19.135000000000002</v>
      </c>
      <c r="F142" s="511">
        <v>19.956</v>
      </c>
      <c r="G142" s="318"/>
      <c r="H142" s="490">
        <f t="shared" ca="1" si="40"/>
        <v>40756</v>
      </c>
      <c r="I142" s="491">
        <f t="shared" si="41"/>
        <v>2.391999999999999</v>
      </c>
      <c r="J142" s="492">
        <f t="shared" ca="1" si="42"/>
        <v>40756</v>
      </c>
      <c r="K142" s="491">
        <f t="shared" si="43"/>
        <v>19.956</v>
      </c>
      <c r="L142" s="486"/>
      <c r="M142" s="486"/>
      <c r="N142" s="486"/>
      <c r="O142" s="486"/>
      <c r="P142" s="486"/>
      <c r="Q142" s="486"/>
      <c r="R142" s="486"/>
      <c r="S142" s="486"/>
      <c r="T142" s="486"/>
      <c r="U142" s="486"/>
      <c r="V142" s="486"/>
      <c r="W142" s="486"/>
      <c r="X142" s="486"/>
      <c r="Y142" s="486"/>
      <c r="Z142" s="486"/>
      <c r="AA142" s="486"/>
      <c r="AB142" s="486"/>
      <c r="AC142" s="486"/>
      <c r="AD142" s="486"/>
      <c r="AE142" s="486"/>
      <c r="AF142" s="486"/>
      <c r="AG142" s="486"/>
      <c r="AH142" s="486"/>
      <c r="AI142" s="486"/>
      <c r="AJ142" s="486"/>
      <c r="AK142" s="486"/>
      <c r="AL142" s="486"/>
      <c r="AM142" s="486"/>
      <c r="AN142" s="486"/>
      <c r="AO142" s="486"/>
      <c r="AP142" s="486"/>
      <c r="AQ142" s="486"/>
      <c r="AR142" s="231"/>
    </row>
    <row r="143" spans="1:44" customFormat="1" ht="11.25">
      <c r="A143" s="493">
        <f t="shared" ca="1" si="44"/>
        <v>40787</v>
      </c>
      <c r="B143" s="511">
        <v>2.2729999999999992</v>
      </c>
      <c r="C143" s="511">
        <v>2.3429999999999991</v>
      </c>
      <c r="D143" s="493">
        <f t="shared" ca="1" si="45"/>
        <v>40787</v>
      </c>
      <c r="E143" s="511">
        <v>19.143999999999998</v>
      </c>
      <c r="F143" s="511">
        <v>19.974</v>
      </c>
      <c r="G143" s="318"/>
      <c r="H143" s="490">
        <f t="shared" ca="1" si="40"/>
        <v>40787</v>
      </c>
      <c r="I143" s="491">
        <f t="shared" si="41"/>
        <v>2.3429999999999991</v>
      </c>
      <c r="J143" s="492">
        <f t="shared" ca="1" si="42"/>
        <v>40787</v>
      </c>
      <c r="K143" s="491">
        <f t="shared" si="43"/>
        <v>19.974</v>
      </c>
      <c r="L143" s="486"/>
      <c r="M143" s="486"/>
      <c r="N143" s="486"/>
      <c r="O143" s="486"/>
      <c r="P143" s="486"/>
      <c r="Q143" s="486"/>
      <c r="R143" s="486"/>
      <c r="S143" s="486"/>
      <c r="T143" s="486"/>
      <c r="U143" s="486"/>
      <c r="V143" s="486"/>
      <c r="W143" s="486"/>
      <c r="X143" s="486"/>
      <c r="Y143" s="486"/>
      <c r="Z143" s="486"/>
      <c r="AA143" s="486"/>
      <c r="AB143" s="486"/>
      <c r="AC143" s="486"/>
      <c r="AD143" s="486"/>
      <c r="AE143" s="486"/>
      <c r="AF143" s="486"/>
      <c r="AG143" s="486"/>
      <c r="AH143" s="486"/>
      <c r="AI143" s="486"/>
      <c r="AJ143" s="486"/>
      <c r="AK143" s="486"/>
      <c r="AL143" s="486"/>
      <c r="AM143" s="486"/>
      <c r="AN143" s="486"/>
      <c r="AO143" s="486"/>
      <c r="AP143" s="486"/>
      <c r="AQ143" s="486"/>
      <c r="AR143" s="231"/>
    </row>
    <row r="144" spans="1:44" customFormat="1" ht="11.25">
      <c r="A144" s="493">
        <f t="shared" ca="1" si="44"/>
        <v>40817</v>
      </c>
      <c r="B144" s="511">
        <v>2.2599999999999998</v>
      </c>
      <c r="C144" s="511">
        <v>2.33</v>
      </c>
      <c r="D144" s="493">
        <f t="shared" ca="1" si="45"/>
        <v>40817</v>
      </c>
      <c r="E144" s="511">
        <v>19.154</v>
      </c>
      <c r="F144" s="511">
        <v>19.992000000000001</v>
      </c>
      <c r="G144" s="318"/>
      <c r="H144" s="490">
        <f t="shared" ca="1" si="40"/>
        <v>40817</v>
      </c>
      <c r="I144" s="491">
        <f t="shared" si="41"/>
        <v>2.33</v>
      </c>
      <c r="J144" s="492">
        <f t="shared" ca="1" si="42"/>
        <v>40817</v>
      </c>
      <c r="K144" s="491">
        <f t="shared" si="43"/>
        <v>19.992000000000001</v>
      </c>
      <c r="L144" s="486"/>
      <c r="M144" s="486"/>
      <c r="N144" s="486"/>
      <c r="O144" s="486"/>
      <c r="P144" s="486"/>
      <c r="Q144" s="486"/>
      <c r="R144" s="486"/>
      <c r="S144" s="486"/>
      <c r="T144" s="486"/>
      <c r="U144" s="486"/>
      <c r="V144" s="486"/>
      <c r="W144" s="486"/>
      <c r="X144" s="486"/>
      <c r="Y144" s="486"/>
      <c r="Z144" s="486"/>
      <c r="AA144" s="486"/>
      <c r="AB144" s="486"/>
      <c r="AC144" s="486"/>
      <c r="AD144" s="486"/>
      <c r="AE144" s="486"/>
      <c r="AF144" s="486"/>
      <c r="AG144" s="486"/>
      <c r="AH144" s="486"/>
      <c r="AI144" s="486"/>
      <c r="AJ144" s="486"/>
      <c r="AK144" s="486"/>
      <c r="AL144" s="486"/>
      <c r="AM144" s="486"/>
      <c r="AN144" s="486"/>
      <c r="AO144" s="486"/>
      <c r="AP144" s="486"/>
      <c r="AQ144" s="486"/>
      <c r="AR144" s="231"/>
    </row>
    <row r="145" spans="1:44" customFormat="1" ht="11.25">
      <c r="A145" s="493">
        <f t="shared" ca="1" si="44"/>
        <v>40848</v>
      </c>
      <c r="B145" s="511">
        <v>2.2679999999999993</v>
      </c>
      <c r="C145" s="511">
        <v>2.3379999999999992</v>
      </c>
      <c r="D145" s="493">
        <f t="shared" ca="1" si="45"/>
        <v>40848</v>
      </c>
      <c r="E145" s="511">
        <v>19.161999999999999</v>
      </c>
      <c r="F145" s="511">
        <v>20.007999999999999</v>
      </c>
      <c r="G145" s="318"/>
      <c r="H145" s="490">
        <f t="shared" ca="1" si="40"/>
        <v>40848</v>
      </c>
      <c r="I145" s="491">
        <f t="shared" si="41"/>
        <v>2.3379999999999992</v>
      </c>
      <c r="J145" s="492">
        <f t="shared" ca="1" si="42"/>
        <v>40848</v>
      </c>
      <c r="K145" s="491">
        <f t="shared" si="43"/>
        <v>20.007999999999999</v>
      </c>
      <c r="L145" s="486"/>
      <c r="M145" s="486"/>
      <c r="N145" s="486"/>
      <c r="O145" s="486"/>
      <c r="P145" s="486"/>
      <c r="Q145" s="486"/>
      <c r="R145" s="486"/>
      <c r="S145" s="486"/>
      <c r="T145" s="486"/>
      <c r="U145" s="486"/>
      <c r="V145" s="486"/>
      <c r="W145" s="486"/>
      <c r="X145" s="486"/>
      <c r="Y145" s="486"/>
      <c r="Z145" s="486"/>
      <c r="AA145" s="486"/>
      <c r="AB145" s="486"/>
      <c r="AC145" s="486"/>
      <c r="AD145" s="486"/>
      <c r="AE145" s="486"/>
      <c r="AF145" s="486"/>
      <c r="AG145" s="486"/>
      <c r="AH145" s="486"/>
      <c r="AI145" s="486"/>
      <c r="AJ145" s="486"/>
      <c r="AK145" s="486"/>
      <c r="AL145" s="486"/>
      <c r="AM145" s="486"/>
      <c r="AN145" s="486"/>
      <c r="AO145" s="486"/>
      <c r="AP145" s="486"/>
      <c r="AQ145" s="486"/>
      <c r="AR145" s="231"/>
    </row>
    <row r="146" spans="1:44" customFormat="1" ht="11.25">
      <c r="A146" s="493">
        <f t="shared" ca="1" si="44"/>
        <v>40878</v>
      </c>
      <c r="B146" s="511">
        <v>2.2599999999999998</v>
      </c>
      <c r="C146" s="511">
        <v>2.33</v>
      </c>
      <c r="D146" s="493">
        <f t="shared" ca="1" si="45"/>
        <v>40878</v>
      </c>
      <c r="E146" s="511">
        <v>19.172000000000001</v>
      </c>
      <c r="F146" s="511">
        <v>20.027000000000001</v>
      </c>
      <c r="G146" s="318"/>
      <c r="H146" s="490">
        <f t="shared" ca="1" si="40"/>
        <v>40878</v>
      </c>
      <c r="I146" s="491">
        <f t="shared" si="41"/>
        <v>2.33</v>
      </c>
      <c r="J146" s="492">
        <f t="shared" ca="1" si="42"/>
        <v>40878</v>
      </c>
      <c r="K146" s="491">
        <f t="shared" si="43"/>
        <v>20.027000000000001</v>
      </c>
      <c r="L146" s="486"/>
      <c r="M146" s="486"/>
      <c r="N146" s="486"/>
      <c r="O146" s="486"/>
      <c r="P146" s="486"/>
      <c r="Q146" s="486"/>
      <c r="R146" s="486"/>
      <c r="S146" s="486"/>
      <c r="T146" s="486"/>
      <c r="U146" s="486"/>
      <c r="V146" s="486"/>
      <c r="W146" s="486"/>
      <c r="X146" s="486"/>
      <c r="Y146" s="486"/>
      <c r="Z146" s="486"/>
      <c r="AA146" s="486"/>
      <c r="AB146" s="486"/>
      <c r="AC146" s="486"/>
      <c r="AD146" s="486"/>
      <c r="AE146" s="486"/>
      <c r="AF146" s="486"/>
      <c r="AG146" s="486"/>
      <c r="AH146" s="486"/>
      <c r="AI146" s="486"/>
      <c r="AJ146" s="486"/>
      <c r="AK146" s="486"/>
      <c r="AL146" s="486"/>
      <c r="AM146" s="486"/>
      <c r="AN146" s="486"/>
      <c r="AO146" s="486"/>
      <c r="AP146" s="486"/>
      <c r="AQ146" s="486"/>
      <c r="AR146" s="231"/>
    </row>
    <row r="147" spans="1:44" customFormat="1" ht="11.25">
      <c r="A147" s="493">
        <f t="shared" ca="1" si="44"/>
        <v>40909</v>
      </c>
      <c r="B147" s="511">
        <v>2.2599999999999998</v>
      </c>
      <c r="C147" s="511">
        <v>2.33</v>
      </c>
      <c r="D147" s="493">
        <f t="shared" ca="1" si="45"/>
        <v>40909</v>
      </c>
      <c r="E147" s="511">
        <v>19.181000000000001</v>
      </c>
      <c r="F147" s="511">
        <v>20.044</v>
      </c>
      <c r="G147" s="318"/>
      <c r="H147" s="490">
        <f t="shared" ca="1" si="40"/>
        <v>40909</v>
      </c>
      <c r="I147" s="491">
        <f t="shared" si="41"/>
        <v>2.33</v>
      </c>
      <c r="J147" s="492">
        <f t="shared" ca="1" si="42"/>
        <v>40909</v>
      </c>
      <c r="K147" s="491">
        <f t="shared" si="43"/>
        <v>20.044</v>
      </c>
      <c r="L147" s="486"/>
      <c r="M147" s="486"/>
      <c r="N147" s="486"/>
      <c r="O147" s="486"/>
      <c r="P147" s="486"/>
      <c r="Q147" s="486"/>
      <c r="R147" s="486"/>
      <c r="S147" s="486"/>
      <c r="T147" s="486"/>
      <c r="U147" s="486"/>
      <c r="V147" s="486"/>
      <c r="W147" s="486"/>
      <c r="X147" s="486"/>
      <c r="Y147" s="486"/>
      <c r="Z147" s="486"/>
      <c r="AA147" s="486"/>
      <c r="AB147" s="486"/>
      <c r="AC147" s="486"/>
      <c r="AD147" s="486"/>
      <c r="AE147" s="486"/>
      <c r="AF147" s="486"/>
      <c r="AG147" s="486"/>
      <c r="AH147" s="486"/>
      <c r="AI147" s="486"/>
      <c r="AJ147" s="486"/>
      <c r="AK147" s="486"/>
      <c r="AL147" s="486"/>
      <c r="AM147" s="486"/>
      <c r="AN147" s="486"/>
      <c r="AO147" s="486"/>
      <c r="AP147" s="486"/>
      <c r="AQ147" s="486"/>
      <c r="AR147" s="231"/>
    </row>
    <row r="148" spans="1:44" customFormat="1" ht="11.25">
      <c r="A148" s="493">
        <f t="shared" ca="1" si="44"/>
        <v>40940</v>
      </c>
      <c r="B148" s="511">
        <v>2.2599999999999998</v>
      </c>
      <c r="C148" s="511">
        <v>2.33</v>
      </c>
      <c r="D148" s="493">
        <f t="shared" ca="1" si="45"/>
        <v>40940</v>
      </c>
      <c r="E148" s="511">
        <v>19.190000000000001</v>
      </c>
      <c r="F148" s="511">
        <v>20.061</v>
      </c>
      <c r="G148" s="318"/>
      <c r="H148" s="490">
        <f t="shared" ca="1" si="40"/>
        <v>40940</v>
      </c>
      <c r="I148" s="491">
        <f t="shared" si="41"/>
        <v>2.33</v>
      </c>
      <c r="J148" s="492">
        <f t="shared" ca="1" si="42"/>
        <v>40940</v>
      </c>
      <c r="K148" s="491">
        <f t="shared" si="43"/>
        <v>20.061</v>
      </c>
      <c r="L148" s="486"/>
      <c r="M148" s="486"/>
      <c r="N148" s="486"/>
      <c r="O148" s="486"/>
      <c r="P148" s="486"/>
      <c r="Q148" s="486"/>
      <c r="R148" s="486"/>
      <c r="S148" s="486"/>
      <c r="T148" s="486"/>
      <c r="U148" s="486"/>
      <c r="V148" s="486"/>
      <c r="W148" s="486"/>
      <c r="X148" s="486"/>
      <c r="Y148" s="486"/>
      <c r="Z148" s="486"/>
      <c r="AA148" s="486"/>
      <c r="AB148" s="486"/>
      <c r="AC148" s="486"/>
      <c r="AD148" s="486"/>
      <c r="AE148" s="486"/>
      <c r="AF148" s="486"/>
      <c r="AG148" s="486"/>
      <c r="AH148" s="486"/>
      <c r="AI148" s="486"/>
      <c r="AJ148" s="486"/>
      <c r="AK148" s="486"/>
      <c r="AL148" s="486"/>
      <c r="AM148" s="486"/>
      <c r="AN148" s="486"/>
      <c r="AO148" s="486"/>
      <c r="AP148" s="486"/>
      <c r="AQ148" s="486"/>
      <c r="AR148" s="231"/>
    </row>
    <row r="149" spans="1:44" customFormat="1" ht="11.25">
      <c r="A149" s="493">
        <f t="shared" ca="1" si="44"/>
        <v>40969</v>
      </c>
      <c r="B149" s="511">
        <v>2.2599999999999998</v>
      </c>
      <c r="C149" s="511">
        <v>2.33</v>
      </c>
      <c r="D149" s="493">
        <f t="shared" ca="1" si="45"/>
        <v>40969</v>
      </c>
      <c r="E149" s="511">
        <v>19.2</v>
      </c>
      <c r="F149" s="511">
        <v>20.079999999999998</v>
      </c>
      <c r="G149" s="318"/>
      <c r="H149" s="490">
        <f t="shared" ca="1" si="40"/>
        <v>40969</v>
      </c>
      <c r="I149" s="491">
        <f t="shared" si="41"/>
        <v>2.33</v>
      </c>
      <c r="J149" s="492">
        <f t="shared" ca="1" si="42"/>
        <v>40969</v>
      </c>
      <c r="K149" s="491">
        <f t="shared" si="43"/>
        <v>20.079999999999998</v>
      </c>
      <c r="L149" s="486"/>
      <c r="M149" s="486"/>
      <c r="N149" s="486"/>
      <c r="O149" s="486"/>
      <c r="P149" s="486"/>
      <c r="Q149" s="486"/>
      <c r="R149" s="486"/>
      <c r="S149" s="486"/>
      <c r="T149" s="486"/>
      <c r="U149" s="486"/>
      <c r="V149" s="486"/>
      <c r="W149" s="486"/>
      <c r="X149" s="486"/>
      <c r="Y149" s="486"/>
      <c r="Z149" s="486"/>
      <c r="AA149" s="486"/>
      <c r="AB149" s="486"/>
      <c r="AC149" s="486"/>
      <c r="AD149" s="486"/>
      <c r="AE149" s="486"/>
      <c r="AF149" s="486"/>
      <c r="AG149" s="486"/>
      <c r="AH149" s="486"/>
      <c r="AI149" s="486"/>
      <c r="AJ149" s="486"/>
      <c r="AK149" s="486"/>
      <c r="AL149" s="486"/>
      <c r="AM149" s="486"/>
      <c r="AN149" s="486"/>
      <c r="AO149" s="486"/>
      <c r="AP149" s="486"/>
      <c r="AQ149" s="486"/>
      <c r="AR149" s="231"/>
    </row>
    <row r="150" spans="1:44" customFormat="1" ht="11.25">
      <c r="A150" s="493">
        <f t="shared" ca="1" si="44"/>
        <v>41000</v>
      </c>
      <c r="B150" s="511">
        <v>2.3339999999999992</v>
      </c>
      <c r="C150" s="511">
        <v>2.403999999999999</v>
      </c>
      <c r="D150" s="493">
        <f t="shared" ca="1" si="45"/>
        <v>41000</v>
      </c>
      <c r="E150" s="511">
        <v>19.209</v>
      </c>
      <c r="F150" s="511">
        <v>20.097000000000001</v>
      </c>
      <c r="G150" s="318"/>
      <c r="H150" s="490">
        <f t="shared" ca="1" si="40"/>
        <v>41000</v>
      </c>
      <c r="I150" s="491">
        <f t="shared" si="41"/>
        <v>2.403999999999999</v>
      </c>
      <c r="J150" s="492">
        <f t="shared" ca="1" si="42"/>
        <v>41000</v>
      </c>
      <c r="K150" s="491">
        <f t="shared" si="43"/>
        <v>20.097000000000001</v>
      </c>
      <c r="L150" s="486"/>
      <c r="M150" s="486"/>
      <c r="N150" s="486"/>
      <c r="O150" s="486"/>
      <c r="P150" s="486"/>
      <c r="Q150" s="486"/>
      <c r="R150" s="486"/>
      <c r="S150" s="486"/>
      <c r="T150" s="486"/>
      <c r="U150" s="486"/>
      <c r="V150" s="486"/>
      <c r="W150" s="486"/>
      <c r="X150" s="486"/>
      <c r="Y150" s="486"/>
      <c r="Z150" s="486"/>
      <c r="AA150" s="486"/>
      <c r="AB150" s="486"/>
      <c r="AC150" s="486"/>
      <c r="AD150" s="486"/>
      <c r="AE150" s="486"/>
      <c r="AF150" s="486"/>
      <c r="AG150" s="486"/>
      <c r="AH150" s="486"/>
      <c r="AI150" s="486"/>
      <c r="AJ150" s="486"/>
      <c r="AK150" s="486"/>
      <c r="AL150" s="486"/>
      <c r="AM150" s="486"/>
      <c r="AN150" s="486"/>
      <c r="AO150" s="486"/>
      <c r="AP150" s="486"/>
      <c r="AQ150" s="486"/>
      <c r="AR150" s="231"/>
    </row>
    <row r="151" spans="1:44" customFormat="1" ht="11.25">
      <c r="A151" s="493">
        <f t="shared" ref="A151:A166" ca="1" si="46">DATE(YEAR(A150),MONTH(A150)+1,1)</f>
        <v>41030</v>
      </c>
      <c r="B151" s="511">
        <v>2.4519999999999991</v>
      </c>
      <c r="C151" s="511">
        <v>2.5219999999999989</v>
      </c>
      <c r="D151" s="493">
        <f t="shared" ref="D151:D166" ca="1" si="47">DATE(YEAR(D150),MONTH(D150)+1,1)</f>
        <v>41030</v>
      </c>
      <c r="E151" s="511">
        <v>19.218</v>
      </c>
      <c r="F151" s="511">
        <v>20.114000000000001</v>
      </c>
      <c r="G151" s="318"/>
      <c r="H151" s="490">
        <f t="shared" ca="1" si="40"/>
        <v>41030</v>
      </c>
      <c r="I151" s="491">
        <f t="shared" si="41"/>
        <v>2.5219999999999989</v>
      </c>
      <c r="J151" s="492">
        <f t="shared" ca="1" si="42"/>
        <v>41030</v>
      </c>
      <c r="K151" s="491">
        <f t="shared" si="43"/>
        <v>20.114000000000001</v>
      </c>
      <c r="L151" s="486"/>
      <c r="M151" s="486"/>
      <c r="N151" s="486"/>
      <c r="O151" s="486"/>
      <c r="P151" s="486"/>
      <c r="Q151" s="486"/>
      <c r="R151" s="486"/>
      <c r="S151" s="486"/>
      <c r="T151" s="486"/>
      <c r="U151" s="486"/>
      <c r="V151" s="486"/>
      <c r="W151" s="486"/>
      <c r="X151" s="486"/>
      <c r="Y151" s="486"/>
      <c r="Z151" s="486"/>
      <c r="AA151" s="486"/>
      <c r="AB151" s="486"/>
      <c r="AC151" s="486"/>
      <c r="AD151" s="486"/>
      <c r="AE151" s="486"/>
      <c r="AF151" s="486"/>
      <c r="AG151" s="486"/>
      <c r="AH151" s="486"/>
      <c r="AI151" s="486"/>
      <c r="AJ151" s="486"/>
      <c r="AK151" s="486"/>
      <c r="AL151" s="486"/>
      <c r="AM151" s="486"/>
      <c r="AN151" s="486"/>
      <c r="AO151" s="486"/>
      <c r="AP151" s="486"/>
      <c r="AQ151" s="486"/>
      <c r="AR151" s="231"/>
    </row>
    <row r="152" spans="1:44" customFormat="1" ht="11.25">
      <c r="A152" s="493">
        <f t="shared" ca="1" si="46"/>
        <v>41061</v>
      </c>
      <c r="B152" s="511">
        <v>2.5929999999999991</v>
      </c>
      <c r="C152" s="511">
        <v>2.6629999999999989</v>
      </c>
      <c r="D152" s="493">
        <f t="shared" ca="1" si="47"/>
        <v>41061</v>
      </c>
      <c r="E152" s="511">
        <v>19.227</v>
      </c>
      <c r="F152" s="511">
        <v>20.132999999999999</v>
      </c>
      <c r="G152" s="318"/>
      <c r="H152" s="490">
        <f t="shared" ca="1" si="40"/>
        <v>41061</v>
      </c>
      <c r="I152" s="491">
        <f t="shared" si="41"/>
        <v>2.6629999999999989</v>
      </c>
      <c r="J152" s="492">
        <f t="shared" ca="1" si="42"/>
        <v>41061</v>
      </c>
      <c r="K152" s="491">
        <f t="shared" si="43"/>
        <v>20.132999999999999</v>
      </c>
      <c r="L152" s="486"/>
      <c r="M152" s="486"/>
      <c r="N152" s="486"/>
      <c r="O152" s="486"/>
      <c r="P152" s="486"/>
      <c r="Q152" s="486"/>
      <c r="R152" s="486"/>
      <c r="S152" s="486"/>
      <c r="T152" s="486"/>
      <c r="U152" s="486"/>
      <c r="V152" s="486"/>
      <c r="W152" s="486"/>
      <c r="X152" s="486"/>
      <c r="Y152" s="486"/>
      <c r="Z152" s="486"/>
      <c r="AA152" s="486"/>
      <c r="AB152" s="486"/>
      <c r="AC152" s="486"/>
      <c r="AD152" s="486"/>
      <c r="AE152" s="486"/>
      <c r="AF152" s="486"/>
      <c r="AG152" s="486"/>
      <c r="AH152" s="486"/>
      <c r="AI152" s="486"/>
      <c r="AJ152" s="486"/>
      <c r="AK152" s="486"/>
      <c r="AL152" s="486"/>
      <c r="AM152" s="486"/>
      <c r="AN152" s="486"/>
      <c r="AO152" s="486"/>
      <c r="AP152" s="486"/>
      <c r="AQ152" s="486"/>
      <c r="AR152" s="231"/>
    </row>
    <row r="153" spans="1:44" customFormat="1" ht="11.25">
      <c r="A153" s="493">
        <f t="shared" ca="1" si="46"/>
        <v>41091</v>
      </c>
      <c r="B153" s="511">
        <v>2.5079999999999991</v>
      </c>
      <c r="C153" s="511">
        <v>2.577999999999999</v>
      </c>
      <c r="D153" s="493">
        <f t="shared" ca="1" si="47"/>
        <v>41091</v>
      </c>
      <c r="E153" s="511">
        <v>19.236000000000001</v>
      </c>
      <c r="F153" s="511">
        <v>20.149000000000001</v>
      </c>
      <c r="G153" s="318"/>
      <c r="H153" s="490">
        <f t="shared" ca="1" si="40"/>
        <v>41091</v>
      </c>
      <c r="I153" s="491">
        <f t="shared" si="41"/>
        <v>2.577999999999999</v>
      </c>
      <c r="J153" s="492">
        <f t="shared" ca="1" si="42"/>
        <v>41091</v>
      </c>
      <c r="K153" s="491">
        <f t="shared" si="43"/>
        <v>20.149000000000001</v>
      </c>
      <c r="L153" s="486"/>
      <c r="M153" s="486"/>
      <c r="N153" s="486"/>
      <c r="O153" s="486"/>
      <c r="P153" s="486"/>
      <c r="Q153" s="486"/>
      <c r="R153" s="486"/>
      <c r="S153" s="486"/>
      <c r="T153" s="486"/>
      <c r="U153" s="486"/>
      <c r="V153" s="486"/>
      <c r="W153" s="486"/>
      <c r="X153" s="486"/>
      <c r="Y153" s="486"/>
      <c r="Z153" s="486"/>
      <c r="AA153" s="486"/>
      <c r="AB153" s="486"/>
      <c r="AC153" s="486"/>
      <c r="AD153" s="486"/>
      <c r="AE153" s="486"/>
      <c r="AF153" s="486"/>
      <c r="AG153" s="486"/>
      <c r="AH153" s="486"/>
      <c r="AI153" s="486"/>
      <c r="AJ153" s="486"/>
      <c r="AK153" s="486"/>
      <c r="AL153" s="486"/>
      <c r="AM153" s="486"/>
      <c r="AN153" s="486"/>
      <c r="AO153" s="486"/>
      <c r="AP153" s="486"/>
      <c r="AQ153" s="486"/>
      <c r="AR153" s="231"/>
    </row>
    <row r="154" spans="1:44" customFormat="1" ht="11.25">
      <c r="A154" s="493">
        <f t="shared" ca="1" si="46"/>
        <v>41122</v>
      </c>
      <c r="B154" s="511">
        <v>2.4419999999999993</v>
      </c>
      <c r="C154" s="511">
        <v>2.5119999999999991</v>
      </c>
      <c r="D154" s="493">
        <f t="shared" ca="1" si="47"/>
        <v>41122</v>
      </c>
      <c r="E154" s="511">
        <v>19.245000000000001</v>
      </c>
      <c r="F154" s="511">
        <v>20.166</v>
      </c>
      <c r="G154" s="318"/>
      <c r="H154" s="490">
        <f t="shared" ca="1" si="40"/>
        <v>41122</v>
      </c>
      <c r="I154" s="491">
        <f t="shared" si="41"/>
        <v>2.5119999999999991</v>
      </c>
      <c r="J154" s="492">
        <f t="shared" ca="1" si="42"/>
        <v>41122</v>
      </c>
      <c r="K154" s="491">
        <f t="shared" si="43"/>
        <v>20.166</v>
      </c>
      <c r="L154" s="486"/>
      <c r="M154" s="486"/>
      <c r="N154" s="486"/>
      <c r="O154" s="486"/>
      <c r="P154" s="486"/>
      <c r="Q154" s="486"/>
      <c r="R154" s="486"/>
      <c r="S154" s="486"/>
      <c r="T154" s="486"/>
      <c r="U154" s="486"/>
      <c r="V154" s="486"/>
      <c r="W154" s="486"/>
      <c r="X154" s="486"/>
      <c r="Y154" s="486"/>
      <c r="Z154" s="486"/>
      <c r="AA154" s="486"/>
      <c r="AB154" s="486"/>
      <c r="AC154" s="486"/>
      <c r="AD154" s="486"/>
      <c r="AE154" s="486"/>
      <c r="AF154" s="486"/>
      <c r="AG154" s="486"/>
      <c r="AH154" s="486"/>
      <c r="AI154" s="486"/>
      <c r="AJ154" s="486"/>
      <c r="AK154" s="486"/>
      <c r="AL154" s="486"/>
      <c r="AM154" s="486"/>
      <c r="AN154" s="486"/>
      <c r="AO154" s="486"/>
      <c r="AP154" s="486"/>
      <c r="AQ154" s="486"/>
      <c r="AR154" s="231"/>
    </row>
    <row r="155" spans="1:44" customFormat="1" ht="11.25">
      <c r="A155" s="493">
        <f t="shared" ca="1" si="46"/>
        <v>41153</v>
      </c>
      <c r="B155" s="511">
        <v>2.3929999999999993</v>
      </c>
      <c r="C155" s="511">
        <v>2.4629999999999992</v>
      </c>
      <c r="D155" s="493">
        <f t="shared" ca="1" si="47"/>
        <v>41153</v>
      </c>
      <c r="E155" s="511">
        <v>19.254999999999999</v>
      </c>
      <c r="F155" s="511">
        <v>20.184999999999999</v>
      </c>
      <c r="G155" s="318"/>
      <c r="H155" s="490">
        <f t="shared" ca="1" si="40"/>
        <v>41153</v>
      </c>
      <c r="I155" s="491">
        <f t="shared" si="41"/>
        <v>2.4629999999999992</v>
      </c>
      <c r="J155" s="492">
        <f t="shared" ca="1" si="42"/>
        <v>41153</v>
      </c>
      <c r="K155" s="491">
        <f t="shared" si="43"/>
        <v>20.184999999999999</v>
      </c>
      <c r="L155" s="486"/>
      <c r="M155" s="486"/>
      <c r="N155" s="486"/>
      <c r="O155" s="486"/>
      <c r="P155" s="486"/>
      <c r="Q155" s="486"/>
      <c r="R155" s="486"/>
      <c r="S155" s="486"/>
      <c r="T155" s="486"/>
      <c r="U155" s="486"/>
      <c r="V155" s="486"/>
      <c r="W155" s="486"/>
      <c r="X155" s="486"/>
      <c r="Y155" s="486"/>
      <c r="Z155" s="486"/>
      <c r="AA155" s="486"/>
      <c r="AB155" s="486"/>
      <c r="AC155" s="486"/>
      <c r="AD155" s="486"/>
      <c r="AE155" s="486"/>
      <c r="AF155" s="486"/>
      <c r="AG155" s="486"/>
      <c r="AH155" s="486"/>
      <c r="AI155" s="486"/>
      <c r="AJ155" s="486"/>
      <c r="AK155" s="486"/>
      <c r="AL155" s="486"/>
      <c r="AM155" s="486"/>
      <c r="AN155" s="486"/>
      <c r="AO155" s="486"/>
      <c r="AP155" s="486"/>
      <c r="AQ155" s="486"/>
      <c r="AR155" s="231"/>
    </row>
    <row r="156" spans="1:44" customFormat="1" ht="11.25">
      <c r="A156" s="493">
        <f t="shared" ca="1" si="46"/>
        <v>41183</v>
      </c>
      <c r="B156" s="511">
        <v>2.38</v>
      </c>
      <c r="C156" s="511">
        <v>2.4500000000000002</v>
      </c>
      <c r="D156" s="493">
        <f t="shared" ca="1" si="47"/>
        <v>41183</v>
      </c>
      <c r="E156" s="511">
        <v>19.263000000000002</v>
      </c>
      <c r="F156" s="511">
        <v>20.201000000000001</v>
      </c>
      <c r="G156" s="318"/>
      <c r="H156" s="490">
        <f t="shared" ca="1" si="40"/>
        <v>41183</v>
      </c>
      <c r="I156" s="491">
        <f t="shared" si="41"/>
        <v>2.4500000000000002</v>
      </c>
      <c r="J156" s="492">
        <f t="shared" ca="1" si="42"/>
        <v>41183</v>
      </c>
      <c r="K156" s="491">
        <f t="shared" si="43"/>
        <v>20.201000000000001</v>
      </c>
      <c r="L156" s="486"/>
      <c r="M156" s="486"/>
      <c r="N156" s="486"/>
      <c r="O156" s="486"/>
      <c r="P156" s="486"/>
      <c r="Q156" s="486"/>
      <c r="R156" s="486"/>
      <c r="S156" s="486"/>
      <c r="T156" s="486"/>
      <c r="U156" s="486"/>
      <c r="V156" s="486"/>
      <c r="W156" s="486"/>
      <c r="X156" s="486"/>
      <c r="Y156" s="486"/>
      <c r="Z156" s="486"/>
      <c r="AA156" s="486"/>
      <c r="AB156" s="486"/>
      <c r="AC156" s="486"/>
      <c r="AD156" s="486"/>
      <c r="AE156" s="486"/>
      <c r="AF156" s="486"/>
      <c r="AG156" s="486"/>
      <c r="AH156" s="486"/>
      <c r="AI156" s="486"/>
      <c r="AJ156" s="486"/>
      <c r="AK156" s="486"/>
      <c r="AL156" s="486"/>
      <c r="AM156" s="486"/>
      <c r="AN156" s="486"/>
      <c r="AO156" s="486"/>
      <c r="AP156" s="486"/>
      <c r="AQ156" s="486"/>
      <c r="AR156" s="231"/>
    </row>
    <row r="157" spans="1:44" customFormat="1" ht="11.25">
      <c r="A157" s="493">
        <f t="shared" ca="1" si="46"/>
        <v>41214</v>
      </c>
      <c r="B157" s="511">
        <v>2.3879999999999995</v>
      </c>
      <c r="C157" s="511">
        <v>2.4579999999999993</v>
      </c>
      <c r="D157" s="493">
        <f t="shared" ca="1" si="47"/>
        <v>41214</v>
      </c>
      <c r="E157" s="511">
        <v>19.271999999999998</v>
      </c>
      <c r="F157" s="511">
        <v>20.218</v>
      </c>
      <c r="G157" s="318"/>
      <c r="H157" s="490">
        <f t="shared" ca="1" si="40"/>
        <v>41214</v>
      </c>
      <c r="I157" s="491">
        <f t="shared" si="41"/>
        <v>2.4579999999999993</v>
      </c>
      <c r="J157" s="492">
        <f t="shared" ca="1" si="42"/>
        <v>41214</v>
      </c>
      <c r="K157" s="491">
        <f t="shared" si="43"/>
        <v>20.218</v>
      </c>
      <c r="L157" s="486"/>
      <c r="M157" s="486"/>
      <c r="N157" s="486"/>
      <c r="O157" s="486"/>
      <c r="P157" s="486"/>
      <c r="Q157" s="486"/>
      <c r="R157" s="486"/>
      <c r="S157" s="486"/>
      <c r="T157" s="486"/>
      <c r="U157" s="486"/>
      <c r="V157" s="486"/>
      <c r="W157" s="486"/>
      <c r="X157" s="486"/>
      <c r="Y157" s="486"/>
      <c r="Z157" s="486"/>
      <c r="AA157" s="486"/>
      <c r="AB157" s="486"/>
      <c r="AC157" s="486"/>
      <c r="AD157" s="486"/>
      <c r="AE157" s="486"/>
      <c r="AF157" s="486"/>
      <c r="AG157" s="486"/>
      <c r="AH157" s="486"/>
      <c r="AI157" s="486"/>
      <c r="AJ157" s="486"/>
      <c r="AK157" s="486"/>
      <c r="AL157" s="486"/>
      <c r="AM157" s="486"/>
      <c r="AN157" s="486"/>
      <c r="AO157" s="486"/>
      <c r="AP157" s="486"/>
      <c r="AQ157" s="486"/>
      <c r="AR157" s="231"/>
    </row>
    <row r="158" spans="1:44" customFormat="1" ht="11.25">
      <c r="A158" s="493">
        <f t="shared" ca="1" si="46"/>
        <v>41244</v>
      </c>
      <c r="B158" s="511">
        <v>2.38</v>
      </c>
      <c r="C158" s="511">
        <v>2.4500000000000002</v>
      </c>
      <c r="D158" s="493">
        <f t="shared" ca="1" si="47"/>
        <v>41244</v>
      </c>
      <c r="E158" s="511">
        <v>19.282</v>
      </c>
      <c r="F158" s="511">
        <v>20.236999999999998</v>
      </c>
      <c r="G158" s="318"/>
      <c r="H158" s="490">
        <f t="shared" ca="1" si="40"/>
        <v>41244</v>
      </c>
      <c r="I158" s="491">
        <f t="shared" si="41"/>
        <v>2.4500000000000002</v>
      </c>
      <c r="J158" s="492">
        <f t="shared" ca="1" si="42"/>
        <v>41244</v>
      </c>
      <c r="K158" s="491">
        <f t="shared" si="43"/>
        <v>20.236999999999998</v>
      </c>
      <c r="L158" s="486"/>
      <c r="M158" s="486"/>
      <c r="N158" s="486"/>
      <c r="O158" s="486"/>
      <c r="P158" s="486"/>
      <c r="Q158" s="486"/>
      <c r="R158" s="486"/>
      <c r="S158" s="486"/>
      <c r="T158" s="486"/>
      <c r="U158" s="486"/>
      <c r="V158" s="486"/>
      <c r="W158" s="486"/>
      <c r="X158" s="486"/>
      <c r="Y158" s="486"/>
      <c r="Z158" s="486"/>
      <c r="AA158" s="486"/>
      <c r="AB158" s="486"/>
      <c r="AC158" s="486"/>
      <c r="AD158" s="486"/>
      <c r="AE158" s="486"/>
      <c r="AF158" s="486"/>
      <c r="AG158" s="486"/>
      <c r="AH158" s="486"/>
      <c r="AI158" s="486"/>
      <c r="AJ158" s="486"/>
      <c r="AK158" s="486"/>
      <c r="AL158" s="486"/>
      <c r="AM158" s="486"/>
      <c r="AN158" s="486"/>
      <c r="AO158" s="486"/>
      <c r="AP158" s="486"/>
      <c r="AQ158" s="486"/>
      <c r="AR158" s="231"/>
    </row>
    <row r="159" spans="1:44" customFormat="1" ht="11.25">
      <c r="A159" s="493">
        <f t="shared" ca="1" si="46"/>
        <v>41275</v>
      </c>
      <c r="B159" s="511">
        <v>2.38</v>
      </c>
      <c r="C159" s="511">
        <v>2.4500000000000002</v>
      </c>
      <c r="D159" s="493">
        <f t="shared" ca="1" si="47"/>
        <v>41275</v>
      </c>
      <c r="E159" s="511">
        <v>19.291</v>
      </c>
      <c r="F159" s="511">
        <v>20.254000000000001</v>
      </c>
      <c r="G159" s="318"/>
      <c r="H159" s="490">
        <f t="shared" ca="1" si="40"/>
        <v>41275</v>
      </c>
      <c r="I159" s="491">
        <f t="shared" si="41"/>
        <v>2.4500000000000002</v>
      </c>
      <c r="J159" s="492">
        <f t="shared" ca="1" si="42"/>
        <v>41275</v>
      </c>
      <c r="K159" s="491">
        <f t="shared" si="43"/>
        <v>20.254000000000001</v>
      </c>
      <c r="L159" s="486"/>
      <c r="M159" s="486"/>
      <c r="N159" s="486"/>
      <c r="O159" s="486"/>
      <c r="P159" s="486"/>
      <c r="Q159" s="486"/>
      <c r="R159" s="486"/>
      <c r="S159" s="486"/>
      <c r="T159" s="486"/>
      <c r="U159" s="486"/>
      <c r="V159" s="486"/>
      <c r="W159" s="486"/>
      <c r="X159" s="486"/>
      <c r="Y159" s="486"/>
      <c r="Z159" s="486"/>
      <c r="AA159" s="486"/>
      <c r="AB159" s="486"/>
      <c r="AC159" s="486"/>
      <c r="AD159" s="486"/>
      <c r="AE159" s="486"/>
      <c r="AF159" s="486"/>
      <c r="AG159" s="486"/>
      <c r="AH159" s="486"/>
      <c r="AI159" s="486"/>
      <c r="AJ159" s="486"/>
      <c r="AK159" s="486"/>
      <c r="AL159" s="486"/>
      <c r="AM159" s="486"/>
      <c r="AN159" s="486"/>
      <c r="AO159" s="486"/>
      <c r="AP159" s="486"/>
      <c r="AQ159" s="486"/>
      <c r="AR159" s="231"/>
    </row>
    <row r="160" spans="1:44" customFormat="1" ht="11.25">
      <c r="A160" s="493">
        <f t="shared" ca="1" si="46"/>
        <v>41306</v>
      </c>
      <c r="B160" s="511">
        <v>2.38</v>
      </c>
      <c r="C160" s="511">
        <v>2.4500000000000002</v>
      </c>
      <c r="D160" s="493">
        <f t="shared" ca="1" si="47"/>
        <v>41306</v>
      </c>
      <c r="E160" s="511">
        <v>19.3</v>
      </c>
      <c r="F160" s="511">
        <v>20.271000000000001</v>
      </c>
      <c r="G160" s="318"/>
      <c r="H160" s="490">
        <f t="shared" ca="1" si="40"/>
        <v>41306</v>
      </c>
      <c r="I160" s="491">
        <f t="shared" si="41"/>
        <v>2.4500000000000002</v>
      </c>
      <c r="J160" s="492">
        <f t="shared" ca="1" si="42"/>
        <v>41306</v>
      </c>
      <c r="K160" s="491">
        <f t="shared" si="43"/>
        <v>20.271000000000001</v>
      </c>
      <c r="L160" s="486"/>
      <c r="M160" s="486"/>
      <c r="N160" s="486"/>
      <c r="O160" s="486"/>
      <c r="P160" s="486"/>
      <c r="Q160" s="486"/>
      <c r="R160" s="486"/>
      <c r="S160" s="486"/>
      <c r="T160" s="486"/>
      <c r="U160" s="486"/>
      <c r="V160" s="486"/>
      <c r="W160" s="486"/>
      <c r="X160" s="486"/>
      <c r="Y160" s="486"/>
      <c r="Z160" s="486"/>
      <c r="AA160" s="486"/>
      <c r="AB160" s="486"/>
      <c r="AC160" s="486"/>
      <c r="AD160" s="486"/>
      <c r="AE160" s="486"/>
      <c r="AF160" s="486"/>
      <c r="AG160" s="486"/>
      <c r="AH160" s="486"/>
      <c r="AI160" s="486"/>
      <c r="AJ160" s="486"/>
      <c r="AK160" s="486"/>
      <c r="AL160" s="486"/>
      <c r="AM160" s="486"/>
      <c r="AN160" s="486"/>
      <c r="AO160" s="486"/>
      <c r="AP160" s="486"/>
      <c r="AQ160" s="486"/>
      <c r="AR160" s="231"/>
    </row>
    <row r="161" spans="1:44" customFormat="1" ht="11.25">
      <c r="A161" s="493">
        <f t="shared" ca="1" si="46"/>
        <v>41334</v>
      </c>
      <c r="B161" s="511">
        <v>2.38</v>
      </c>
      <c r="C161" s="511">
        <v>2.4500000000000002</v>
      </c>
      <c r="D161" s="493">
        <f t="shared" ca="1" si="47"/>
        <v>41334</v>
      </c>
      <c r="E161" s="511">
        <v>19.309999999999999</v>
      </c>
      <c r="F161" s="511">
        <v>20.29</v>
      </c>
      <c r="G161" s="318"/>
      <c r="H161" s="490">
        <f t="shared" ca="1" si="40"/>
        <v>41334</v>
      </c>
      <c r="I161" s="491">
        <f t="shared" si="41"/>
        <v>2.4500000000000002</v>
      </c>
      <c r="J161" s="492">
        <f t="shared" ca="1" si="42"/>
        <v>41334</v>
      </c>
      <c r="K161" s="491">
        <f t="shared" si="43"/>
        <v>20.29</v>
      </c>
      <c r="L161" s="486"/>
      <c r="M161" s="486"/>
      <c r="N161" s="486"/>
      <c r="O161" s="486"/>
      <c r="P161" s="486"/>
      <c r="Q161" s="486"/>
      <c r="R161" s="486"/>
      <c r="S161" s="486"/>
      <c r="T161" s="486"/>
      <c r="U161" s="486"/>
      <c r="V161" s="486"/>
      <c r="W161" s="486"/>
      <c r="X161" s="486"/>
      <c r="Y161" s="486"/>
      <c r="Z161" s="486"/>
      <c r="AA161" s="486"/>
      <c r="AB161" s="486"/>
      <c r="AC161" s="486"/>
      <c r="AD161" s="486"/>
      <c r="AE161" s="486"/>
      <c r="AF161" s="486"/>
      <c r="AG161" s="486"/>
      <c r="AH161" s="486"/>
      <c r="AI161" s="486"/>
      <c r="AJ161" s="486"/>
      <c r="AK161" s="486"/>
      <c r="AL161" s="486"/>
      <c r="AM161" s="486"/>
      <c r="AN161" s="486"/>
      <c r="AO161" s="486"/>
      <c r="AP161" s="486"/>
      <c r="AQ161" s="486"/>
      <c r="AR161" s="231"/>
    </row>
    <row r="162" spans="1:44" customFormat="1" ht="11.25">
      <c r="A162" s="493">
        <f t="shared" ca="1" si="46"/>
        <v>41365</v>
      </c>
      <c r="B162" s="511">
        <v>2.4539999999999993</v>
      </c>
      <c r="C162" s="511">
        <v>2.5239999999999991</v>
      </c>
      <c r="D162" s="493">
        <f t="shared" ca="1" si="47"/>
        <v>41365</v>
      </c>
      <c r="E162" s="511">
        <v>19.318000000000001</v>
      </c>
      <c r="F162" s="511">
        <v>20.306999999999999</v>
      </c>
      <c r="G162" s="318"/>
      <c r="H162" s="490">
        <f t="shared" ca="1" si="40"/>
        <v>41365</v>
      </c>
      <c r="I162" s="491">
        <f t="shared" si="41"/>
        <v>2.5239999999999991</v>
      </c>
      <c r="J162" s="492">
        <f t="shared" ca="1" si="42"/>
        <v>41365</v>
      </c>
      <c r="K162" s="491">
        <f t="shared" si="43"/>
        <v>20.306999999999999</v>
      </c>
      <c r="L162" s="486"/>
      <c r="M162" s="486"/>
      <c r="N162" s="486"/>
      <c r="O162" s="486"/>
      <c r="P162" s="486"/>
      <c r="Q162" s="486"/>
      <c r="R162" s="486"/>
      <c r="S162" s="486"/>
      <c r="T162" s="486"/>
      <c r="U162" s="486"/>
      <c r="V162" s="486"/>
      <c r="W162" s="486"/>
      <c r="X162" s="486"/>
      <c r="Y162" s="486"/>
      <c r="Z162" s="486"/>
      <c r="AA162" s="486"/>
      <c r="AB162" s="486"/>
      <c r="AC162" s="486"/>
      <c r="AD162" s="486"/>
      <c r="AE162" s="486"/>
      <c r="AF162" s="486"/>
      <c r="AG162" s="486"/>
      <c r="AH162" s="486"/>
      <c r="AI162" s="486"/>
      <c r="AJ162" s="486"/>
      <c r="AK162" s="486"/>
      <c r="AL162" s="486"/>
      <c r="AM162" s="486"/>
      <c r="AN162" s="486"/>
      <c r="AO162" s="486"/>
      <c r="AP162" s="486"/>
      <c r="AQ162" s="486"/>
      <c r="AR162" s="231"/>
    </row>
    <row r="163" spans="1:44" customFormat="1" ht="11.25">
      <c r="A163" s="493">
        <f t="shared" ca="1" si="46"/>
        <v>41395</v>
      </c>
      <c r="B163" s="511">
        <v>2.5719999999999992</v>
      </c>
      <c r="C163" s="511">
        <v>2.641999999999999</v>
      </c>
      <c r="D163" s="493">
        <f t="shared" ca="1" si="47"/>
        <v>41395</v>
      </c>
      <c r="E163" s="511">
        <v>19.327999999999999</v>
      </c>
      <c r="F163" s="511">
        <v>20.324000000000002</v>
      </c>
      <c r="G163" s="318"/>
      <c r="H163" s="490">
        <f t="shared" ca="1" si="40"/>
        <v>41395</v>
      </c>
      <c r="I163" s="491">
        <f t="shared" si="41"/>
        <v>2.641999999999999</v>
      </c>
      <c r="J163" s="492">
        <f t="shared" ca="1" si="42"/>
        <v>41395</v>
      </c>
      <c r="K163" s="491">
        <f t="shared" si="43"/>
        <v>20.324000000000002</v>
      </c>
      <c r="L163" s="486"/>
      <c r="M163" s="486"/>
      <c r="N163" s="486"/>
      <c r="O163" s="486"/>
      <c r="P163" s="486"/>
      <c r="Q163" s="486"/>
      <c r="R163" s="486"/>
      <c r="S163" s="486"/>
      <c r="T163" s="486"/>
      <c r="U163" s="486"/>
      <c r="V163" s="486"/>
      <c r="W163" s="486"/>
      <c r="X163" s="486"/>
      <c r="Y163" s="486"/>
      <c r="Z163" s="486"/>
      <c r="AA163" s="486"/>
      <c r="AB163" s="486"/>
      <c r="AC163" s="486"/>
      <c r="AD163" s="486"/>
      <c r="AE163" s="486"/>
      <c r="AF163" s="486"/>
      <c r="AG163" s="486"/>
      <c r="AH163" s="486"/>
      <c r="AI163" s="486"/>
      <c r="AJ163" s="486"/>
      <c r="AK163" s="486"/>
      <c r="AL163" s="486"/>
      <c r="AM163" s="486"/>
      <c r="AN163" s="486"/>
      <c r="AO163" s="486"/>
      <c r="AP163" s="486"/>
      <c r="AQ163" s="486"/>
      <c r="AR163" s="231"/>
    </row>
    <row r="164" spans="1:44" customFormat="1" ht="11.25">
      <c r="A164" s="493">
        <f t="shared" ca="1" si="46"/>
        <v>41426</v>
      </c>
      <c r="B164" s="511">
        <v>2.6929999999999987</v>
      </c>
      <c r="C164" s="511">
        <v>2.7929999999999988</v>
      </c>
      <c r="D164" s="493">
        <f t="shared" ca="1" si="47"/>
        <v>41426</v>
      </c>
      <c r="E164" s="511">
        <v>19.337</v>
      </c>
      <c r="F164" s="511">
        <v>20.341999999999999</v>
      </c>
      <c r="G164" s="318"/>
      <c r="H164" s="490">
        <f t="shared" ca="1" si="40"/>
        <v>41426</v>
      </c>
      <c r="I164" s="491">
        <f t="shared" si="41"/>
        <v>2.7929999999999988</v>
      </c>
      <c r="J164" s="492">
        <f t="shared" ca="1" si="42"/>
        <v>41426</v>
      </c>
      <c r="K164" s="491">
        <f t="shared" si="43"/>
        <v>20.341999999999999</v>
      </c>
      <c r="L164" s="486"/>
      <c r="M164" s="486"/>
      <c r="N164" s="486"/>
      <c r="O164" s="486"/>
      <c r="P164" s="486"/>
      <c r="Q164" s="486"/>
      <c r="R164" s="486"/>
      <c r="S164" s="486"/>
      <c r="T164" s="486"/>
      <c r="U164" s="486"/>
      <c r="V164" s="486"/>
      <c r="W164" s="486"/>
      <c r="X164" s="486"/>
      <c r="Y164" s="486"/>
      <c r="Z164" s="486"/>
      <c r="AA164" s="486"/>
      <c r="AB164" s="486"/>
      <c r="AC164" s="486"/>
      <c r="AD164" s="486"/>
      <c r="AE164" s="486"/>
      <c r="AF164" s="486"/>
      <c r="AG164" s="486"/>
      <c r="AH164" s="486"/>
      <c r="AI164" s="486"/>
      <c r="AJ164" s="486"/>
      <c r="AK164" s="486"/>
      <c r="AL164" s="486"/>
      <c r="AM164" s="486"/>
      <c r="AN164" s="486"/>
      <c r="AO164" s="486"/>
      <c r="AP164" s="486"/>
      <c r="AQ164" s="486"/>
      <c r="AR164" s="231"/>
    </row>
    <row r="165" spans="1:44" customFormat="1" ht="11.25">
      <c r="A165" s="493">
        <f t="shared" ca="1" si="46"/>
        <v>41456</v>
      </c>
      <c r="B165" s="511">
        <v>2.6079999999999988</v>
      </c>
      <c r="C165" s="511">
        <v>2.7079999999999989</v>
      </c>
      <c r="D165" s="493">
        <f t="shared" ca="1" si="47"/>
        <v>41456</v>
      </c>
      <c r="E165" s="511">
        <v>19.344999999999999</v>
      </c>
      <c r="F165" s="511">
        <v>20.358000000000001</v>
      </c>
      <c r="G165" s="318"/>
      <c r="H165" s="490">
        <f t="shared" ca="1" si="40"/>
        <v>41456</v>
      </c>
      <c r="I165" s="491">
        <f t="shared" si="41"/>
        <v>2.7079999999999989</v>
      </c>
      <c r="J165" s="492">
        <f t="shared" ca="1" si="42"/>
        <v>41456</v>
      </c>
      <c r="K165" s="491">
        <f t="shared" si="43"/>
        <v>20.358000000000001</v>
      </c>
      <c r="L165" s="486"/>
      <c r="M165" s="486"/>
      <c r="N165" s="486"/>
      <c r="O165" s="486"/>
      <c r="P165" s="486"/>
      <c r="Q165" s="486"/>
      <c r="R165" s="486"/>
      <c r="S165" s="486"/>
      <c r="T165" s="486"/>
      <c r="U165" s="486"/>
      <c r="V165" s="486"/>
      <c r="W165" s="486"/>
      <c r="X165" s="486"/>
      <c r="Y165" s="486"/>
      <c r="Z165" s="486"/>
      <c r="AA165" s="486"/>
      <c r="AB165" s="486"/>
      <c r="AC165" s="486"/>
      <c r="AD165" s="486"/>
      <c r="AE165" s="486"/>
      <c r="AF165" s="486"/>
      <c r="AG165" s="486"/>
      <c r="AH165" s="486"/>
      <c r="AI165" s="486"/>
      <c r="AJ165" s="486"/>
      <c r="AK165" s="486"/>
      <c r="AL165" s="486"/>
      <c r="AM165" s="486"/>
      <c r="AN165" s="486"/>
      <c r="AO165" s="486"/>
      <c r="AP165" s="486"/>
      <c r="AQ165" s="486"/>
      <c r="AR165" s="231"/>
    </row>
    <row r="166" spans="1:44" customFormat="1" ht="11.25">
      <c r="A166" s="493">
        <f t="shared" ca="1" si="46"/>
        <v>41487</v>
      </c>
      <c r="B166" s="511">
        <v>2.5419999999999989</v>
      </c>
      <c r="C166" s="511">
        <v>2.641999999999999</v>
      </c>
      <c r="D166" s="493">
        <f t="shared" ca="1" si="47"/>
        <v>41487</v>
      </c>
      <c r="E166" s="511">
        <v>19.355</v>
      </c>
      <c r="F166" s="511">
        <v>20.376000000000001</v>
      </c>
      <c r="G166" s="318"/>
      <c r="H166" s="490">
        <f t="shared" ca="1" si="40"/>
        <v>41487</v>
      </c>
      <c r="I166" s="491">
        <f t="shared" si="41"/>
        <v>2.641999999999999</v>
      </c>
      <c r="J166" s="492">
        <f t="shared" ca="1" si="42"/>
        <v>41487</v>
      </c>
      <c r="K166" s="491">
        <f t="shared" ref="K166:K186" si="48">IF($J$1="bid",E166,F166)</f>
        <v>20.376000000000001</v>
      </c>
      <c r="L166" s="486"/>
      <c r="M166" s="486"/>
      <c r="N166" s="486"/>
      <c r="O166" s="486"/>
      <c r="P166" s="486"/>
      <c r="Q166" s="486"/>
      <c r="R166" s="486"/>
      <c r="S166" s="486"/>
      <c r="T166" s="486"/>
      <c r="U166" s="486"/>
      <c r="V166" s="486"/>
      <c r="W166" s="486"/>
      <c r="X166" s="486"/>
      <c r="Y166" s="486"/>
      <c r="Z166" s="486"/>
      <c r="AA166" s="486"/>
      <c r="AB166" s="486"/>
      <c r="AC166" s="486"/>
      <c r="AD166" s="486"/>
      <c r="AE166" s="486"/>
      <c r="AF166" s="486"/>
      <c r="AG166" s="486"/>
      <c r="AH166" s="486"/>
      <c r="AI166" s="486"/>
      <c r="AJ166" s="486"/>
      <c r="AK166" s="486"/>
      <c r="AL166" s="486"/>
      <c r="AM166" s="486"/>
      <c r="AN166" s="486"/>
      <c r="AO166" s="486"/>
      <c r="AP166" s="486"/>
      <c r="AQ166" s="486"/>
      <c r="AR166" s="231"/>
    </row>
    <row r="167" spans="1:44" customFormat="1" ht="11.25">
      <c r="A167" s="493">
        <f t="shared" ref="A167:A182" ca="1" si="49">DATE(YEAR(A166),MONTH(A166)+1,1)</f>
        <v>41518</v>
      </c>
      <c r="B167" s="511">
        <v>2.492999999999999</v>
      </c>
      <c r="C167" s="511">
        <v>2.5929999999999991</v>
      </c>
      <c r="D167" s="493">
        <f t="shared" ref="D167:D182" ca="1" si="50">DATE(YEAR(D166),MONTH(D166)+1,1)</f>
        <v>41518</v>
      </c>
      <c r="E167" s="511">
        <v>19.364999999999998</v>
      </c>
      <c r="F167" s="511">
        <v>20.395</v>
      </c>
      <c r="G167" s="318"/>
      <c r="H167" s="490">
        <f t="shared" ca="1" si="40"/>
        <v>41518</v>
      </c>
      <c r="I167" s="491">
        <f t="shared" si="41"/>
        <v>2.5929999999999991</v>
      </c>
      <c r="J167" s="492">
        <f t="shared" ca="1" si="42"/>
        <v>41518</v>
      </c>
      <c r="K167" s="491">
        <f t="shared" si="48"/>
        <v>20.395</v>
      </c>
      <c r="L167" s="486"/>
      <c r="M167" s="486"/>
      <c r="N167" s="486"/>
      <c r="O167" s="486"/>
      <c r="P167" s="486"/>
      <c r="Q167" s="486"/>
      <c r="R167" s="486"/>
      <c r="S167" s="486"/>
      <c r="T167" s="486"/>
      <c r="U167" s="486"/>
      <c r="V167" s="486"/>
      <c r="W167" s="486"/>
      <c r="X167" s="486"/>
      <c r="Y167" s="486"/>
      <c r="Z167" s="486"/>
      <c r="AA167" s="486"/>
      <c r="AB167" s="486"/>
      <c r="AC167" s="486"/>
      <c r="AD167" s="486"/>
      <c r="AE167" s="486"/>
      <c r="AF167" s="486"/>
      <c r="AG167" s="486"/>
      <c r="AH167" s="486"/>
      <c r="AI167" s="486"/>
      <c r="AJ167" s="486"/>
      <c r="AK167" s="486"/>
      <c r="AL167" s="486"/>
      <c r="AM167" s="486"/>
      <c r="AN167" s="486"/>
      <c r="AO167" s="486"/>
      <c r="AP167" s="486"/>
      <c r="AQ167" s="486"/>
      <c r="AR167" s="231"/>
    </row>
    <row r="168" spans="1:44" customFormat="1" ht="11.25">
      <c r="A168" s="493">
        <f t="shared" ca="1" si="49"/>
        <v>41548</v>
      </c>
      <c r="B168" s="511">
        <v>2.48</v>
      </c>
      <c r="C168" s="511">
        <v>2.58</v>
      </c>
      <c r="D168" s="493">
        <f t="shared" ca="1" si="50"/>
        <v>41548</v>
      </c>
      <c r="E168" s="511">
        <v>19.373000000000001</v>
      </c>
      <c r="F168" s="511">
        <v>20.411000000000001</v>
      </c>
      <c r="G168" s="318"/>
      <c r="H168" s="490">
        <f t="shared" ca="1" si="40"/>
        <v>41548</v>
      </c>
      <c r="I168" s="491">
        <f t="shared" si="41"/>
        <v>2.58</v>
      </c>
      <c r="J168" s="492">
        <f t="shared" ca="1" si="42"/>
        <v>41548</v>
      </c>
      <c r="K168" s="491">
        <f t="shared" si="48"/>
        <v>20.411000000000001</v>
      </c>
      <c r="L168" s="486"/>
      <c r="M168" s="486"/>
      <c r="N168" s="486"/>
      <c r="O168" s="486"/>
      <c r="P168" s="486"/>
      <c r="Q168" s="486"/>
      <c r="R168" s="486"/>
      <c r="S168" s="486"/>
      <c r="T168" s="486"/>
      <c r="U168" s="486"/>
      <c r="V168" s="486"/>
      <c r="W168" s="486"/>
      <c r="X168" s="486"/>
      <c r="Y168" s="486"/>
      <c r="Z168" s="486"/>
      <c r="AA168" s="486"/>
      <c r="AB168" s="486"/>
      <c r="AC168" s="486"/>
      <c r="AD168" s="486"/>
      <c r="AE168" s="486"/>
      <c r="AF168" s="486"/>
      <c r="AG168" s="486"/>
      <c r="AH168" s="486"/>
      <c r="AI168" s="486"/>
      <c r="AJ168" s="486"/>
      <c r="AK168" s="486"/>
      <c r="AL168" s="486"/>
      <c r="AM168" s="486"/>
      <c r="AN168" s="486"/>
      <c r="AO168" s="486"/>
      <c r="AP168" s="486"/>
      <c r="AQ168" s="486"/>
      <c r="AR168" s="231"/>
    </row>
    <row r="169" spans="1:44" customFormat="1" ht="11.25">
      <c r="A169" s="493">
        <f t="shared" ca="1" si="49"/>
        <v>41579</v>
      </c>
      <c r="B169" s="511">
        <v>2.4879999999999991</v>
      </c>
      <c r="C169" s="511">
        <v>2.5879999999999992</v>
      </c>
      <c r="D169" s="493">
        <f t="shared" ca="1" si="50"/>
        <v>41579</v>
      </c>
      <c r="E169" s="511">
        <v>19.382000000000001</v>
      </c>
      <c r="F169" s="511">
        <v>20.428999999999998</v>
      </c>
      <c r="G169" s="318"/>
      <c r="H169" s="490">
        <f t="shared" ca="1" si="40"/>
        <v>41579</v>
      </c>
      <c r="I169" s="491">
        <f t="shared" si="41"/>
        <v>2.5879999999999992</v>
      </c>
      <c r="J169" s="492">
        <f t="shared" ca="1" si="42"/>
        <v>41579</v>
      </c>
      <c r="K169" s="491">
        <f t="shared" si="48"/>
        <v>20.428999999999998</v>
      </c>
      <c r="L169" s="486"/>
      <c r="M169" s="486"/>
      <c r="N169" s="486"/>
      <c r="O169" s="486"/>
      <c r="P169" s="486"/>
      <c r="Q169" s="486"/>
      <c r="R169" s="486"/>
      <c r="S169" s="486"/>
      <c r="T169" s="486"/>
      <c r="U169" s="486"/>
      <c r="V169" s="486"/>
      <c r="W169" s="486"/>
      <c r="X169" s="486"/>
      <c r="Y169" s="486"/>
      <c r="Z169" s="486"/>
      <c r="AA169" s="486"/>
      <c r="AB169" s="486"/>
      <c r="AC169" s="486"/>
      <c r="AD169" s="486"/>
      <c r="AE169" s="486"/>
      <c r="AF169" s="486"/>
      <c r="AG169" s="486"/>
      <c r="AH169" s="486"/>
      <c r="AI169" s="486"/>
      <c r="AJ169" s="486"/>
      <c r="AK169" s="486"/>
      <c r="AL169" s="486"/>
      <c r="AM169" s="486"/>
      <c r="AN169" s="486"/>
      <c r="AO169" s="486"/>
      <c r="AP169" s="486"/>
      <c r="AQ169" s="486"/>
      <c r="AR169" s="231"/>
    </row>
    <row r="170" spans="1:44" customFormat="1" ht="11.25">
      <c r="A170" s="493">
        <f t="shared" ca="1" si="49"/>
        <v>41609</v>
      </c>
      <c r="B170" s="511">
        <v>2.48</v>
      </c>
      <c r="C170" s="511">
        <v>2.58</v>
      </c>
      <c r="D170" s="493">
        <f t="shared" ca="1" si="50"/>
        <v>41609</v>
      </c>
      <c r="E170" s="511">
        <v>19.391999999999999</v>
      </c>
      <c r="F170" s="511">
        <v>20.446000000000002</v>
      </c>
      <c r="G170" s="318"/>
      <c r="H170" s="490">
        <f t="shared" ca="1" si="40"/>
        <v>41609</v>
      </c>
      <c r="I170" s="491">
        <f t="shared" si="41"/>
        <v>2.58</v>
      </c>
      <c r="J170" s="492">
        <f t="shared" ca="1" si="42"/>
        <v>41609</v>
      </c>
      <c r="K170" s="491">
        <f t="shared" si="48"/>
        <v>20.446000000000002</v>
      </c>
      <c r="L170" s="486"/>
      <c r="M170" s="486"/>
      <c r="N170" s="486"/>
      <c r="O170" s="486"/>
      <c r="P170" s="486"/>
      <c r="Q170" s="486"/>
      <c r="R170" s="486"/>
      <c r="S170" s="486"/>
      <c r="T170" s="486"/>
      <c r="U170" s="486"/>
      <c r="V170" s="486"/>
      <c r="W170" s="486"/>
      <c r="X170" s="486"/>
      <c r="Y170" s="486"/>
      <c r="Z170" s="486"/>
      <c r="AA170" s="486"/>
      <c r="AB170" s="486"/>
      <c r="AC170" s="486"/>
      <c r="AD170" s="486"/>
      <c r="AE170" s="486"/>
      <c r="AF170" s="486"/>
      <c r="AG170" s="486"/>
      <c r="AH170" s="486"/>
      <c r="AI170" s="486"/>
      <c r="AJ170" s="486"/>
      <c r="AK170" s="486"/>
      <c r="AL170" s="486"/>
      <c r="AM170" s="486"/>
      <c r="AN170" s="486"/>
      <c r="AO170" s="486"/>
      <c r="AP170" s="486"/>
      <c r="AQ170" s="486"/>
      <c r="AR170" s="231"/>
    </row>
    <row r="171" spans="1:44" customFormat="1" ht="11.25">
      <c r="A171" s="493">
        <f t="shared" ca="1" si="49"/>
        <v>41640</v>
      </c>
      <c r="B171" s="511">
        <v>2.48</v>
      </c>
      <c r="C171" s="511">
        <v>2.58</v>
      </c>
      <c r="D171" s="493">
        <f t="shared" ca="1" si="50"/>
        <v>41640</v>
      </c>
      <c r="E171" s="511">
        <v>19.401</v>
      </c>
      <c r="F171" s="511">
        <v>20.463999999999999</v>
      </c>
      <c r="G171" s="318"/>
      <c r="H171" s="490">
        <f t="shared" ca="1" si="40"/>
        <v>41640</v>
      </c>
      <c r="I171" s="491">
        <f t="shared" si="41"/>
        <v>2.58</v>
      </c>
      <c r="J171" s="492">
        <f t="shared" ca="1" si="42"/>
        <v>41640</v>
      </c>
      <c r="K171" s="491">
        <f t="shared" si="48"/>
        <v>20.463999999999999</v>
      </c>
      <c r="L171" s="486"/>
      <c r="M171" s="486"/>
      <c r="N171" s="486"/>
      <c r="O171" s="486"/>
      <c r="P171" s="486"/>
      <c r="Q171" s="486"/>
      <c r="R171" s="486"/>
      <c r="S171" s="486"/>
      <c r="T171" s="486"/>
      <c r="U171" s="486"/>
      <c r="V171" s="486"/>
      <c r="W171" s="486"/>
      <c r="X171" s="486"/>
      <c r="Y171" s="486"/>
      <c r="Z171" s="486"/>
      <c r="AA171" s="486"/>
      <c r="AB171" s="486"/>
      <c r="AC171" s="486"/>
      <c r="AD171" s="486"/>
      <c r="AE171" s="486"/>
      <c r="AF171" s="486"/>
      <c r="AG171" s="486"/>
      <c r="AH171" s="486"/>
      <c r="AI171" s="486"/>
      <c r="AJ171" s="486"/>
      <c r="AK171" s="486"/>
      <c r="AL171" s="486"/>
      <c r="AM171" s="486"/>
      <c r="AN171" s="486"/>
      <c r="AO171" s="486"/>
      <c r="AP171" s="486"/>
      <c r="AQ171" s="486"/>
      <c r="AR171" s="231"/>
    </row>
    <row r="172" spans="1:44" customFormat="1" ht="11.25">
      <c r="A172" s="493">
        <f t="shared" ca="1" si="49"/>
        <v>41671</v>
      </c>
      <c r="B172" s="511">
        <v>2.48</v>
      </c>
      <c r="C172" s="511">
        <v>2.58</v>
      </c>
      <c r="D172" s="493">
        <f t="shared" ca="1" si="50"/>
        <v>41671</v>
      </c>
      <c r="E172" s="511">
        <v>19.41</v>
      </c>
      <c r="F172" s="511">
        <v>20.481999999999999</v>
      </c>
      <c r="G172" s="318"/>
      <c r="H172" s="490">
        <f t="shared" ca="1" si="40"/>
        <v>41671</v>
      </c>
      <c r="I172" s="491">
        <f t="shared" si="41"/>
        <v>2.58</v>
      </c>
      <c r="J172" s="492">
        <f t="shared" ca="1" si="42"/>
        <v>41671</v>
      </c>
      <c r="K172" s="491">
        <f t="shared" si="48"/>
        <v>20.481999999999999</v>
      </c>
      <c r="L172" s="486"/>
      <c r="M172" s="486"/>
      <c r="N172" s="486"/>
      <c r="O172" s="486"/>
      <c r="P172" s="486"/>
      <c r="Q172" s="486"/>
      <c r="R172" s="486"/>
      <c r="S172" s="486"/>
      <c r="T172" s="486"/>
      <c r="U172" s="486"/>
      <c r="V172" s="486"/>
      <c r="W172" s="486"/>
      <c r="X172" s="486"/>
      <c r="Y172" s="486"/>
      <c r="Z172" s="486"/>
      <c r="AA172" s="486"/>
      <c r="AB172" s="486"/>
      <c r="AC172" s="486"/>
      <c r="AD172" s="486"/>
      <c r="AE172" s="486"/>
      <c r="AF172" s="486"/>
      <c r="AG172" s="486"/>
      <c r="AH172" s="486"/>
      <c r="AI172" s="486"/>
      <c r="AJ172" s="486"/>
      <c r="AK172" s="486"/>
      <c r="AL172" s="486"/>
      <c r="AM172" s="486"/>
      <c r="AN172" s="486"/>
      <c r="AO172" s="486"/>
      <c r="AP172" s="486"/>
      <c r="AQ172" s="486"/>
      <c r="AR172" s="231"/>
    </row>
    <row r="173" spans="1:44" customFormat="1" ht="11.25">
      <c r="A173" s="493">
        <f t="shared" ca="1" si="49"/>
        <v>41699</v>
      </c>
      <c r="B173" s="511">
        <v>2.48</v>
      </c>
      <c r="C173" s="511">
        <v>2.58</v>
      </c>
      <c r="D173" s="493">
        <f t="shared" ca="1" si="50"/>
        <v>41699</v>
      </c>
      <c r="E173" s="511">
        <v>19.419</v>
      </c>
      <c r="F173" s="511">
        <v>20.498999999999999</v>
      </c>
      <c r="G173" s="318"/>
      <c r="H173" s="490">
        <f t="shared" ca="1" si="40"/>
        <v>41699</v>
      </c>
      <c r="I173" s="491">
        <f t="shared" si="41"/>
        <v>2.58</v>
      </c>
      <c r="J173" s="492">
        <f t="shared" ca="1" si="42"/>
        <v>41699</v>
      </c>
      <c r="K173" s="491">
        <f t="shared" si="48"/>
        <v>20.498999999999999</v>
      </c>
      <c r="L173" s="486"/>
      <c r="M173" s="486"/>
      <c r="N173" s="486"/>
      <c r="O173" s="486"/>
      <c r="P173" s="486"/>
      <c r="Q173" s="486"/>
      <c r="R173" s="486"/>
      <c r="S173" s="486"/>
      <c r="T173" s="486"/>
      <c r="U173" s="486"/>
      <c r="V173" s="486"/>
      <c r="W173" s="486"/>
      <c r="X173" s="486"/>
      <c r="Y173" s="486"/>
      <c r="Z173" s="486"/>
      <c r="AA173" s="486"/>
      <c r="AB173" s="486"/>
      <c r="AC173" s="486"/>
      <c r="AD173" s="486"/>
      <c r="AE173" s="486"/>
      <c r="AF173" s="486"/>
      <c r="AG173" s="486"/>
      <c r="AH173" s="486"/>
      <c r="AI173" s="486"/>
      <c r="AJ173" s="486"/>
      <c r="AK173" s="486"/>
      <c r="AL173" s="486"/>
      <c r="AM173" s="486"/>
      <c r="AN173" s="486"/>
      <c r="AO173" s="486"/>
      <c r="AP173" s="486"/>
      <c r="AQ173" s="486"/>
      <c r="AR173" s="231"/>
    </row>
    <row r="174" spans="1:44" customFormat="1" ht="11.25">
      <c r="A174" s="493">
        <f t="shared" ca="1" si="49"/>
        <v>41730</v>
      </c>
      <c r="B174" s="511">
        <v>2.5539999999999989</v>
      </c>
      <c r="C174" s="511">
        <v>2.653999999999999</v>
      </c>
      <c r="D174" s="493">
        <f t="shared" ca="1" si="50"/>
        <v>41730</v>
      </c>
      <c r="E174" s="511">
        <v>19.428999999999998</v>
      </c>
      <c r="F174" s="511">
        <v>20.516999999999999</v>
      </c>
      <c r="G174" s="318"/>
      <c r="H174" s="490">
        <f t="shared" ca="1" si="40"/>
        <v>41730</v>
      </c>
      <c r="I174" s="491">
        <f t="shared" si="41"/>
        <v>2.653999999999999</v>
      </c>
      <c r="J174" s="492">
        <f t="shared" ca="1" si="42"/>
        <v>41730</v>
      </c>
      <c r="K174" s="491">
        <f t="shared" si="48"/>
        <v>20.516999999999999</v>
      </c>
      <c r="L174" s="486"/>
      <c r="M174" s="486"/>
      <c r="N174" s="486"/>
      <c r="O174" s="486"/>
      <c r="P174" s="486"/>
      <c r="Q174" s="486"/>
      <c r="R174" s="486"/>
      <c r="S174" s="486"/>
      <c r="T174" s="486"/>
      <c r="U174" s="486"/>
      <c r="V174" s="486"/>
      <c r="W174" s="486"/>
      <c r="X174" s="486"/>
      <c r="Y174" s="486"/>
      <c r="Z174" s="486"/>
      <c r="AA174" s="486"/>
      <c r="AB174" s="486"/>
      <c r="AC174" s="486"/>
      <c r="AD174" s="486"/>
      <c r="AE174" s="486"/>
      <c r="AF174" s="486"/>
      <c r="AG174" s="486"/>
      <c r="AH174" s="486"/>
      <c r="AI174" s="486"/>
      <c r="AJ174" s="486"/>
      <c r="AK174" s="486"/>
      <c r="AL174" s="486"/>
      <c r="AM174" s="486"/>
      <c r="AN174" s="486"/>
      <c r="AO174" s="486"/>
      <c r="AP174" s="486"/>
      <c r="AQ174" s="486"/>
      <c r="AR174" s="231"/>
    </row>
    <row r="175" spans="1:44" customFormat="1" ht="11.25">
      <c r="A175" s="493">
        <f t="shared" ca="1" si="49"/>
        <v>41760</v>
      </c>
      <c r="B175" s="511">
        <v>2.6719999999999988</v>
      </c>
      <c r="C175" s="511">
        <v>2.7719999999999989</v>
      </c>
      <c r="D175" s="493">
        <f t="shared" ca="1" si="50"/>
        <v>41760</v>
      </c>
      <c r="E175" s="511">
        <v>19.443999999999999</v>
      </c>
      <c r="F175" s="511">
        <v>20.541</v>
      </c>
      <c r="G175" s="318"/>
      <c r="H175" s="490">
        <f t="shared" ca="1" si="40"/>
        <v>41760</v>
      </c>
      <c r="I175" s="491">
        <f t="shared" si="41"/>
        <v>2.7719999999999989</v>
      </c>
      <c r="J175" s="492">
        <f t="shared" ca="1" si="42"/>
        <v>41760</v>
      </c>
      <c r="K175" s="491">
        <f t="shared" si="48"/>
        <v>20.541</v>
      </c>
      <c r="L175" s="486"/>
      <c r="M175" s="486"/>
      <c r="N175" s="486"/>
      <c r="O175" s="486"/>
      <c r="P175" s="486"/>
      <c r="Q175" s="486"/>
      <c r="R175" s="486"/>
      <c r="S175" s="486"/>
      <c r="T175" s="486"/>
      <c r="U175" s="486"/>
      <c r="V175" s="486"/>
      <c r="W175" s="486"/>
      <c r="X175" s="486"/>
      <c r="Y175" s="486"/>
      <c r="Z175" s="486"/>
      <c r="AA175" s="486"/>
      <c r="AB175" s="486"/>
      <c r="AC175" s="486"/>
      <c r="AD175" s="486"/>
      <c r="AE175" s="486"/>
      <c r="AF175" s="486"/>
      <c r="AG175" s="486"/>
      <c r="AH175" s="486"/>
      <c r="AI175" s="486"/>
      <c r="AJ175" s="486"/>
      <c r="AK175" s="486"/>
      <c r="AL175" s="486"/>
      <c r="AM175" s="486"/>
      <c r="AN175" s="486"/>
      <c r="AO175" s="486"/>
      <c r="AP175" s="486"/>
      <c r="AQ175" s="486"/>
      <c r="AR175" s="231"/>
    </row>
    <row r="176" spans="1:44" customFormat="1" ht="11.25">
      <c r="A176" s="493">
        <f t="shared" ca="1" si="49"/>
        <v>41791</v>
      </c>
      <c r="B176" s="511">
        <v>2.8329999999999989</v>
      </c>
      <c r="C176" s="511">
        <v>2.9329999999999989</v>
      </c>
      <c r="D176" s="493">
        <f t="shared" ca="1" si="50"/>
        <v>41791</v>
      </c>
      <c r="E176" s="511">
        <v>19.844000000000001</v>
      </c>
      <c r="F176" s="511">
        <v>21.015999999999998</v>
      </c>
      <c r="G176" s="318"/>
      <c r="H176" s="490">
        <f t="shared" ca="1" si="40"/>
        <v>41791</v>
      </c>
      <c r="I176" s="491">
        <f t="shared" si="41"/>
        <v>2.9329999999999989</v>
      </c>
      <c r="J176" s="492">
        <f t="shared" ca="1" si="42"/>
        <v>41791</v>
      </c>
      <c r="K176" s="491">
        <f t="shared" si="48"/>
        <v>21.015999999999998</v>
      </c>
      <c r="L176" s="486"/>
      <c r="M176" s="486"/>
      <c r="N176" s="486"/>
      <c r="O176" s="486"/>
      <c r="P176" s="486"/>
      <c r="Q176" s="486"/>
      <c r="R176" s="486"/>
      <c r="S176" s="486"/>
      <c r="T176" s="486"/>
      <c r="U176" s="486"/>
      <c r="V176" s="486"/>
      <c r="W176" s="486"/>
      <c r="X176" s="486"/>
      <c r="Y176" s="486"/>
      <c r="Z176" s="486"/>
      <c r="AA176" s="486"/>
      <c r="AB176" s="486"/>
      <c r="AC176" s="486"/>
      <c r="AD176" s="486"/>
      <c r="AE176" s="486"/>
      <c r="AF176" s="486"/>
      <c r="AG176" s="486"/>
      <c r="AH176" s="486"/>
      <c r="AI176" s="486"/>
      <c r="AJ176" s="486"/>
      <c r="AK176" s="486"/>
      <c r="AL176" s="486"/>
      <c r="AM176" s="486"/>
      <c r="AN176" s="486"/>
      <c r="AO176" s="486"/>
      <c r="AP176" s="486"/>
      <c r="AQ176" s="486"/>
      <c r="AR176" s="231"/>
    </row>
    <row r="177" spans="1:44" customFormat="1" ht="11.25">
      <c r="A177" s="493">
        <f t="shared" ca="1" si="49"/>
        <v>41821</v>
      </c>
      <c r="B177" s="511">
        <v>2.7479999999999989</v>
      </c>
      <c r="C177" s="511">
        <v>2.847999999999999</v>
      </c>
      <c r="D177" s="493">
        <f t="shared" ca="1" si="50"/>
        <v>41821</v>
      </c>
      <c r="E177" s="511">
        <v>19.86</v>
      </c>
      <c r="F177" s="511">
        <v>21.041</v>
      </c>
      <c r="G177" s="318"/>
      <c r="H177" s="490">
        <f t="shared" ca="1" si="40"/>
        <v>41821</v>
      </c>
      <c r="I177" s="491">
        <f t="shared" si="41"/>
        <v>2.847999999999999</v>
      </c>
      <c r="J177" s="492">
        <f t="shared" ca="1" si="42"/>
        <v>41821</v>
      </c>
      <c r="K177" s="491">
        <f t="shared" si="48"/>
        <v>21.041</v>
      </c>
      <c r="L177" s="486"/>
      <c r="M177" s="486"/>
      <c r="N177" s="486"/>
      <c r="O177" s="486"/>
      <c r="P177" s="486"/>
      <c r="Q177" s="486"/>
      <c r="R177" s="486"/>
      <c r="S177" s="486"/>
      <c r="T177" s="486"/>
      <c r="U177" s="486"/>
      <c r="V177" s="486"/>
      <c r="W177" s="486"/>
      <c r="X177" s="486"/>
      <c r="Y177" s="486"/>
      <c r="Z177" s="486"/>
      <c r="AA177" s="486"/>
      <c r="AB177" s="486"/>
      <c r="AC177" s="486"/>
      <c r="AD177" s="486"/>
      <c r="AE177" s="486"/>
      <c r="AF177" s="486"/>
      <c r="AG177" s="486"/>
      <c r="AH177" s="486"/>
      <c r="AI177" s="486"/>
      <c r="AJ177" s="486"/>
      <c r="AK177" s="486"/>
      <c r="AL177" s="486"/>
      <c r="AM177" s="486"/>
      <c r="AN177" s="486"/>
      <c r="AO177" s="486"/>
      <c r="AP177" s="486"/>
      <c r="AQ177" s="486"/>
      <c r="AR177" s="231"/>
    </row>
    <row r="178" spans="1:44" customFormat="1" ht="11.25">
      <c r="A178" s="493">
        <f t="shared" ca="1" si="49"/>
        <v>41852</v>
      </c>
      <c r="B178" s="511">
        <v>2.6819999999999991</v>
      </c>
      <c r="C178" s="511">
        <v>2.7819999999999991</v>
      </c>
      <c r="D178" s="493">
        <f t="shared" ca="1" si="50"/>
        <v>41852</v>
      </c>
      <c r="E178" s="511">
        <v>19.875</v>
      </c>
      <c r="F178" s="511">
        <v>21.062000000000001</v>
      </c>
      <c r="G178" s="318"/>
      <c r="H178" s="490">
        <f t="shared" ca="1" si="40"/>
        <v>41852</v>
      </c>
      <c r="I178" s="491">
        <f t="shared" si="41"/>
        <v>2.7819999999999991</v>
      </c>
      <c r="J178" s="492">
        <f t="shared" ca="1" si="42"/>
        <v>41852</v>
      </c>
      <c r="K178" s="491">
        <f t="shared" si="48"/>
        <v>21.062000000000001</v>
      </c>
      <c r="L178" s="486"/>
      <c r="M178" s="486"/>
      <c r="N178" s="486"/>
      <c r="O178" s="486"/>
      <c r="P178" s="486"/>
      <c r="Q178" s="486"/>
      <c r="R178" s="486"/>
      <c r="S178" s="486"/>
      <c r="T178" s="486"/>
      <c r="U178" s="486"/>
      <c r="V178" s="486"/>
      <c r="W178" s="486"/>
      <c r="X178" s="486"/>
      <c r="Y178" s="486"/>
      <c r="Z178" s="486"/>
      <c r="AA178" s="486"/>
      <c r="AB178" s="486"/>
      <c r="AC178" s="486"/>
      <c r="AD178" s="486"/>
      <c r="AE178" s="486"/>
      <c r="AF178" s="486"/>
      <c r="AG178" s="486"/>
      <c r="AH178" s="486"/>
      <c r="AI178" s="486"/>
      <c r="AJ178" s="486"/>
      <c r="AK178" s="486"/>
      <c r="AL178" s="486"/>
      <c r="AM178" s="486"/>
      <c r="AN178" s="486"/>
      <c r="AO178" s="486"/>
      <c r="AP178" s="486"/>
      <c r="AQ178" s="486"/>
      <c r="AR178" s="231"/>
    </row>
    <row r="179" spans="1:44" customFormat="1" ht="11.25">
      <c r="A179" s="493">
        <f t="shared" ca="1" si="49"/>
        <v>41883</v>
      </c>
      <c r="B179" s="511">
        <v>2.6329999999999991</v>
      </c>
      <c r="C179" s="511">
        <v>2.7329999999999992</v>
      </c>
      <c r="D179" s="493">
        <f t="shared" ca="1" si="50"/>
        <v>41883</v>
      </c>
      <c r="E179" s="511">
        <v>19.893000000000001</v>
      </c>
      <c r="F179" s="511">
        <v>21.09</v>
      </c>
      <c r="G179" s="318"/>
      <c r="H179" s="490">
        <f t="shared" ca="1" si="40"/>
        <v>41883</v>
      </c>
      <c r="I179" s="491">
        <f t="shared" si="41"/>
        <v>2.7329999999999992</v>
      </c>
      <c r="J179" s="492">
        <f t="shared" ca="1" si="42"/>
        <v>41883</v>
      </c>
      <c r="K179" s="491">
        <f t="shared" si="48"/>
        <v>21.09</v>
      </c>
      <c r="L179" s="486"/>
      <c r="M179" s="486"/>
      <c r="N179" s="486"/>
      <c r="O179" s="486"/>
      <c r="P179" s="486"/>
      <c r="Q179" s="486"/>
      <c r="R179" s="486"/>
      <c r="S179" s="486"/>
      <c r="T179" s="486"/>
      <c r="U179" s="486"/>
      <c r="V179" s="486"/>
      <c r="W179" s="486"/>
      <c r="X179" s="486"/>
      <c r="Y179" s="486"/>
      <c r="Z179" s="486"/>
      <c r="AA179" s="486"/>
      <c r="AB179" s="486"/>
      <c r="AC179" s="486"/>
      <c r="AD179" s="486"/>
      <c r="AE179" s="486"/>
      <c r="AF179" s="486"/>
      <c r="AG179" s="486"/>
      <c r="AH179" s="486"/>
      <c r="AI179" s="486"/>
      <c r="AJ179" s="486"/>
      <c r="AK179" s="486"/>
      <c r="AL179" s="486"/>
      <c r="AM179" s="486"/>
      <c r="AN179" s="486"/>
      <c r="AO179" s="486"/>
      <c r="AP179" s="486"/>
      <c r="AQ179" s="486"/>
      <c r="AR179" s="231"/>
    </row>
    <row r="180" spans="1:44" customFormat="1" ht="11.25">
      <c r="A180" s="493">
        <f t="shared" ca="1" si="49"/>
        <v>41913</v>
      </c>
      <c r="B180" s="511">
        <v>2.62</v>
      </c>
      <c r="C180" s="511">
        <v>2.72</v>
      </c>
      <c r="D180" s="493">
        <f t="shared" ca="1" si="50"/>
        <v>41913</v>
      </c>
      <c r="E180" s="511">
        <v>19.908999999999999</v>
      </c>
      <c r="F180" s="511">
        <v>21.113</v>
      </c>
      <c r="G180" s="318"/>
      <c r="H180" s="490">
        <f t="shared" ca="1" si="40"/>
        <v>41913</v>
      </c>
      <c r="I180" s="491">
        <f t="shared" si="41"/>
        <v>2.72</v>
      </c>
      <c r="J180" s="492">
        <f t="shared" ca="1" si="42"/>
        <v>41913</v>
      </c>
      <c r="K180" s="491">
        <f t="shared" si="48"/>
        <v>21.113</v>
      </c>
      <c r="L180" s="486"/>
      <c r="M180" s="486"/>
      <c r="N180" s="486"/>
      <c r="O180" s="486"/>
      <c r="P180" s="486"/>
      <c r="Q180" s="486"/>
      <c r="R180" s="486"/>
      <c r="S180" s="486"/>
      <c r="T180" s="486"/>
      <c r="U180" s="486"/>
      <c r="V180" s="486"/>
      <c r="W180" s="486"/>
      <c r="X180" s="486"/>
      <c r="Y180" s="486"/>
      <c r="Z180" s="486"/>
      <c r="AA180" s="486"/>
      <c r="AB180" s="486"/>
      <c r="AC180" s="486"/>
      <c r="AD180" s="486"/>
      <c r="AE180" s="486"/>
      <c r="AF180" s="486"/>
      <c r="AG180" s="486"/>
      <c r="AH180" s="486"/>
      <c r="AI180" s="486"/>
      <c r="AJ180" s="486"/>
      <c r="AK180" s="486"/>
      <c r="AL180" s="486"/>
      <c r="AM180" s="486"/>
      <c r="AN180" s="486"/>
      <c r="AO180" s="486"/>
      <c r="AP180" s="486"/>
      <c r="AQ180" s="486"/>
      <c r="AR180" s="231"/>
    </row>
    <row r="181" spans="1:44" customFormat="1" ht="11.25">
      <c r="A181" s="493">
        <f t="shared" ca="1" si="49"/>
        <v>41944</v>
      </c>
      <c r="B181" s="511">
        <v>2.6279999999999992</v>
      </c>
      <c r="C181" s="511">
        <v>2.7279999999999993</v>
      </c>
      <c r="D181" s="493">
        <f t="shared" ca="1" si="50"/>
        <v>41944</v>
      </c>
      <c r="E181" s="511">
        <v>19.925000000000001</v>
      </c>
      <c r="F181" s="511">
        <v>21.138000000000002</v>
      </c>
      <c r="G181" s="318"/>
      <c r="H181" s="490">
        <f t="shared" ca="1" si="40"/>
        <v>41944</v>
      </c>
      <c r="I181" s="491">
        <f t="shared" si="41"/>
        <v>2.7279999999999993</v>
      </c>
      <c r="J181" s="492">
        <f t="shared" ca="1" si="42"/>
        <v>41944</v>
      </c>
      <c r="K181" s="491">
        <f t="shared" si="48"/>
        <v>21.138000000000002</v>
      </c>
      <c r="L181" s="486"/>
      <c r="M181" s="486"/>
      <c r="N181" s="486"/>
      <c r="O181" s="486"/>
      <c r="P181" s="486"/>
      <c r="Q181" s="486"/>
      <c r="R181" s="486"/>
      <c r="S181" s="486"/>
      <c r="T181" s="486"/>
      <c r="U181" s="486"/>
      <c r="V181" s="486"/>
      <c r="W181" s="486"/>
      <c r="X181" s="486"/>
      <c r="Y181" s="486"/>
      <c r="Z181" s="486"/>
      <c r="AA181" s="486"/>
      <c r="AB181" s="486"/>
      <c r="AC181" s="486"/>
      <c r="AD181" s="486"/>
      <c r="AE181" s="486"/>
      <c r="AF181" s="486"/>
      <c r="AG181" s="486"/>
      <c r="AH181" s="486"/>
      <c r="AI181" s="486"/>
      <c r="AJ181" s="486"/>
      <c r="AK181" s="486"/>
      <c r="AL181" s="486"/>
      <c r="AM181" s="486"/>
      <c r="AN181" s="486"/>
      <c r="AO181" s="486"/>
      <c r="AP181" s="486"/>
      <c r="AQ181" s="486"/>
      <c r="AR181" s="231"/>
    </row>
    <row r="182" spans="1:44" customFormat="1" ht="11.25">
      <c r="A182" s="493">
        <f t="shared" ca="1" si="49"/>
        <v>41974</v>
      </c>
      <c r="B182" s="511">
        <v>2.62</v>
      </c>
      <c r="C182" s="511">
        <v>2.72</v>
      </c>
      <c r="D182" s="493">
        <f t="shared" ca="1" si="50"/>
        <v>41974</v>
      </c>
      <c r="E182" s="511">
        <v>19.943000000000001</v>
      </c>
      <c r="F182" s="511">
        <v>21.164000000000001</v>
      </c>
      <c r="G182" s="318"/>
      <c r="H182" s="490">
        <f t="shared" ca="1" si="40"/>
        <v>41974</v>
      </c>
      <c r="I182" s="491">
        <f t="shared" si="41"/>
        <v>2.72</v>
      </c>
      <c r="J182" s="492">
        <f t="shared" ca="1" si="42"/>
        <v>41974</v>
      </c>
      <c r="K182" s="491">
        <f t="shared" si="48"/>
        <v>21.164000000000001</v>
      </c>
      <c r="L182" s="486"/>
      <c r="M182" s="486"/>
      <c r="N182" s="486"/>
      <c r="O182" s="486"/>
      <c r="P182" s="486"/>
      <c r="Q182" s="486"/>
      <c r="R182" s="486"/>
      <c r="S182" s="486"/>
      <c r="T182" s="486"/>
      <c r="U182" s="486"/>
      <c r="V182" s="486"/>
      <c r="W182" s="486"/>
      <c r="X182" s="486"/>
      <c r="Y182" s="486"/>
      <c r="Z182" s="486"/>
      <c r="AA182" s="486"/>
      <c r="AB182" s="486"/>
      <c r="AC182" s="486"/>
      <c r="AD182" s="486"/>
      <c r="AE182" s="486"/>
      <c r="AF182" s="486"/>
      <c r="AG182" s="486"/>
      <c r="AH182" s="486"/>
      <c r="AI182" s="486"/>
      <c r="AJ182" s="486"/>
      <c r="AK182" s="486"/>
      <c r="AL182" s="486"/>
      <c r="AM182" s="486"/>
      <c r="AN182" s="486"/>
      <c r="AO182" s="486"/>
      <c r="AP182" s="486"/>
      <c r="AQ182" s="486"/>
      <c r="AR182" s="231"/>
    </row>
    <row r="183" spans="1:44" customFormat="1" ht="11.25">
      <c r="A183" s="493">
        <f t="shared" ref="A183:A198" ca="1" si="51">DATE(YEAR(A182),MONTH(A182)+1,1)</f>
        <v>42005</v>
      </c>
      <c r="B183" s="511">
        <v>2.62</v>
      </c>
      <c r="C183" s="511">
        <v>2.72</v>
      </c>
      <c r="D183" s="493">
        <f t="shared" ref="D183:D198" ca="1" si="52">DATE(YEAR(D182),MONTH(D182)+1,1)</f>
        <v>42005</v>
      </c>
      <c r="E183" s="511">
        <v>19.959</v>
      </c>
      <c r="F183" s="511">
        <v>21.187999999999999</v>
      </c>
      <c r="G183" s="318"/>
      <c r="H183" s="490">
        <f t="shared" ca="1" si="40"/>
        <v>42005</v>
      </c>
      <c r="I183" s="491">
        <f t="shared" si="41"/>
        <v>2.72</v>
      </c>
      <c r="J183" s="492">
        <f t="shared" ca="1" si="42"/>
        <v>42005</v>
      </c>
      <c r="K183" s="491">
        <f t="shared" si="48"/>
        <v>21.187999999999999</v>
      </c>
      <c r="L183" s="486"/>
      <c r="M183" s="486"/>
      <c r="N183" s="486"/>
      <c r="O183" s="486"/>
      <c r="P183" s="486"/>
      <c r="Q183" s="486"/>
      <c r="R183" s="486"/>
      <c r="S183" s="486"/>
      <c r="T183" s="486"/>
      <c r="U183" s="486"/>
      <c r="V183" s="486"/>
      <c r="W183" s="486"/>
      <c r="X183" s="486"/>
      <c r="Y183" s="486"/>
      <c r="Z183" s="486"/>
      <c r="AA183" s="486"/>
      <c r="AB183" s="486"/>
      <c r="AC183" s="486"/>
      <c r="AD183" s="486"/>
      <c r="AE183" s="486"/>
      <c r="AF183" s="486"/>
      <c r="AG183" s="486"/>
      <c r="AH183" s="486"/>
      <c r="AI183" s="486"/>
      <c r="AJ183" s="486"/>
      <c r="AK183" s="486"/>
      <c r="AL183" s="486"/>
      <c r="AM183" s="486"/>
      <c r="AN183" s="486"/>
      <c r="AO183" s="486"/>
      <c r="AP183" s="486"/>
      <c r="AQ183" s="486"/>
      <c r="AR183" s="231"/>
    </row>
    <row r="184" spans="1:44" customFormat="1" ht="11.25">
      <c r="A184" s="493">
        <f t="shared" ca="1" si="51"/>
        <v>42036</v>
      </c>
      <c r="B184" s="511">
        <v>2.62</v>
      </c>
      <c r="C184" s="511">
        <v>2.72</v>
      </c>
      <c r="D184" s="493">
        <f t="shared" ca="1" si="52"/>
        <v>42036</v>
      </c>
      <c r="E184" s="511">
        <v>19.975999999999999</v>
      </c>
      <c r="F184" s="511">
        <v>21.213999999999999</v>
      </c>
      <c r="G184" s="318"/>
      <c r="H184" s="490">
        <f t="shared" ca="1" si="40"/>
        <v>42036</v>
      </c>
      <c r="I184" s="491">
        <f t="shared" si="41"/>
        <v>2.72</v>
      </c>
      <c r="J184" s="492">
        <f t="shared" ca="1" si="42"/>
        <v>42036</v>
      </c>
      <c r="K184" s="491">
        <f t="shared" si="48"/>
        <v>21.213999999999999</v>
      </c>
      <c r="L184" s="486"/>
      <c r="M184" s="486"/>
      <c r="N184" s="486"/>
      <c r="O184" s="486"/>
      <c r="P184" s="486"/>
      <c r="Q184" s="486"/>
      <c r="R184" s="486"/>
      <c r="S184" s="486"/>
      <c r="T184" s="486"/>
      <c r="U184" s="486"/>
      <c r="V184" s="486"/>
      <c r="W184" s="486"/>
      <c r="X184" s="486"/>
      <c r="Y184" s="486"/>
      <c r="Z184" s="486"/>
      <c r="AA184" s="486"/>
      <c r="AB184" s="486"/>
      <c r="AC184" s="486"/>
      <c r="AD184" s="486"/>
      <c r="AE184" s="486"/>
      <c r="AF184" s="486"/>
      <c r="AG184" s="486"/>
      <c r="AH184" s="486"/>
      <c r="AI184" s="486"/>
      <c r="AJ184" s="486"/>
      <c r="AK184" s="486"/>
      <c r="AL184" s="486"/>
      <c r="AM184" s="486"/>
      <c r="AN184" s="486"/>
      <c r="AO184" s="486"/>
      <c r="AP184" s="486"/>
      <c r="AQ184" s="486"/>
      <c r="AR184" s="231"/>
    </row>
    <row r="185" spans="1:44" customFormat="1" ht="11.25">
      <c r="A185" s="493">
        <f t="shared" ca="1" si="51"/>
        <v>42064</v>
      </c>
      <c r="B185" s="511">
        <v>2.62</v>
      </c>
      <c r="C185" s="511">
        <v>2.72</v>
      </c>
      <c r="D185" s="493">
        <f t="shared" ca="1" si="52"/>
        <v>42064</v>
      </c>
      <c r="E185" s="511">
        <v>19.992999999999999</v>
      </c>
      <c r="F185" s="511">
        <v>21.24</v>
      </c>
      <c r="G185" s="318"/>
      <c r="H185" s="490">
        <f t="shared" ca="1" si="40"/>
        <v>42064</v>
      </c>
      <c r="I185" s="491">
        <f t="shared" si="41"/>
        <v>2.72</v>
      </c>
      <c r="J185" s="492">
        <f t="shared" ca="1" si="42"/>
        <v>42064</v>
      </c>
      <c r="K185" s="491">
        <f t="shared" si="48"/>
        <v>21.24</v>
      </c>
      <c r="L185" s="486"/>
      <c r="M185" s="486"/>
      <c r="N185" s="486"/>
      <c r="O185" s="486"/>
      <c r="P185" s="486"/>
      <c r="Q185" s="486"/>
      <c r="R185" s="486"/>
      <c r="S185" s="486"/>
      <c r="T185" s="486"/>
      <c r="U185" s="486"/>
      <c r="V185" s="486"/>
      <c r="W185" s="486"/>
      <c r="X185" s="486"/>
      <c r="Y185" s="486"/>
      <c r="Z185" s="486"/>
      <c r="AA185" s="486"/>
      <c r="AB185" s="486"/>
      <c r="AC185" s="486"/>
      <c r="AD185" s="486"/>
      <c r="AE185" s="486"/>
      <c r="AF185" s="486"/>
      <c r="AG185" s="486"/>
      <c r="AH185" s="486"/>
      <c r="AI185" s="486"/>
      <c r="AJ185" s="486"/>
      <c r="AK185" s="486"/>
      <c r="AL185" s="486"/>
      <c r="AM185" s="486"/>
      <c r="AN185" s="486"/>
      <c r="AO185" s="486"/>
      <c r="AP185" s="486"/>
      <c r="AQ185" s="486"/>
      <c r="AR185" s="231"/>
    </row>
    <row r="186" spans="1:44" customFormat="1" ht="11.25">
      <c r="A186" s="493">
        <f t="shared" ca="1" si="51"/>
        <v>42095</v>
      </c>
      <c r="B186" s="511">
        <v>2.6939999999999991</v>
      </c>
      <c r="C186" s="511">
        <v>2.7939999999999992</v>
      </c>
      <c r="D186" s="493">
        <f t="shared" ca="1" si="52"/>
        <v>42095</v>
      </c>
      <c r="E186" s="511">
        <v>20.010000000000002</v>
      </c>
      <c r="F186" s="511">
        <v>21.265000000000001</v>
      </c>
      <c r="G186" s="318"/>
      <c r="H186" s="490">
        <f t="shared" ca="1" si="40"/>
        <v>42095</v>
      </c>
      <c r="I186" s="491">
        <f t="shared" si="41"/>
        <v>2.7939999999999992</v>
      </c>
      <c r="J186" s="492">
        <f t="shared" ca="1" si="42"/>
        <v>42095</v>
      </c>
      <c r="K186" s="491">
        <f t="shared" si="48"/>
        <v>21.265000000000001</v>
      </c>
      <c r="L186" s="486"/>
      <c r="M186" s="486"/>
      <c r="N186" s="486"/>
      <c r="O186" s="486"/>
      <c r="P186" s="486"/>
      <c r="Q186" s="486"/>
      <c r="R186" s="486"/>
      <c r="S186" s="486"/>
      <c r="T186" s="486"/>
      <c r="U186" s="486"/>
      <c r="V186" s="486"/>
      <c r="W186" s="486"/>
      <c r="X186" s="486"/>
      <c r="Y186" s="486"/>
      <c r="Z186" s="486"/>
      <c r="AA186" s="486"/>
      <c r="AB186" s="486"/>
      <c r="AC186" s="486"/>
      <c r="AD186" s="486"/>
      <c r="AE186" s="486"/>
      <c r="AF186" s="486"/>
      <c r="AG186" s="486"/>
      <c r="AH186" s="486"/>
      <c r="AI186" s="486"/>
      <c r="AJ186" s="486"/>
      <c r="AK186" s="486"/>
      <c r="AL186" s="486"/>
      <c r="AM186" s="486"/>
      <c r="AN186" s="486"/>
      <c r="AO186" s="486"/>
      <c r="AP186" s="486"/>
      <c r="AQ186" s="486"/>
      <c r="AR186" s="231"/>
    </row>
    <row r="187" spans="1:44" customFormat="1" ht="11.25">
      <c r="A187" s="493">
        <f t="shared" ca="1" si="51"/>
        <v>42125</v>
      </c>
      <c r="B187" s="511">
        <v>2.8119999999999989</v>
      </c>
      <c r="C187" s="511">
        <v>2.911999999999999</v>
      </c>
      <c r="D187" s="493">
        <f t="shared" ca="1" si="52"/>
        <v>42125</v>
      </c>
      <c r="E187" s="511">
        <v>20.026</v>
      </c>
      <c r="F187" s="511">
        <v>21.289000000000001</v>
      </c>
      <c r="G187" s="318"/>
      <c r="H187" s="490">
        <f t="shared" ca="1" si="40"/>
        <v>42125</v>
      </c>
      <c r="I187" s="491">
        <f t="shared" si="41"/>
        <v>2.911999999999999</v>
      </c>
      <c r="J187" s="492">
        <f t="shared" ca="1" si="42"/>
        <v>42125</v>
      </c>
      <c r="K187" s="491">
        <f t="shared" ref="K187:K197" si="53">IF($J$1="bid",E187,F187)</f>
        <v>21.289000000000001</v>
      </c>
      <c r="L187" s="486"/>
      <c r="M187" s="486"/>
      <c r="N187" s="486"/>
      <c r="O187" s="486"/>
      <c r="P187" s="486"/>
      <c r="Q187" s="486"/>
      <c r="R187" s="486"/>
      <c r="S187" s="486"/>
      <c r="T187" s="486"/>
      <c r="U187" s="486"/>
      <c r="V187" s="486"/>
      <c r="W187" s="486"/>
      <c r="X187" s="486"/>
      <c r="Y187" s="486"/>
      <c r="Z187" s="486"/>
      <c r="AA187" s="486"/>
      <c r="AB187" s="486"/>
      <c r="AC187" s="486"/>
      <c r="AD187" s="486"/>
      <c r="AE187" s="486"/>
      <c r="AF187" s="486"/>
      <c r="AG187" s="486"/>
      <c r="AH187" s="486"/>
      <c r="AI187" s="486"/>
      <c r="AJ187" s="486"/>
      <c r="AK187" s="486"/>
      <c r="AL187" s="486"/>
      <c r="AM187" s="486"/>
      <c r="AN187" s="486"/>
      <c r="AO187" s="486"/>
      <c r="AP187" s="486"/>
      <c r="AQ187" s="486"/>
      <c r="AR187" s="231"/>
    </row>
    <row r="188" spans="1:44" customFormat="1" ht="11.25">
      <c r="A188" s="493">
        <f t="shared" ca="1" si="51"/>
        <v>42156</v>
      </c>
      <c r="B188" s="511">
        <v>2.9829999999999988</v>
      </c>
      <c r="C188" s="511">
        <v>3.0829999999999989</v>
      </c>
      <c r="D188" s="493">
        <f t="shared" ca="1" si="52"/>
        <v>42156</v>
      </c>
      <c r="E188" s="511">
        <v>20.042999999999999</v>
      </c>
      <c r="F188" s="511">
        <v>21.315000000000001</v>
      </c>
      <c r="G188" s="318"/>
      <c r="H188" s="490">
        <f t="shared" ca="1" si="40"/>
        <v>42156</v>
      </c>
      <c r="I188" s="491">
        <f t="shared" si="41"/>
        <v>3.0829999999999989</v>
      </c>
      <c r="J188" s="492">
        <f t="shared" ca="1" si="42"/>
        <v>42156</v>
      </c>
      <c r="K188" s="491">
        <f t="shared" si="53"/>
        <v>21.315000000000001</v>
      </c>
      <c r="L188" s="486"/>
      <c r="M188" s="486"/>
      <c r="N188" s="486"/>
      <c r="O188" s="486"/>
      <c r="P188" s="486"/>
      <c r="Q188" s="486"/>
      <c r="R188" s="486"/>
      <c r="S188" s="486"/>
      <c r="T188" s="486"/>
      <c r="U188" s="486"/>
      <c r="V188" s="486"/>
      <c r="W188" s="486"/>
      <c r="X188" s="486"/>
      <c r="Y188" s="486"/>
      <c r="Z188" s="486"/>
      <c r="AA188" s="486"/>
      <c r="AB188" s="486"/>
      <c r="AC188" s="486"/>
      <c r="AD188" s="486"/>
      <c r="AE188" s="486"/>
      <c r="AF188" s="486"/>
      <c r="AG188" s="486"/>
      <c r="AH188" s="486"/>
      <c r="AI188" s="486"/>
      <c r="AJ188" s="486"/>
      <c r="AK188" s="486"/>
      <c r="AL188" s="486"/>
      <c r="AM188" s="486"/>
      <c r="AN188" s="486"/>
      <c r="AO188" s="486"/>
      <c r="AP188" s="486"/>
      <c r="AQ188" s="486"/>
      <c r="AR188" s="231"/>
    </row>
    <row r="189" spans="1:44" customFormat="1" ht="11.25">
      <c r="A189" s="493">
        <f t="shared" ca="1" si="51"/>
        <v>42186</v>
      </c>
      <c r="B189" s="511">
        <v>2.8979999999999988</v>
      </c>
      <c r="C189" s="511">
        <v>2.9979999999999989</v>
      </c>
      <c r="D189" s="493">
        <f t="shared" ca="1" si="52"/>
        <v>42186</v>
      </c>
      <c r="E189" s="511">
        <v>20.059000000000001</v>
      </c>
      <c r="F189" s="511">
        <v>21.338999999999999</v>
      </c>
      <c r="G189" s="318"/>
      <c r="H189" s="490">
        <f t="shared" ca="1" si="40"/>
        <v>42186</v>
      </c>
      <c r="I189" s="491">
        <f t="shared" si="41"/>
        <v>2.9979999999999989</v>
      </c>
      <c r="J189" s="492">
        <f t="shared" ca="1" si="42"/>
        <v>42186</v>
      </c>
      <c r="K189" s="491">
        <f t="shared" si="53"/>
        <v>21.338999999999999</v>
      </c>
      <c r="L189" s="486"/>
      <c r="M189" s="486"/>
      <c r="N189" s="486"/>
      <c r="O189" s="486"/>
      <c r="P189" s="486"/>
      <c r="Q189" s="486"/>
      <c r="R189" s="486"/>
      <c r="S189" s="486"/>
      <c r="T189" s="486"/>
      <c r="U189" s="486"/>
      <c r="V189" s="486"/>
      <c r="W189" s="486"/>
      <c r="X189" s="486"/>
      <c r="Y189" s="486"/>
      <c r="Z189" s="486"/>
      <c r="AA189" s="486"/>
      <c r="AB189" s="486"/>
      <c r="AC189" s="486"/>
      <c r="AD189" s="486"/>
      <c r="AE189" s="486"/>
      <c r="AF189" s="486"/>
      <c r="AG189" s="486"/>
      <c r="AH189" s="486"/>
      <c r="AI189" s="486"/>
      <c r="AJ189" s="486"/>
      <c r="AK189" s="486"/>
      <c r="AL189" s="486"/>
      <c r="AM189" s="486"/>
      <c r="AN189" s="486"/>
      <c r="AO189" s="486"/>
      <c r="AP189" s="486"/>
      <c r="AQ189" s="486"/>
      <c r="AR189" s="231"/>
    </row>
    <row r="190" spans="1:44" customFormat="1" ht="11.25">
      <c r="A190" s="493">
        <f t="shared" ca="1" si="51"/>
        <v>42217</v>
      </c>
      <c r="B190" s="511">
        <v>2.831999999999999</v>
      </c>
      <c r="C190" s="511">
        <v>2.9319999999999991</v>
      </c>
      <c r="D190" s="493">
        <f t="shared" ca="1" si="52"/>
        <v>42217</v>
      </c>
      <c r="E190" s="511">
        <v>20.076000000000001</v>
      </c>
      <c r="F190" s="511">
        <v>21.364999999999998</v>
      </c>
      <c r="G190" s="318"/>
      <c r="H190" s="490">
        <f t="shared" ca="1" si="40"/>
        <v>42217</v>
      </c>
      <c r="I190" s="491">
        <f t="shared" si="41"/>
        <v>2.9319999999999991</v>
      </c>
      <c r="J190" s="492">
        <f t="shared" ca="1" si="42"/>
        <v>42217</v>
      </c>
      <c r="K190" s="491">
        <f t="shared" si="53"/>
        <v>21.364999999999998</v>
      </c>
      <c r="L190" s="486"/>
      <c r="M190" s="486"/>
      <c r="N190" s="486"/>
      <c r="O190" s="486"/>
      <c r="P190" s="486"/>
      <c r="Q190" s="486"/>
      <c r="R190" s="486"/>
      <c r="S190" s="486"/>
      <c r="T190" s="486"/>
      <c r="U190" s="486"/>
      <c r="V190" s="486"/>
      <c r="W190" s="486"/>
      <c r="X190" s="486"/>
      <c r="Y190" s="486"/>
      <c r="Z190" s="486"/>
      <c r="AA190" s="486"/>
      <c r="AB190" s="486"/>
      <c r="AC190" s="486"/>
      <c r="AD190" s="486"/>
      <c r="AE190" s="486"/>
      <c r="AF190" s="486"/>
      <c r="AG190" s="486"/>
      <c r="AH190" s="486"/>
      <c r="AI190" s="486"/>
      <c r="AJ190" s="486"/>
      <c r="AK190" s="486"/>
      <c r="AL190" s="486"/>
      <c r="AM190" s="486"/>
      <c r="AN190" s="486"/>
      <c r="AO190" s="486"/>
      <c r="AP190" s="486"/>
      <c r="AQ190" s="486"/>
      <c r="AR190" s="231"/>
    </row>
    <row r="191" spans="1:44" customFormat="1" ht="11.25">
      <c r="A191" s="493">
        <f t="shared" ca="1" si="51"/>
        <v>42248</v>
      </c>
      <c r="B191" s="511">
        <v>2.782999999999999</v>
      </c>
      <c r="C191" s="511">
        <v>2.8829999999999991</v>
      </c>
      <c r="D191" s="493">
        <f t="shared" ca="1" si="52"/>
        <v>42248</v>
      </c>
      <c r="E191" s="511">
        <v>20.093</v>
      </c>
      <c r="F191" s="511">
        <v>21.388999999999999</v>
      </c>
      <c r="G191" s="318"/>
      <c r="H191" s="490">
        <f t="shared" ca="1" si="40"/>
        <v>42248</v>
      </c>
      <c r="I191" s="491">
        <f t="shared" si="41"/>
        <v>2.8829999999999991</v>
      </c>
      <c r="J191" s="492">
        <f t="shared" ca="1" si="42"/>
        <v>42248</v>
      </c>
      <c r="K191" s="491">
        <f t="shared" si="53"/>
        <v>21.388999999999999</v>
      </c>
      <c r="L191" s="486"/>
      <c r="M191" s="486"/>
      <c r="N191" s="486"/>
      <c r="O191" s="486"/>
      <c r="P191" s="486"/>
      <c r="Q191" s="486"/>
      <c r="R191" s="486"/>
      <c r="S191" s="486"/>
      <c r="T191" s="486"/>
      <c r="U191" s="486"/>
      <c r="V191" s="486"/>
      <c r="W191" s="486"/>
      <c r="X191" s="486"/>
      <c r="Y191" s="486"/>
      <c r="Z191" s="486"/>
      <c r="AA191" s="486"/>
      <c r="AB191" s="486"/>
      <c r="AC191" s="486"/>
      <c r="AD191" s="486"/>
      <c r="AE191" s="486"/>
      <c r="AF191" s="486"/>
      <c r="AG191" s="486"/>
      <c r="AH191" s="486"/>
      <c r="AI191" s="486"/>
      <c r="AJ191" s="486"/>
      <c r="AK191" s="486"/>
      <c r="AL191" s="486"/>
      <c r="AM191" s="486"/>
      <c r="AN191" s="486"/>
      <c r="AO191" s="486"/>
      <c r="AP191" s="486"/>
      <c r="AQ191" s="486"/>
      <c r="AR191" s="231"/>
    </row>
    <row r="192" spans="1:44" customFormat="1" ht="11.25">
      <c r="A192" s="493">
        <f t="shared" ca="1" si="51"/>
        <v>42278</v>
      </c>
      <c r="B192" s="511">
        <v>2.77</v>
      </c>
      <c r="C192" s="511">
        <v>2.87</v>
      </c>
      <c r="D192" s="493">
        <f t="shared" ca="1" si="52"/>
        <v>42278</v>
      </c>
      <c r="E192" s="511">
        <v>20.109000000000002</v>
      </c>
      <c r="F192" s="511">
        <v>21.413</v>
      </c>
      <c r="G192" s="318"/>
      <c r="H192" s="490">
        <f t="shared" ca="1" si="40"/>
        <v>42278</v>
      </c>
      <c r="I192" s="491">
        <f t="shared" si="41"/>
        <v>2.87</v>
      </c>
      <c r="J192" s="492">
        <f t="shared" ca="1" si="42"/>
        <v>42278</v>
      </c>
      <c r="K192" s="491">
        <f t="shared" si="53"/>
        <v>21.413</v>
      </c>
      <c r="L192" s="486"/>
      <c r="M192" s="486"/>
      <c r="N192" s="486"/>
      <c r="O192" s="486"/>
      <c r="P192" s="486"/>
      <c r="Q192" s="486"/>
      <c r="R192" s="486"/>
      <c r="S192" s="486"/>
      <c r="T192" s="486"/>
      <c r="U192" s="486"/>
      <c r="V192" s="486"/>
      <c r="W192" s="486"/>
      <c r="X192" s="486"/>
      <c r="Y192" s="486"/>
      <c r="Z192" s="486"/>
      <c r="AA192" s="486"/>
      <c r="AB192" s="486"/>
      <c r="AC192" s="486"/>
      <c r="AD192" s="486"/>
      <c r="AE192" s="486"/>
      <c r="AF192" s="486"/>
      <c r="AG192" s="486"/>
      <c r="AH192" s="486"/>
      <c r="AI192" s="486"/>
      <c r="AJ192" s="486"/>
      <c r="AK192" s="486"/>
      <c r="AL192" s="486"/>
      <c r="AM192" s="486"/>
      <c r="AN192" s="486"/>
      <c r="AO192" s="486"/>
      <c r="AP192" s="486"/>
      <c r="AQ192" s="486"/>
      <c r="AR192" s="231"/>
    </row>
    <row r="193" spans="1:44" customFormat="1" ht="11.25">
      <c r="A193" s="493">
        <f t="shared" ca="1" si="51"/>
        <v>42309</v>
      </c>
      <c r="B193" s="511">
        <v>2.7779999999999991</v>
      </c>
      <c r="C193" s="511">
        <v>2.8779999999999992</v>
      </c>
      <c r="D193" s="493">
        <f t="shared" ca="1" si="52"/>
        <v>42309</v>
      </c>
      <c r="E193" s="511">
        <v>20.126999999999999</v>
      </c>
      <c r="F193" s="511">
        <v>21.44</v>
      </c>
      <c r="G193" s="318"/>
      <c r="H193" s="490">
        <f t="shared" ca="1" si="40"/>
        <v>42309</v>
      </c>
      <c r="I193" s="491">
        <f t="shared" si="41"/>
        <v>2.8779999999999992</v>
      </c>
      <c r="J193" s="492">
        <f t="shared" ca="1" si="42"/>
        <v>42309</v>
      </c>
      <c r="K193" s="491">
        <f t="shared" si="53"/>
        <v>21.44</v>
      </c>
      <c r="L193" s="486"/>
      <c r="M193" s="486"/>
      <c r="N193" s="486"/>
      <c r="O193" s="486"/>
      <c r="P193" s="486"/>
      <c r="Q193" s="486"/>
      <c r="R193" s="486"/>
      <c r="S193" s="486"/>
      <c r="T193" s="486"/>
      <c r="U193" s="486"/>
      <c r="V193" s="486"/>
      <c r="W193" s="486"/>
      <c r="X193" s="486"/>
      <c r="Y193" s="486"/>
      <c r="Z193" s="486"/>
      <c r="AA193" s="486"/>
      <c r="AB193" s="486"/>
      <c r="AC193" s="486"/>
      <c r="AD193" s="486"/>
      <c r="AE193" s="486"/>
      <c r="AF193" s="486"/>
      <c r="AG193" s="486"/>
      <c r="AH193" s="486"/>
      <c r="AI193" s="486"/>
      <c r="AJ193" s="486"/>
      <c r="AK193" s="486"/>
      <c r="AL193" s="486"/>
      <c r="AM193" s="486"/>
      <c r="AN193" s="486"/>
      <c r="AO193" s="486"/>
      <c r="AP193" s="486"/>
      <c r="AQ193" s="486"/>
      <c r="AR193" s="231"/>
    </row>
    <row r="194" spans="1:44" customFormat="1" ht="11.25">
      <c r="A194" s="493">
        <f t="shared" ca="1" si="51"/>
        <v>42339</v>
      </c>
      <c r="B194" s="511">
        <v>2.77</v>
      </c>
      <c r="C194" s="511">
        <v>2.87</v>
      </c>
      <c r="D194" s="493">
        <f t="shared" ca="1" si="52"/>
        <v>42339</v>
      </c>
      <c r="E194" s="511">
        <v>20.143000000000001</v>
      </c>
      <c r="F194" s="511">
        <v>21.465</v>
      </c>
      <c r="G194" s="318"/>
      <c r="H194" s="490">
        <f t="shared" ca="1" si="40"/>
        <v>42339</v>
      </c>
      <c r="I194" s="491">
        <f t="shared" si="41"/>
        <v>2.87</v>
      </c>
      <c r="J194" s="492">
        <f t="shared" ca="1" si="42"/>
        <v>42339</v>
      </c>
      <c r="K194" s="491">
        <f t="shared" si="53"/>
        <v>21.465</v>
      </c>
      <c r="L194" s="486"/>
      <c r="M194" s="486"/>
      <c r="N194" s="486"/>
      <c r="O194" s="486"/>
      <c r="P194" s="486"/>
      <c r="Q194" s="486"/>
      <c r="R194" s="486"/>
      <c r="S194" s="486"/>
      <c r="T194" s="486"/>
      <c r="U194" s="486"/>
      <c r="V194" s="486"/>
      <c r="W194" s="486"/>
      <c r="X194" s="486"/>
      <c r="Y194" s="486"/>
      <c r="Z194" s="486"/>
      <c r="AA194" s="486"/>
      <c r="AB194" s="486"/>
      <c r="AC194" s="486"/>
      <c r="AD194" s="486"/>
      <c r="AE194" s="486"/>
      <c r="AF194" s="486"/>
      <c r="AG194" s="486"/>
      <c r="AH194" s="486"/>
      <c r="AI194" s="486"/>
      <c r="AJ194" s="486"/>
      <c r="AK194" s="486"/>
      <c r="AL194" s="486"/>
      <c r="AM194" s="486"/>
      <c r="AN194" s="486"/>
      <c r="AO194" s="486"/>
      <c r="AP194" s="486"/>
      <c r="AQ194" s="486"/>
      <c r="AR194" s="231"/>
    </row>
    <row r="195" spans="1:44" customFormat="1" ht="11.25">
      <c r="A195" s="493">
        <f t="shared" ca="1" si="51"/>
        <v>42370</v>
      </c>
      <c r="B195" s="511">
        <v>2.77</v>
      </c>
      <c r="C195" s="511">
        <v>2.87</v>
      </c>
      <c r="D195" s="493">
        <f t="shared" ca="1" si="52"/>
        <v>42370</v>
      </c>
      <c r="E195" s="511">
        <v>20.158999999999999</v>
      </c>
      <c r="F195" s="511">
        <v>21.489000000000001</v>
      </c>
      <c r="G195" s="318"/>
      <c r="H195" s="490">
        <f t="shared" ca="1" si="40"/>
        <v>42370</v>
      </c>
      <c r="I195" s="491">
        <f t="shared" si="41"/>
        <v>2.87</v>
      </c>
      <c r="J195" s="492">
        <f t="shared" ca="1" si="42"/>
        <v>42370</v>
      </c>
      <c r="K195" s="491">
        <f t="shared" si="53"/>
        <v>21.489000000000001</v>
      </c>
      <c r="L195" s="486"/>
      <c r="M195" s="486"/>
      <c r="N195" s="486"/>
      <c r="O195" s="486"/>
      <c r="P195" s="486"/>
      <c r="Q195" s="486"/>
      <c r="R195" s="486"/>
      <c r="S195" s="486"/>
      <c r="T195" s="486"/>
      <c r="U195" s="486"/>
      <c r="V195" s="486"/>
      <c r="W195" s="486"/>
      <c r="X195" s="486"/>
      <c r="Y195" s="486"/>
      <c r="Z195" s="486"/>
      <c r="AA195" s="486"/>
      <c r="AB195" s="486"/>
      <c r="AC195" s="486"/>
      <c r="AD195" s="486"/>
      <c r="AE195" s="486"/>
      <c r="AF195" s="486"/>
      <c r="AG195" s="486"/>
      <c r="AH195" s="486"/>
      <c r="AI195" s="486"/>
      <c r="AJ195" s="486"/>
      <c r="AK195" s="486"/>
      <c r="AL195" s="486"/>
      <c r="AM195" s="486"/>
      <c r="AN195" s="486"/>
      <c r="AO195" s="486"/>
      <c r="AP195" s="486"/>
      <c r="AQ195" s="486"/>
      <c r="AR195" s="231"/>
    </row>
    <row r="196" spans="1:44" customFormat="1" ht="11.25">
      <c r="A196" s="493">
        <f t="shared" ca="1" si="51"/>
        <v>42401</v>
      </c>
      <c r="B196" s="511">
        <v>2.77</v>
      </c>
      <c r="C196" s="511">
        <v>2.87</v>
      </c>
      <c r="D196" s="493">
        <f t="shared" ca="1" si="52"/>
        <v>42401</v>
      </c>
      <c r="E196" s="511">
        <v>20.177</v>
      </c>
      <c r="F196" s="511">
        <v>21.515999999999998</v>
      </c>
      <c r="G196" s="318"/>
      <c r="H196" s="490">
        <f t="shared" ca="1" si="40"/>
        <v>42401</v>
      </c>
      <c r="I196" s="491">
        <f t="shared" si="41"/>
        <v>2.87</v>
      </c>
      <c r="J196" s="492">
        <f t="shared" ca="1" si="42"/>
        <v>42401</v>
      </c>
      <c r="K196" s="491">
        <f t="shared" si="53"/>
        <v>21.515999999999998</v>
      </c>
      <c r="L196" s="486"/>
      <c r="M196" s="486"/>
      <c r="N196" s="486"/>
      <c r="O196" s="486"/>
      <c r="P196" s="486"/>
      <c r="Q196" s="486"/>
      <c r="R196" s="486"/>
      <c r="S196" s="486"/>
      <c r="T196" s="486"/>
      <c r="U196" s="486"/>
      <c r="V196" s="486"/>
      <c r="W196" s="486"/>
      <c r="X196" s="486"/>
      <c r="Y196" s="486"/>
      <c r="Z196" s="486"/>
      <c r="AA196" s="486"/>
      <c r="AB196" s="486"/>
      <c r="AC196" s="486"/>
      <c r="AD196" s="486"/>
      <c r="AE196" s="486"/>
      <c r="AF196" s="486"/>
      <c r="AG196" s="486"/>
      <c r="AH196" s="486"/>
      <c r="AI196" s="486"/>
      <c r="AJ196" s="486"/>
      <c r="AK196" s="486"/>
      <c r="AL196" s="486"/>
      <c r="AM196" s="486"/>
      <c r="AN196" s="486"/>
      <c r="AO196" s="486"/>
      <c r="AP196" s="486"/>
      <c r="AQ196" s="486"/>
      <c r="AR196" s="231"/>
    </row>
    <row r="197" spans="1:44" customFormat="1" ht="11.25">
      <c r="A197" s="493">
        <f t="shared" ca="1" si="51"/>
        <v>42430</v>
      </c>
      <c r="B197" s="511">
        <v>2.77</v>
      </c>
      <c r="C197" s="511">
        <v>2.87</v>
      </c>
      <c r="D197" s="493">
        <f t="shared" ca="1" si="52"/>
        <v>42430</v>
      </c>
      <c r="E197" s="511">
        <v>20.193000000000001</v>
      </c>
      <c r="F197" s="511">
        <v>21.54</v>
      </c>
      <c r="G197" s="318"/>
      <c r="H197" s="490">
        <f t="shared" ca="1" si="40"/>
        <v>42430</v>
      </c>
      <c r="I197" s="491">
        <f t="shared" si="41"/>
        <v>2.87</v>
      </c>
      <c r="J197" s="492">
        <f t="shared" ca="1" si="42"/>
        <v>42430</v>
      </c>
      <c r="K197" s="491">
        <f t="shared" si="53"/>
        <v>21.54</v>
      </c>
      <c r="L197" s="486"/>
      <c r="M197" s="486"/>
      <c r="N197" s="486"/>
      <c r="O197" s="486"/>
      <c r="P197" s="486"/>
      <c r="Q197" s="486"/>
      <c r="R197" s="486"/>
      <c r="S197" s="486"/>
      <c r="T197" s="486"/>
      <c r="U197" s="486"/>
      <c r="V197" s="486"/>
      <c r="W197" s="486"/>
      <c r="X197" s="486"/>
      <c r="Y197" s="486"/>
      <c r="Z197" s="486"/>
      <c r="AA197" s="486"/>
      <c r="AB197" s="486"/>
      <c r="AC197" s="486"/>
      <c r="AD197" s="486"/>
      <c r="AE197" s="486"/>
      <c r="AF197" s="486"/>
      <c r="AG197" s="486"/>
      <c r="AH197" s="486"/>
      <c r="AI197" s="486"/>
      <c r="AJ197" s="486"/>
      <c r="AK197" s="486"/>
      <c r="AL197" s="486"/>
      <c r="AM197" s="486"/>
      <c r="AN197" s="486"/>
      <c r="AO197" s="486"/>
      <c r="AP197" s="486"/>
      <c r="AQ197" s="486"/>
      <c r="AR197" s="231"/>
    </row>
    <row r="198" spans="1:44" customFormat="1" ht="11.25">
      <c r="A198" s="493">
        <f t="shared" ca="1" si="51"/>
        <v>42461</v>
      </c>
      <c r="B198" s="511">
        <v>2.843999999999999</v>
      </c>
      <c r="C198" s="511">
        <v>2.9439999999999991</v>
      </c>
      <c r="D198" s="493">
        <f t="shared" ca="1" si="52"/>
        <v>42461</v>
      </c>
      <c r="E198" s="511">
        <v>20.209</v>
      </c>
      <c r="F198" s="511">
        <v>21.564</v>
      </c>
      <c r="G198" s="318"/>
      <c r="H198" s="490">
        <f t="shared" ref="H198:H261" ca="1" si="54">A198</f>
        <v>42461</v>
      </c>
      <c r="I198" s="491">
        <f t="shared" ref="I198:I261" si="55">IF($J$1="bid",B198,C198)</f>
        <v>2.9439999999999991</v>
      </c>
      <c r="J198" s="492">
        <f t="shared" ref="J198:J248" ca="1" si="56">D198</f>
        <v>42461</v>
      </c>
      <c r="K198" s="491">
        <f t="shared" ref="K198:K248" si="57">IF($J$1="bid",E198,F198)</f>
        <v>21.564</v>
      </c>
      <c r="L198" s="486"/>
      <c r="M198" s="486"/>
      <c r="N198" s="486"/>
      <c r="O198" s="486"/>
      <c r="P198" s="486"/>
      <c r="Q198" s="486"/>
      <c r="R198" s="486"/>
      <c r="S198" s="486"/>
      <c r="T198" s="486"/>
      <c r="U198" s="486"/>
      <c r="V198" s="486"/>
      <c r="W198" s="486"/>
      <c r="X198" s="486"/>
      <c r="Y198" s="486"/>
      <c r="Z198" s="486"/>
      <c r="AA198" s="486"/>
      <c r="AB198" s="486"/>
      <c r="AC198" s="486"/>
      <c r="AD198" s="486"/>
      <c r="AE198" s="486"/>
      <c r="AF198" s="486"/>
      <c r="AG198" s="486"/>
      <c r="AH198" s="486"/>
      <c r="AI198" s="486"/>
      <c r="AJ198" s="486"/>
      <c r="AK198" s="486"/>
      <c r="AL198" s="486"/>
      <c r="AM198" s="486"/>
      <c r="AN198" s="486"/>
      <c r="AO198" s="486"/>
      <c r="AP198" s="486"/>
      <c r="AQ198" s="486"/>
      <c r="AR198" s="231"/>
    </row>
    <row r="199" spans="1:44" customFormat="1" ht="11.25">
      <c r="A199" s="493">
        <f t="shared" ref="A199:A214" ca="1" si="58">DATE(YEAR(A198),MONTH(A198)+1,1)</f>
        <v>42491</v>
      </c>
      <c r="B199" s="511">
        <v>2.9619999999999989</v>
      </c>
      <c r="C199" s="511">
        <v>3.0619999999999989</v>
      </c>
      <c r="D199" s="493">
        <f t="shared" ref="D199:D214" ca="1" si="59">DATE(YEAR(D198),MONTH(D198)+1,1)</f>
        <v>42491</v>
      </c>
      <c r="E199" s="511">
        <v>20.228000000000002</v>
      </c>
      <c r="F199" s="511">
        <v>21.591000000000001</v>
      </c>
      <c r="G199" s="318"/>
      <c r="H199" s="490">
        <f t="shared" ca="1" si="54"/>
        <v>42491</v>
      </c>
      <c r="I199" s="491">
        <f t="shared" si="55"/>
        <v>3.0619999999999989</v>
      </c>
      <c r="J199" s="492">
        <f t="shared" ca="1" si="56"/>
        <v>42491</v>
      </c>
      <c r="K199" s="491">
        <f t="shared" si="57"/>
        <v>21.591000000000001</v>
      </c>
      <c r="L199" s="486"/>
      <c r="M199" s="486"/>
      <c r="N199" s="486"/>
      <c r="O199" s="486"/>
      <c r="P199" s="486"/>
      <c r="Q199" s="486"/>
      <c r="R199" s="486"/>
      <c r="S199" s="486"/>
      <c r="T199" s="486"/>
      <c r="U199" s="486"/>
      <c r="V199" s="486"/>
      <c r="W199" s="486"/>
      <c r="X199" s="486"/>
      <c r="Y199" s="486"/>
      <c r="Z199" s="486"/>
      <c r="AA199" s="486"/>
      <c r="AB199" s="486"/>
      <c r="AC199" s="486"/>
      <c r="AD199" s="486"/>
      <c r="AE199" s="486"/>
      <c r="AF199" s="486"/>
      <c r="AG199" s="486"/>
      <c r="AH199" s="486"/>
      <c r="AI199" s="486"/>
      <c r="AJ199" s="486"/>
      <c r="AK199" s="486"/>
      <c r="AL199" s="486"/>
      <c r="AM199" s="486"/>
      <c r="AN199" s="486"/>
      <c r="AO199" s="486"/>
      <c r="AP199" s="486"/>
      <c r="AQ199" s="486"/>
      <c r="AR199" s="231"/>
    </row>
    <row r="200" spans="1:44" customFormat="1" ht="11.25">
      <c r="A200" s="493">
        <f t="shared" ca="1" si="58"/>
        <v>42522</v>
      </c>
      <c r="B200" s="511">
        <v>3.1429999999999989</v>
      </c>
      <c r="C200" s="511">
        <v>3.242999999999999</v>
      </c>
      <c r="D200" s="493">
        <f t="shared" ca="1" si="59"/>
        <v>42522</v>
      </c>
      <c r="E200" s="511">
        <v>20.244</v>
      </c>
      <c r="F200" s="511">
        <v>21.616</v>
      </c>
      <c r="G200" s="318"/>
      <c r="H200" s="490">
        <f t="shared" ca="1" si="54"/>
        <v>42522</v>
      </c>
      <c r="I200" s="491">
        <f t="shared" si="55"/>
        <v>3.242999999999999</v>
      </c>
      <c r="J200" s="492">
        <f t="shared" ca="1" si="56"/>
        <v>42522</v>
      </c>
      <c r="K200" s="491">
        <f t="shared" si="57"/>
        <v>21.616</v>
      </c>
      <c r="L200" s="486"/>
      <c r="M200" s="486"/>
      <c r="N200" s="486"/>
      <c r="O200" s="486"/>
      <c r="P200" s="486"/>
      <c r="Q200" s="486"/>
      <c r="R200" s="486"/>
      <c r="S200" s="486"/>
      <c r="T200" s="486"/>
      <c r="U200" s="486"/>
      <c r="V200" s="486"/>
      <c r="W200" s="486"/>
      <c r="X200" s="486"/>
      <c r="Y200" s="486"/>
      <c r="Z200" s="486"/>
      <c r="AA200" s="486"/>
      <c r="AB200" s="486"/>
      <c r="AC200" s="486"/>
      <c r="AD200" s="486"/>
      <c r="AE200" s="486"/>
      <c r="AF200" s="486"/>
      <c r="AG200" s="486"/>
      <c r="AH200" s="486"/>
      <c r="AI200" s="486"/>
      <c r="AJ200" s="486"/>
      <c r="AK200" s="486"/>
      <c r="AL200" s="486"/>
      <c r="AM200" s="486"/>
      <c r="AN200" s="486"/>
      <c r="AO200" s="486"/>
      <c r="AP200" s="486"/>
      <c r="AQ200" s="486"/>
      <c r="AR200" s="231"/>
    </row>
    <row r="201" spans="1:44" customFormat="1" ht="11.25">
      <c r="A201" s="493">
        <f t="shared" ca="1" si="58"/>
        <v>42552</v>
      </c>
      <c r="B201" s="511">
        <v>3.0579999999999989</v>
      </c>
      <c r="C201" s="511">
        <v>3.157999999999999</v>
      </c>
      <c r="D201" s="493">
        <f t="shared" ca="1" si="59"/>
        <v>42552</v>
      </c>
      <c r="E201" s="511">
        <v>20.260000000000002</v>
      </c>
      <c r="F201" s="511">
        <v>21.64</v>
      </c>
      <c r="G201" s="318"/>
      <c r="H201" s="490">
        <f t="shared" ca="1" si="54"/>
        <v>42552</v>
      </c>
      <c r="I201" s="491">
        <f t="shared" si="55"/>
        <v>3.157999999999999</v>
      </c>
      <c r="J201" s="492">
        <f t="shared" ca="1" si="56"/>
        <v>42552</v>
      </c>
      <c r="K201" s="491">
        <f t="shared" si="57"/>
        <v>21.64</v>
      </c>
      <c r="L201" s="486"/>
      <c r="M201" s="486"/>
      <c r="N201" s="486"/>
      <c r="O201" s="486"/>
      <c r="P201" s="486"/>
      <c r="Q201" s="486"/>
      <c r="R201" s="486"/>
      <c r="S201" s="486"/>
      <c r="T201" s="486"/>
      <c r="U201" s="486"/>
      <c r="V201" s="486"/>
      <c r="W201" s="486"/>
      <c r="X201" s="486"/>
      <c r="Y201" s="486"/>
      <c r="Z201" s="486"/>
      <c r="AA201" s="486"/>
      <c r="AB201" s="486"/>
      <c r="AC201" s="486"/>
      <c r="AD201" s="486"/>
      <c r="AE201" s="486"/>
      <c r="AF201" s="486"/>
      <c r="AG201" s="486"/>
      <c r="AH201" s="486"/>
      <c r="AI201" s="486"/>
      <c r="AJ201" s="486"/>
      <c r="AK201" s="486"/>
      <c r="AL201" s="486"/>
      <c r="AM201" s="486"/>
      <c r="AN201" s="486"/>
      <c r="AO201" s="486"/>
      <c r="AP201" s="486"/>
      <c r="AQ201" s="486"/>
      <c r="AR201" s="231"/>
    </row>
    <row r="202" spans="1:44" customFormat="1" ht="11.25">
      <c r="A202" s="493">
        <f t="shared" ca="1" si="58"/>
        <v>42583</v>
      </c>
      <c r="B202" s="511">
        <v>2.9919999999999991</v>
      </c>
      <c r="C202" s="511">
        <v>3.0919999999999992</v>
      </c>
      <c r="D202" s="493">
        <f t="shared" ca="1" si="59"/>
        <v>42583</v>
      </c>
      <c r="E202" s="511">
        <v>20.277000000000001</v>
      </c>
      <c r="F202" s="511">
        <v>21.666</v>
      </c>
      <c r="G202" s="318"/>
      <c r="H202" s="490">
        <f t="shared" ca="1" si="54"/>
        <v>42583</v>
      </c>
      <c r="I202" s="491">
        <f t="shared" si="55"/>
        <v>3.0919999999999992</v>
      </c>
      <c r="J202" s="492">
        <f t="shared" ca="1" si="56"/>
        <v>42583</v>
      </c>
      <c r="K202" s="491">
        <f t="shared" si="57"/>
        <v>21.666</v>
      </c>
      <c r="L202" s="486"/>
      <c r="M202" s="486"/>
      <c r="N202" s="486"/>
      <c r="O202" s="486"/>
      <c r="P202" s="486"/>
      <c r="Q202" s="486"/>
      <c r="R202" s="486"/>
      <c r="S202" s="486"/>
      <c r="T202" s="486"/>
      <c r="U202" s="486"/>
      <c r="V202" s="486"/>
      <c r="W202" s="486"/>
      <c r="X202" s="486"/>
      <c r="Y202" s="486"/>
      <c r="Z202" s="486"/>
      <c r="AA202" s="486"/>
      <c r="AB202" s="486"/>
      <c r="AC202" s="486"/>
      <c r="AD202" s="486"/>
      <c r="AE202" s="486"/>
      <c r="AF202" s="486"/>
      <c r="AG202" s="486"/>
      <c r="AH202" s="486"/>
      <c r="AI202" s="486"/>
      <c r="AJ202" s="486"/>
      <c r="AK202" s="486"/>
      <c r="AL202" s="486"/>
      <c r="AM202" s="486"/>
      <c r="AN202" s="486"/>
      <c r="AO202" s="486"/>
      <c r="AP202" s="486"/>
      <c r="AQ202" s="486"/>
      <c r="AR202" s="231"/>
    </row>
    <row r="203" spans="1:44" customFormat="1" ht="11.25">
      <c r="A203" s="493">
        <f t="shared" ca="1" si="58"/>
        <v>42614</v>
      </c>
      <c r="B203" s="511">
        <v>2.9429999999999992</v>
      </c>
      <c r="C203" s="511">
        <v>3.0429999999999993</v>
      </c>
      <c r="D203" s="493">
        <f t="shared" ca="1" si="59"/>
        <v>42614</v>
      </c>
      <c r="E203" s="511">
        <v>20.292000000000002</v>
      </c>
      <c r="F203" s="511">
        <v>21.687999999999999</v>
      </c>
      <c r="G203" s="318"/>
      <c r="H203" s="490">
        <f t="shared" ca="1" si="54"/>
        <v>42614</v>
      </c>
      <c r="I203" s="491">
        <f t="shared" si="55"/>
        <v>3.0429999999999993</v>
      </c>
      <c r="J203" s="492">
        <f t="shared" ca="1" si="56"/>
        <v>42614</v>
      </c>
      <c r="K203" s="491">
        <f t="shared" si="57"/>
        <v>21.687999999999999</v>
      </c>
      <c r="L203" s="486"/>
      <c r="M203" s="486"/>
      <c r="N203" s="486"/>
      <c r="O203" s="486"/>
      <c r="P203" s="486"/>
      <c r="Q203" s="486"/>
      <c r="R203" s="486"/>
      <c r="S203" s="486"/>
      <c r="T203" s="486"/>
      <c r="U203" s="486"/>
      <c r="V203" s="486"/>
      <c r="W203" s="486"/>
      <c r="X203" s="486"/>
      <c r="Y203" s="486"/>
      <c r="Z203" s="486"/>
      <c r="AA203" s="486"/>
      <c r="AB203" s="486"/>
      <c r="AC203" s="486"/>
      <c r="AD203" s="486"/>
      <c r="AE203" s="486"/>
      <c r="AF203" s="486"/>
      <c r="AG203" s="486"/>
      <c r="AH203" s="486"/>
      <c r="AI203" s="486"/>
      <c r="AJ203" s="486"/>
      <c r="AK203" s="486"/>
      <c r="AL203" s="486"/>
      <c r="AM203" s="486"/>
      <c r="AN203" s="486"/>
      <c r="AO203" s="486"/>
      <c r="AP203" s="486"/>
      <c r="AQ203" s="486"/>
      <c r="AR203" s="231"/>
    </row>
    <row r="204" spans="1:44" customFormat="1" ht="11.25">
      <c r="A204" s="493">
        <f t="shared" ca="1" si="58"/>
        <v>42644</v>
      </c>
      <c r="B204" s="511">
        <v>2.93</v>
      </c>
      <c r="C204" s="511">
        <v>3.03</v>
      </c>
      <c r="D204" s="493">
        <f t="shared" ca="1" si="59"/>
        <v>42644</v>
      </c>
      <c r="E204" s="511">
        <v>20.309000000000001</v>
      </c>
      <c r="F204" s="511">
        <v>21.713000000000001</v>
      </c>
      <c r="G204" s="318"/>
      <c r="H204" s="490">
        <f t="shared" ca="1" si="54"/>
        <v>42644</v>
      </c>
      <c r="I204" s="491">
        <f t="shared" si="55"/>
        <v>3.03</v>
      </c>
      <c r="J204" s="492">
        <f t="shared" ca="1" si="56"/>
        <v>42644</v>
      </c>
      <c r="K204" s="491">
        <f t="shared" si="57"/>
        <v>21.713000000000001</v>
      </c>
      <c r="L204" s="486"/>
      <c r="M204" s="486"/>
      <c r="N204" s="486"/>
      <c r="O204" s="486"/>
      <c r="P204" s="486"/>
      <c r="Q204" s="486"/>
      <c r="R204" s="486"/>
      <c r="S204" s="486"/>
      <c r="T204" s="486"/>
      <c r="U204" s="486"/>
      <c r="V204" s="486"/>
      <c r="W204" s="486"/>
      <c r="X204" s="486"/>
      <c r="Y204" s="486"/>
      <c r="Z204" s="486"/>
      <c r="AA204" s="486"/>
      <c r="AB204" s="486"/>
      <c r="AC204" s="486"/>
      <c r="AD204" s="486"/>
      <c r="AE204" s="486"/>
      <c r="AF204" s="486"/>
      <c r="AG204" s="486"/>
      <c r="AH204" s="486"/>
      <c r="AI204" s="486"/>
      <c r="AJ204" s="486"/>
      <c r="AK204" s="486"/>
      <c r="AL204" s="486"/>
      <c r="AM204" s="486"/>
      <c r="AN204" s="486"/>
      <c r="AO204" s="486"/>
      <c r="AP204" s="486"/>
      <c r="AQ204" s="486"/>
      <c r="AR204" s="231"/>
    </row>
    <row r="205" spans="1:44" customFormat="1" ht="11.25">
      <c r="A205" s="493">
        <f t="shared" ca="1" si="58"/>
        <v>42675</v>
      </c>
      <c r="B205" s="511">
        <v>2.9379999999999993</v>
      </c>
      <c r="C205" s="511">
        <v>3.0379999999999994</v>
      </c>
      <c r="D205" s="493">
        <f t="shared" ca="1" si="59"/>
        <v>42675</v>
      </c>
      <c r="E205" s="511">
        <v>20.327000000000002</v>
      </c>
      <c r="F205" s="511">
        <v>21.74</v>
      </c>
      <c r="G205" s="318"/>
      <c r="H205" s="490">
        <f t="shared" ca="1" si="54"/>
        <v>42675</v>
      </c>
      <c r="I205" s="491">
        <f t="shared" si="55"/>
        <v>3.0379999999999994</v>
      </c>
      <c r="J205" s="492">
        <f t="shared" ca="1" si="56"/>
        <v>42675</v>
      </c>
      <c r="K205" s="491">
        <f t="shared" si="57"/>
        <v>21.74</v>
      </c>
      <c r="L205" s="486"/>
      <c r="M205" s="486"/>
      <c r="N205" s="486"/>
      <c r="O205" s="486"/>
      <c r="P205" s="486"/>
      <c r="Q205" s="486"/>
      <c r="R205" s="486"/>
      <c r="S205" s="486"/>
      <c r="T205" s="486"/>
      <c r="U205" s="486"/>
      <c r="V205" s="486"/>
      <c r="W205" s="486"/>
      <c r="X205" s="486"/>
      <c r="Y205" s="486"/>
      <c r="Z205" s="486"/>
      <c r="AA205" s="486"/>
      <c r="AB205" s="486"/>
      <c r="AC205" s="486"/>
      <c r="AD205" s="486"/>
      <c r="AE205" s="486"/>
      <c r="AF205" s="486"/>
      <c r="AG205" s="486"/>
      <c r="AH205" s="486"/>
      <c r="AI205" s="486"/>
      <c r="AJ205" s="486"/>
      <c r="AK205" s="486"/>
      <c r="AL205" s="486"/>
      <c r="AM205" s="486"/>
      <c r="AN205" s="486"/>
      <c r="AO205" s="486"/>
      <c r="AP205" s="486"/>
      <c r="AQ205" s="486"/>
      <c r="AR205" s="231"/>
    </row>
    <row r="206" spans="1:44" customFormat="1" ht="11.25">
      <c r="A206" s="493">
        <f t="shared" ca="1" si="58"/>
        <v>42705</v>
      </c>
      <c r="B206" s="511">
        <v>2.93</v>
      </c>
      <c r="C206" s="511">
        <v>3.03</v>
      </c>
      <c r="D206" s="493">
        <f t="shared" ca="1" si="59"/>
        <v>42705</v>
      </c>
      <c r="E206" s="511">
        <v>20.341999999999999</v>
      </c>
      <c r="F206" s="511">
        <v>21.763999999999999</v>
      </c>
      <c r="G206" s="318"/>
      <c r="H206" s="490">
        <f t="shared" ca="1" si="54"/>
        <v>42705</v>
      </c>
      <c r="I206" s="491">
        <f t="shared" si="55"/>
        <v>3.03</v>
      </c>
      <c r="J206" s="492">
        <f t="shared" ca="1" si="56"/>
        <v>42705</v>
      </c>
      <c r="K206" s="491">
        <f t="shared" si="57"/>
        <v>21.763999999999999</v>
      </c>
      <c r="L206" s="486"/>
      <c r="M206" s="486"/>
      <c r="N206" s="486"/>
      <c r="O206" s="486"/>
      <c r="P206" s="486"/>
      <c r="Q206" s="486"/>
      <c r="R206" s="486"/>
      <c r="S206" s="486"/>
      <c r="T206" s="486"/>
      <c r="U206" s="486"/>
      <c r="V206" s="486"/>
      <c r="W206" s="486"/>
      <c r="X206" s="486"/>
      <c r="Y206" s="486"/>
      <c r="Z206" s="486"/>
      <c r="AA206" s="486"/>
      <c r="AB206" s="486"/>
      <c r="AC206" s="486"/>
      <c r="AD206" s="486"/>
      <c r="AE206" s="486"/>
      <c r="AF206" s="486"/>
      <c r="AG206" s="486"/>
      <c r="AH206" s="486"/>
      <c r="AI206" s="486"/>
      <c r="AJ206" s="486"/>
      <c r="AK206" s="486"/>
      <c r="AL206" s="486"/>
      <c r="AM206" s="486"/>
      <c r="AN206" s="486"/>
      <c r="AO206" s="486"/>
      <c r="AP206" s="486"/>
      <c r="AQ206" s="486"/>
      <c r="AR206" s="231"/>
    </row>
    <row r="207" spans="1:44" customFormat="1" ht="11.25">
      <c r="A207" s="493">
        <f t="shared" ca="1" si="58"/>
        <v>42736</v>
      </c>
      <c r="B207" s="511">
        <v>2.93</v>
      </c>
      <c r="C207" s="511">
        <v>3.03</v>
      </c>
      <c r="D207" s="493">
        <f t="shared" ca="1" si="59"/>
        <v>42736</v>
      </c>
      <c r="E207" s="511">
        <v>20.359000000000002</v>
      </c>
      <c r="F207" s="511">
        <v>21.789000000000001</v>
      </c>
      <c r="G207" s="318"/>
      <c r="H207" s="490">
        <f t="shared" ca="1" si="54"/>
        <v>42736</v>
      </c>
      <c r="I207" s="491">
        <f t="shared" si="55"/>
        <v>3.03</v>
      </c>
      <c r="J207" s="492">
        <f t="shared" ca="1" si="56"/>
        <v>42736</v>
      </c>
      <c r="K207" s="491">
        <f t="shared" si="57"/>
        <v>21.789000000000001</v>
      </c>
      <c r="L207" s="486"/>
      <c r="M207" s="486"/>
      <c r="N207" s="486"/>
      <c r="O207" s="486"/>
      <c r="P207" s="486"/>
      <c r="Q207" s="486"/>
      <c r="R207" s="486"/>
      <c r="S207" s="486"/>
      <c r="T207" s="486"/>
      <c r="U207" s="486"/>
      <c r="V207" s="486"/>
      <c r="W207" s="486"/>
      <c r="X207" s="486"/>
      <c r="Y207" s="486"/>
      <c r="Z207" s="486"/>
      <c r="AA207" s="486"/>
      <c r="AB207" s="486"/>
      <c r="AC207" s="486"/>
      <c r="AD207" s="486"/>
      <c r="AE207" s="486"/>
      <c r="AF207" s="486"/>
      <c r="AG207" s="486"/>
      <c r="AH207" s="486"/>
      <c r="AI207" s="486"/>
      <c r="AJ207" s="486"/>
      <c r="AK207" s="486"/>
      <c r="AL207" s="486"/>
      <c r="AM207" s="486"/>
      <c r="AN207" s="486"/>
      <c r="AO207" s="486"/>
      <c r="AP207" s="486"/>
      <c r="AQ207" s="486"/>
      <c r="AR207" s="231"/>
    </row>
    <row r="208" spans="1:44" customFormat="1" ht="11.25">
      <c r="A208" s="493">
        <f t="shared" ca="1" si="58"/>
        <v>42767</v>
      </c>
      <c r="B208" s="511">
        <v>2.93</v>
      </c>
      <c r="C208" s="511">
        <v>3.03</v>
      </c>
      <c r="D208" s="493">
        <f t="shared" ca="1" si="59"/>
        <v>42767</v>
      </c>
      <c r="E208" s="511">
        <v>20.376999999999999</v>
      </c>
      <c r="F208" s="511">
        <v>21.815000000000001</v>
      </c>
      <c r="G208" s="318"/>
      <c r="H208" s="490">
        <f t="shared" ca="1" si="54"/>
        <v>42767</v>
      </c>
      <c r="I208" s="491">
        <f t="shared" si="55"/>
        <v>3.03</v>
      </c>
      <c r="J208" s="492">
        <f t="shared" ca="1" si="56"/>
        <v>42767</v>
      </c>
      <c r="K208" s="491">
        <f t="shared" si="57"/>
        <v>21.815000000000001</v>
      </c>
      <c r="L208" s="486"/>
      <c r="M208" s="486"/>
      <c r="N208" s="486"/>
      <c r="O208" s="486"/>
      <c r="P208" s="486"/>
      <c r="Q208" s="486"/>
      <c r="R208" s="486"/>
      <c r="S208" s="486"/>
      <c r="T208" s="486"/>
      <c r="U208" s="486"/>
      <c r="V208" s="486"/>
      <c r="W208" s="486"/>
      <c r="X208" s="486"/>
      <c r="Y208" s="486"/>
      <c r="Z208" s="486"/>
      <c r="AA208" s="486"/>
      <c r="AB208" s="486"/>
      <c r="AC208" s="486"/>
      <c r="AD208" s="486"/>
      <c r="AE208" s="486"/>
      <c r="AF208" s="486"/>
      <c r="AG208" s="486"/>
      <c r="AH208" s="486"/>
      <c r="AI208" s="486"/>
      <c r="AJ208" s="486"/>
      <c r="AK208" s="486"/>
      <c r="AL208" s="486"/>
      <c r="AM208" s="486"/>
      <c r="AN208" s="486"/>
      <c r="AO208" s="486"/>
      <c r="AP208" s="486"/>
      <c r="AQ208" s="486"/>
      <c r="AR208" s="231"/>
    </row>
    <row r="209" spans="1:44" customFormat="1" ht="11.25">
      <c r="A209" s="493">
        <f t="shared" ca="1" si="58"/>
        <v>42795</v>
      </c>
      <c r="B209" s="511">
        <v>2.93</v>
      </c>
      <c r="C209" s="511">
        <v>3.03</v>
      </c>
      <c r="D209" s="493">
        <f t="shared" ca="1" si="59"/>
        <v>42795</v>
      </c>
      <c r="E209" s="511">
        <v>20.393000000000001</v>
      </c>
      <c r="F209" s="511">
        <v>21.84</v>
      </c>
      <c r="G209" s="318"/>
      <c r="H209" s="490">
        <f t="shared" ca="1" si="54"/>
        <v>42795</v>
      </c>
      <c r="I209" s="491">
        <f t="shared" si="55"/>
        <v>3.03</v>
      </c>
      <c r="J209" s="492">
        <f t="shared" ca="1" si="56"/>
        <v>42795</v>
      </c>
      <c r="K209" s="491">
        <f t="shared" si="57"/>
        <v>21.84</v>
      </c>
      <c r="L209" s="486"/>
      <c r="M209" s="486"/>
      <c r="N209" s="486"/>
      <c r="O209" s="486"/>
      <c r="P209" s="486"/>
      <c r="Q209" s="486"/>
      <c r="R209" s="486"/>
      <c r="S209" s="486"/>
      <c r="T209" s="486"/>
      <c r="U209" s="486"/>
      <c r="V209" s="486"/>
      <c r="W209" s="486"/>
      <c r="X209" s="486"/>
      <c r="Y209" s="486"/>
      <c r="Z209" s="486"/>
      <c r="AA209" s="486"/>
      <c r="AB209" s="486"/>
      <c r="AC209" s="486"/>
      <c r="AD209" s="486"/>
      <c r="AE209" s="486"/>
      <c r="AF209" s="486"/>
      <c r="AG209" s="486"/>
      <c r="AH209" s="486"/>
      <c r="AI209" s="486"/>
      <c r="AJ209" s="486"/>
      <c r="AK209" s="486"/>
      <c r="AL209" s="486"/>
      <c r="AM209" s="486"/>
      <c r="AN209" s="486"/>
      <c r="AO209" s="486"/>
      <c r="AP209" s="486"/>
      <c r="AQ209" s="486"/>
      <c r="AR209" s="231"/>
    </row>
    <row r="210" spans="1:44" customFormat="1" ht="11.25">
      <c r="A210" s="493">
        <f t="shared" ca="1" si="58"/>
        <v>42826</v>
      </c>
      <c r="B210" s="511">
        <v>3.0039999999999991</v>
      </c>
      <c r="C210" s="511">
        <v>3.1039999999999992</v>
      </c>
      <c r="D210" s="493">
        <f t="shared" ca="1" si="59"/>
        <v>42826</v>
      </c>
      <c r="E210" s="511">
        <v>20.41</v>
      </c>
      <c r="F210" s="511">
        <v>21.864999999999998</v>
      </c>
      <c r="G210" s="318"/>
      <c r="H210" s="490">
        <f t="shared" ca="1" si="54"/>
        <v>42826</v>
      </c>
      <c r="I210" s="491">
        <f t="shared" si="55"/>
        <v>3.1039999999999992</v>
      </c>
      <c r="J210" s="492">
        <f t="shared" ca="1" si="56"/>
        <v>42826</v>
      </c>
      <c r="K210" s="491">
        <f t="shared" si="57"/>
        <v>21.864999999999998</v>
      </c>
      <c r="L210" s="486"/>
      <c r="M210" s="486"/>
      <c r="N210" s="486"/>
      <c r="O210" s="486"/>
      <c r="P210" s="486"/>
      <c r="Q210" s="486"/>
      <c r="R210" s="486"/>
      <c r="S210" s="486"/>
      <c r="T210" s="486"/>
      <c r="U210" s="486"/>
      <c r="V210" s="486"/>
      <c r="W210" s="486"/>
      <c r="X210" s="486"/>
      <c r="Y210" s="486"/>
      <c r="Z210" s="486"/>
      <c r="AA210" s="486"/>
      <c r="AB210" s="486"/>
      <c r="AC210" s="486"/>
      <c r="AD210" s="486"/>
      <c r="AE210" s="486"/>
      <c r="AF210" s="486"/>
      <c r="AG210" s="486"/>
      <c r="AH210" s="486"/>
      <c r="AI210" s="486"/>
      <c r="AJ210" s="486"/>
      <c r="AK210" s="486"/>
      <c r="AL210" s="486"/>
      <c r="AM210" s="486"/>
      <c r="AN210" s="486"/>
      <c r="AO210" s="486"/>
      <c r="AP210" s="486"/>
      <c r="AQ210" s="486"/>
      <c r="AR210" s="231"/>
    </row>
    <row r="211" spans="1:44" customFormat="1" ht="11.25">
      <c r="A211" s="493">
        <f t="shared" ca="1" si="58"/>
        <v>42856</v>
      </c>
      <c r="B211" s="511">
        <v>3.121999999999999</v>
      </c>
      <c r="C211" s="511">
        <v>3.2219999999999991</v>
      </c>
      <c r="D211" s="493">
        <f t="shared" ca="1" si="59"/>
        <v>42856</v>
      </c>
      <c r="E211" s="511">
        <v>20.427</v>
      </c>
      <c r="F211" s="511">
        <v>21.890999999999998</v>
      </c>
      <c r="G211" s="318"/>
      <c r="H211" s="490">
        <f t="shared" ca="1" si="54"/>
        <v>42856</v>
      </c>
      <c r="I211" s="491">
        <f t="shared" si="55"/>
        <v>3.2219999999999991</v>
      </c>
      <c r="J211" s="492">
        <f t="shared" ca="1" si="56"/>
        <v>42856</v>
      </c>
      <c r="K211" s="491">
        <f t="shared" si="57"/>
        <v>21.890999999999998</v>
      </c>
      <c r="L211" s="486"/>
      <c r="M211" s="486"/>
      <c r="N211" s="486"/>
      <c r="O211" s="486"/>
      <c r="P211" s="486"/>
      <c r="Q211" s="486"/>
      <c r="R211" s="486"/>
      <c r="S211" s="486"/>
      <c r="T211" s="486"/>
      <c r="U211" s="486"/>
      <c r="V211" s="486"/>
      <c r="W211" s="486"/>
      <c r="X211" s="486"/>
      <c r="Y211" s="486"/>
      <c r="Z211" s="486"/>
      <c r="AA211" s="486"/>
      <c r="AB211" s="486"/>
      <c r="AC211" s="486"/>
      <c r="AD211" s="486"/>
      <c r="AE211" s="486"/>
      <c r="AF211" s="486"/>
      <c r="AG211" s="486"/>
      <c r="AH211" s="486"/>
      <c r="AI211" s="486"/>
      <c r="AJ211" s="486"/>
      <c r="AK211" s="486"/>
      <c r="AL211" s="486"/>
      <c r="AM211" s="486"/>
      <c r="AN211" s="486"/>
      <c r="AO211" s="486"/>
      <c r="AP211" s="486"/>
      <c r="AQ211" s="486"/>
      <c r="AR211" s="231"/>
    </row>
    <row r="212" spans="1:44" customFormat="1" ht="11.25">
      <c r="A212" s="493">
        <f t="shared" ca="1" si="58"/>
        <v>42887</v>
      </c>
      <c r="B212" s="511">
        <v>3.3129999999999988</v>
      </c>
      <c r="C212" s="511">
        <v>3.4129999999999989</v>
      </c>
      <c r="D212" s="493">
        <f t="shared" ca="1" si="59"/>
        <v>42887</v>
      </c>
      <c r="E212" s="511">
        <v>20.443000000000001</v>
      </c>
      <c r="F212" s="511">
        <v>21.914000000000001</v>
      </c>
      <c r="G212" s="318"/>
      <c r="H212" s="490">
        <f t="shared" ca="1" si="54"/>
        <v>42887</v>
      </c>
      <c r="I212" s="491">
        <f t="shared" si="55"/>
        <v>3.4129999999999989</v>
      </c>
      <c r="J212" s="492">
        <f t="shared" ca="1" si="56"/>
        <v>42887</v>
      </c>
      <c r="K212" s="491">
        <f t="shared" si="57"/>
        <v>21.914000000000001</v>
      </c>
      <c r="L212" s="486"/>
      <c r="M212" s="486"/>
      <c r="N212" s="486"/>
      <c r="O212" s="486"/>
      <c r="P212" s="486"/>
      <c r="Q212" s="486"/>
      <c r="R212" s="486"/>
      <c r="S212" s="486"/>
      <c r="T212" s="486"/>
      <c r="U212" s="486"/>
      <c r="V212" s="486"/>
      <c r="W212" s="486"/>
      <c r="X212" s="486"/>
      <c r="Y212" s="486"/>
      <c r="Z212" s="486"/>
      <c r="AA212" s="486"/>
      <c r="AB212" s="486"/>
      <c r="AC212" s="486"/>
      <c r="AD212" s="486"/>
      <c r="AE212" s="486"/>
      <c r="AF212" s="486"/>
      <c r="AG212" s="486"/>
      <c r="AH212" s="486"/>
      <c r="AI212" s="486"/>
      <c r="AJ212" s="486"/>
      <c r="AK212" s="486"/>
      <c r="AL212" s="486"/>
      <c r="AM212" s="486"/>
      <c r="AN212" s="486"/>
      <c r="AO212" s="486"/>
      <c r="AP212" s="486"/>
      <c r="AQ212" s="486"/>
      <c r="AR212" s="231"/>
    </row>
    <row r="213" spans="1:44" customFormat="1" ht="11.25">
      <c r="A213" s="493">
        <f t="shared" ca="1" si="58"/>
        <v>42917</v>
      </c>
      <c r="B213" s="511">
        <v>3.2279999999999989</v>
      </c>
      <c r="C213" s="511">
        <v>3.327999999999999</v>
      </c>
      <c r="D213" s="493">
        <f t="shared" ca="1" si="59"/>
        <v>42917</v>
      </c>
      <c r="E213" s="511">
        <v>20.460999999999999</v>
      </c>
      <c r="F213" s="511">
        <v>21.940999999999999</v>
      </c>
      <c r="G213" s="318"/>
      <c r="H213" s="490">
        <f t="shared" ca="1" si="54"/>
        <v>42917</v>
      </c>
      <c r="I213" s="491">
        <f t="shared" si="55"/>
        <v>3.327999999999999</v>
      </c>
      <c r="J213" s="492">
        <f t="shared" ca="1" si="56"/>
        <v>42917</v>
      </c>
      <c r="K213" s="491">
        <f t="shared" si="57"/>
        <v>21.940999999999999</v>
      </c>
      <c r="L213" s="486"/>
      <c r="M213" s="486"/>
      <c r="N213" s="486"/>
      <c r="O213" s="486"/>
      <c r="P213" s="486"/>
      <c r="Q213" s="486"/>
      <c r="R213" s="486"/>
      <c r="S213" s="486"/>
      <c r="T213" s="486"/>
      <c r="U213" s="486"/>
      <c r="V213" s="486"/>
      <c r="W213" s="486"/>
      <c r="X213" s="486"/>
      <c r="Y213" s="486"/>
      <c r="Z213" s="486"/>
      <c r="AA213" s="486"/>
      <c r="AB213" s="486"/>
      <c r="AC213" s="486"/>
      <c r="AD213" s="486"/>
      <c r="AE213" s="486"/>
      <c r="AF213" s="486"/>
      <c r="AG213" s="486"/>
      <c r="AH213" s="486"/>
      <c r="AI213" s="486"/>
      <c r="AJ213" s="486"/>
      <c r="AK213" s="486"/>
      <c r="AL213" s="486"/>
      <c r="AM213" s="486"/>
      <c r="AN213" s="486"/>
      <c r="AO213" s="486"/>
      <c r="AP213" s="486"/>
      <c r="AQ213" s="486"/>
      <c r="AR213" s="231"/>
    </row>
    <row r="214" spans="1:44" customFormat="1" ht="11.25">
      <c r="A214" s="493">
        <f t="shared" ca="1" si="58"/>
        <v>42948</v>
      </c>
      <c r="B214" s="511">
        <v>3.161999999999999</v>
      </c>
      <c r="C214" s="511">
        <v>3.2619999999999991</v>
      </c>
      <c r="D214" s="493">
        <f t="shared" ca="1" si="59"/>
        <v>42948</v>
      </c>
      <c r="E214" s="511">
        <v>20.477</v>
      </c>
      <c r="F214" s="511">
        <v>21.965</v>
      </c>
      <c r="G214" s="318"/>
      <c r="H214" s="490">
        <f t="shared" ca="1" si="54"/>
        <v>42948</v>
      </c>
      <c r="I214" s="491">
        <f t="shared" si="55"/>
        <v>3.2619999999999991</v>
      </c>
      <c r="J214" s="492">
        <f t="shared" ca="1" si="56"/>
        <v>42948</v>
      </c>
      <c r="K214" s="491">
        <f t="shared" si="57"/>
        <v>21.965</v>
      </c>
      <c r="L214" s="486"/>
      <c r="M214" s="486"/>
      <c r="N214" s="486"/>
      <c r="O214" s="486"/>
      <c r="P214" s="486"/>
      <c r="Q214" s="486"/>
      <c r="R214" s="486"/>
      <c r="S214" s="486"/>
      <c r="T214" s="486"/>
      <c r="U214" s="486"/>
      <c r="V214" s="486"/>
      <c r="W214" s="486"/>
      <c r="X214" s="486"/>
      <c r="Y214" s="486"/>
      <c r="Z214" s="486"/>
      <c r="AA214" s="486"/>
      <c r="AB214" s="486"/>
      <c r="AC214" s="486"/>
      <c r="AD214" s="486"/>
      <c r="AE214" s="486"/>
      <c r="AF214" s="486"/>
      <c r="AG214" s="486"/>
      <c r="AH214" s="486"/>
      <c r="AI214" s="486"/>
      <c r="AJ214" s="486"/>
      <c r="AK214" s="486"/>
      <c r="AL214" s="486"/>
      <c r="AM214" s="486"/>
      <c r="AN214" s="486"/>
      <c r="AO214" s="486"/>
      <c r="AP214" s="486"/>
      <c r="AQ214" s="486"/>
      <c r="AR214" s="231"/>
    </row>
    <row r="215" spans="1:44" customFormat="1" ht="11.25">
      <c r="A215" s="493">
        <f t="shared" ref="A215:A230" ca="1" si="60">DATE(YEAR(A214),MONTH(A214)+1,1)</f>
        <v>42979</v>
      </c>
      <c r="B215" s="511">
        <v>3.1129999999999991</v>
      </c>
      <c r="C215" s="511">
        <v>3.2129999999999992</v>
      </c>
      <c r="D215" s="493">
        <f t="shared" ref="D215:D230" ca="1" si="61">DATE(YEAR(D214),MONTH(D214)+1,1)</f>
        <v>42979</v>
      </c>
      <c r="E215" s="511">
        <v>20.492000000000001</v>
      </c>
      <c r="F215" s="511">
        <v>21.988</v>
      </c>
      <c r="G215" s="318"/>
      <c r="H215" s="490">
        <f t="shared" ca="1" si="54"/>
        <v>42979</v>
      </c>
      <c r="I215" s="491">
        <f t="shared" si="55"/>
        <v>3.2129999999999992</v>
      </c>
      <c r="J215" s="492">
        <f t="shared" ca="1" si="56"/>
        <v>42979</v>
      </c>
      <c r="K215" s="491">
        <f t="shared" si="57"/>
        <v>21.988</v>
      </c>
      <c r="L215" s="486"/>
      <c r="M215" s="486"/>
      <c r="N215" s="486"/>
      <c r="O215" s="486"/>
      <c r="P215" s="486"/>
      <c r="Q215" s="486"/>
      <c r="R215" s="486"/>
      <c r="S215" s="486"/>
      <c r="T215" s="486"/>
      <c r="U215" s="486"/>
      <c r="V215" s="486"/>
      <c r="W215" s="486"/>
      <c r="X215" s="486"/>
      <c r="Y215" s="486"/>
      <c r="Z215" s="486"/>
      <c r="AA215" s="486"/>
      <c r="AB215" s="486"/>
      <c r="AC215" s="486"/>
      <c r="AD215" s="486"/>
      <c r="AE215" s="486"/>
      <c r="AF215" s="486"/>
      <c r="AG215" s="486"/>
      <c r="AH215" s="486"/>
      <c r="AI215" s="486"/>
      <c r="AJ215" s="486"/>
      <c r="AK215" s="486"/>
      <c r="AL215" s="486"/>
      <c r="AM215" s="486"/>
      <c r="AN215" s="486"/>
      <c r="AO215" s="486"/>
      <c r="AP215" s="486"/>
      <c r="AQ215" s="486"/>
      <c r="AR215" s="231"/>
    </row>
    <row r="216" spans="1:44" customFormat="1" ht="11.25">
      <c r="A216" s="493">
        <f t="shared" ca="1" si="60"/>
        <v>43009</v>
      </c>
      <c r="B216" s="511">
        <v>3.1</v>
      </c>
      <c r="C216" s="511">
        <v>3.2</v>
      </c>
      <c r="D216" s="493">
        <f t="shared" ca="1" si="61"/>
        <v>43009</v>
      </c>
      <c r="E216" s="511">
        <v>20.509</v>
      </c>
      <c r="F216" s="511">
        <v>22.013999999999999</v>
      </c>
      <c r="G216" s="318"/>
      <c r="H216" s="490">
        <f t="shared" ca="1" si="54"/>
        <v>43009</v>
      </c>
      <c r="I216" s="491">
        <f t="shared" si="55"/>
        <v>3.2</v>
      </c>
      <c r="J216" s="492">
        <f t="shared" ca="1" si="56"/>
        <v>43009</v>
      </c>
      <c r="K216" s="491">
        <f t="shared" si="57"/>
        <v>22.013999999999999</v>
      </c>
      <c r="L216" s="486"/>
      <c r="M216" s="486"/>
      <c r="N216" s="486"/>
      <c r="O216" s="486"/>
      <c r="P216" s="486"/>
      <c r="Q216" s="486"/>
      <c r="R216" s="486"/>
      <c r="S216" s="486"/>
      <c r="T216" s="486"/>
      <c r="U216" s="486"/>
      <c r="V216" s="486"/>
      <c r="W216" s="486"/>
      <c r="X216" s="486"/>
      <c r="Y216" s="486"/>
      <c r="Z216" s="486"/>
      <c r="AA216" s="486"/>
      <c r="AB216" s="486"/>
      <c r="AC216" s="486"/>
      <c r="AD216" s="486"/>
      <c r="AE216" s="486"/>
      <c r="AF216" s="486"/>
      <c r="AG216" s="486"/>
      <c r="AH216" s="486"/>
      <c r="AI216" s="486"/>
      <c r="AJ216" s="486"/>
      <c r="AK216" s="486"/>
      <c r="AL216" s="486"/>
      <c r="AM216" s="486"/>
      <c r="AN216" s="486"/>
      <c r="AO216" s="486"/>
      <c r="AP216" s="486"/>
      <c r="AQ216" s="486"/>
      <c r="AR216" s="231"/>
    </row>
    <row r="217" spans="1:44" customFormat="1" ht="11.25">
      <c r="A217" s="493">
        <f t="shared" ca="1" si="60"/>
        <v>43040</v>
      </c>
      <c r="B217" s="511">
        <v>3.1079999999999992</v>
      </c>
      <c r="C217" s="511">
        <v>3.2079999999999993</v>
      </c>
      <c r="D217" s="493">
        <f t="shared" ca="1" si="61"/>
        <v>43040</v>
      </c>
      <c r="E217" s="511">
        <v>20.526</v>
      </c>
      <c r="F217" s="511">
        <v>22.039000000000001</v>
      </c>
      <c r="G217" s="318"/>
      <c r="H217" s="490">
        <f t="shared" ca="1" si="54"/>
        <v>43040</v>
      </c>
      <c r="I217" s="491">
        <f t="shared" si="55"/>
        <v>3.2079999999999993</v>
      </c>
      <c r="J217" s="492">
        <f t="shared" ca="1" si="56"/>
        <v>43040</v>
      </c>
      <c r="K217" s="491">
        <f t="shared" si="57"/>
        <v>22.039000000000001</v>
      </c>
      <c r="L217" s="486"/>
      <c r="M217" s="486"/>
      <c r="N217" s="486"/>
      <c r="O217" s="486"/>
      <c r="P217" s="486"/>
      <c r="Q217" s="486"/>
      <c r="R217" s="486"/>
      <c r="S217" s="486"/>
      <c r="T217" s="486"/>
      <c r="U217" s="486"/>
      <c r="V217" s="486"/>
      <c r="W217" s="486"/>
      <c r="X217" s="486"/>
      <c r="Y217" s="486"/>
      <c r="Z217" s="486"/>
      <c r="AA217" s="486"/>
      <c r="AB217" s="486"/>
      <c r="AC217" s="486"/>
      <c r="AD217" s="486"/>
      <c r="AE217" s="486"/>
      <c r="AF217" s="486"/>
      <c r="AG217" s="486"/>
      <c r="AH217" s="486"/>
      <c r="AI217" s="486"/>
      <c r="AJ217" s="486"/>
      <c r="AK217" s="486"/>
      <c r="AL217" s="486"/>
      <c r="AM217" s="486"/>
      <c r="AN217" s="486"/>
      <c r="AO217" s="486"/>
      <c r="AP217" s="486"/>
      <c r="AQ217" s="486"/>
      <c r="AR217" s="231"/>
    </row>
    <row r="218" spans="1:44" customFormat="1" ht="11.25">
      <c r="A218" s="493">
        <f t="shared" ca="1" si="60"/>
        <v>43070</v>
      </c>
      <c r="B218" s="511">
        <v>3.1</v>
      </c>
      <c r="C218" s="511">
        <v>3.2</v>
      </c>
      <c r="D218" s="493">
        <f t="shared" ca="1" si="61"/>
        <v>43070</v>
      </c>
      <c r="E218" s="511">
        <v>20.542000000000002</v>
      </c>
      <c r="F218" s="511">
        <v>22.062999999999999</v>
      </c>
      <c r="G218" s="318"/>
      <c r="H218" s="490">
        <f t="shared" ca="1" si="54"/>
        <v>43070</v>
      </c>
      <c r="I218" s="491">
        <f t="shared" si="55"/>
        <v>3.2</v>
      </c>
      <c r="J218" s="492">
        <f t="shared" ca="1" si="56"/>
        <v>43070</v>
      </c>
      <c r="K218" s="491">
        <f t="shared" si="57"/>
        <v>22.062999999999999</v>
      </c>
      <c r="L218" s="486"/>
      <c r="M218" s="486"/>
      <c r="N218" s="486"/>
      <c r="O218" s="486"/>
      <c r="P218" s="486"/>
      <c r="Q218" s="486"/>
      <c r="R218" s="486"/>
      <c r="S218" s="486"/>
      <c r="T218" s="486"/>
      <c r="U218" s="486"/>
      <c r="V218" s="486"/>
      <c r="W218" s="486"/>
      <c r="X218" s="486"/>
      <c r="Y218" s="486"/>
      <c r="Z218" s="486"/>
      <c r="AA218" s="486"/>
      <c r="AB218" s="486"/>
      <c r="AC218" s="486"/>
      <c r="AD218" s="486"/>
      <c r="AE218" s="486"/>
      <c r="AF218" s="486"/>
      <c r="AG218" s="486"/>
      <c r="AH218" s="486"/>
      <c r="AI218" s="486"/>
      <c r="AJ218" s="486"/>
      <c r="AK218" s="486"/>
      <c r="AL218" s="486"/>
      <c r="AM218" s="486"/>
      <c r="AN218" s="486"/>
      <c r="AO218" s="486"/>
      <c r="AP218" s="486"/>
      <c r="AQ218" s="486"/>
      <c r="AR218" s="231"/>
    </row>
    <row r="219" spans="1:44" customFormat="1" ht="11.25">
      <c r="A219" s="493">
        <f t="shared" ca="1" si="60"/>
        <v>43101</v>
      </c>
      <c r="B219" s="511">
        <v>3.1</v>
      </c>
      <c r="C219" s="511">
        <v>3.2</v>
      </c>
      <c r="D219" s="493">
        <f t="shared" ca="1" si="61"/>
        <v>43101</v>
      </c>
      <c r="E219" s="511">
        <v>20.56</v>
      </c>
      <c r="F219" s="511">
        <v>22.09</v>
      </c>
      <c r="G219" s="318"/>
      <c r="H219" s="490">
        <f t="shared" ca="1" si="54"/>
        <v>43101</v>
      </c>
      <c r="I219" s="491">
        <f t="shared" si="55"/>
        <v>3.2</v>
      </c>
      <c r="J219" s="492">
        <f t="shared" ca="1" si="56"/>
        <v>43101</v>
      </c>
      <c r="K219" s="491">
        <f t="shared" si="57"/>
        <v>22.09</v>
      </c>
      <c r="L219" s="486"/>
      <c r="M219" s="486"/>
      <c r="N219" s="486"/>
      <c r="O219" s="486"/>
      <c r="P219" s="486"/>
      <c r="Q219" s="486"/>
      <c r="R219" s="486"/>
      <c r="S219" s="486"/>
      <c r="T219" s="486"/>
      <c r="U219" s="486"/>
      <c r="V219" s="486"/>
      <c r="W219" s="486"/>
      <c r="X219" s="486"/>
      <c r="Y219" s="486"/>
      <c r="Z219" s="486"/>
      <c r="AA219" s="486"/>
      <c r="AB219" s="486"/>
      <c r="AC219" s="486"/>
      <c r="AD219" s="486"/>
      <c r="AE219" s="486"/>
      <c r="AF219" s="486"/>
      <c r="AG219" s="486"/>
      <c r="AH219" s="486"/>
      <c r="AI219" s="486"/>
      <c r="AJ219" s="486"/>
      <c r="AK219" s="486"/>
      <c r="AL219" s="486"/>
      <c r="AM219" s="486"/>
      <c r="AN219" s="486"/>
      <c r="AO219" s="486"/>
      <c r="AP219" s="486"/>
      <c r="AQ219" s="486"/>
      <c r="AR219" s="231"/>
    </row>
    <row r="220" spans="1:44" customFormat="1" ht="11.25">
      <c r="A220" s="493">
        <f t="shared" ca="1" si="60"/>
        <v>43132</v>
      </c>
      <c r="B220" s="511">
        <v>3.1</v>
      </c>
      <c r="C220" s="511">
        <v>3.2</v>
      </c>
      <c r="D220" s="493">
        <f t="shared" ca="1" si="61"/>
        <v>43132</v>
      </c>
      <c r="E220" s="511">
        <v>20.576000000000001</v>
      </c>
      <c r="F220" s="511">
        <v>22.114999999999998</v>
      </c>
      <c r="G220" s="318"/>
      <c r="H220" s="490">
        <f t="shared" ca="1" si="54"/>
        <v>43132</v>
      </c>
      <c r="I220" s="491">
        <f t="shared" si="55"/>
        <v>3.2</v>
      </c>
      <c r="J220" s="492">
        <f t="shared" ca="1" si="56"/>
        <v>43132</v>
      </c>
      <c r="K220" s="491">
        <f t="shared" si="57"/>
        <v>22.114999999999998</v>
      </c>
      <c r="L220" s="486"/>
      <c r="M220" s="486"/>
      <c r="N220" s="486"/>
      <c r="O220" s="486"/>
      <c r="P220" s="486"/>
      <c r="Q220" s="486"/>
      <c r="R220" s="486"/>
      <c r="S220" s="486"/>
      <c r="T220" s="486"/>
      <c r="U220" s="486"/>
      <c r="V220" s="486"/>
      <c r="W220" s="486"/>
      <c r="X220" s="486"/>
      <c r="Y220" s="486"/>
      <c r="Z220" s="486"/>
      <c r="AA220" s="486"/>
      <c r="AB220" s="486"/>
      <c r="AC220" s="486"/>
      <c r="AD220" s="486"/>
      <c r="AE220" s="486"/>
      <c r="AF220" s="486"/>
      <c r="AG220" s="486"/>
      <c r="AH220" s="486"/>
      <c r="AI220" s="486"/>
      <c r="AJ220" s="486"/>
      <c r="AK220" s="486"/>
      <c r="AL220" s="486"/>
      <c r="AM220" s="486"/>
      <c r="AN220" s="486"/>
      <c r="AO220" s="486"/>
      <c r="AP220" s="486"/>
      <c r="AQ220" s="486"/>
      <c r="AR220" s="231"/>
    </row>
    <row r="221" spans="1:44" customFormat="1" ht="11.25">
      <c r="A221" s="493">
        <f t="shared" ca="1" si="60"/>
        <v>43160</v>
      </c>
      <c r="B221" s="511">
        <v>3.1</v>
      </c>
      <c r="C221" s="511">
        <v>3.2</v>
      </c>
      <c r="D221" s="493">
        <f t="shared" ca="1" si="61"/>
        <v>43160</v>
      </c>
      <c r="E221" s="511">
        <v>20.591999999999999</v>
      </c>
      <c r="F221" s="511">
        <v>22.138000000000002</v>
      </c>
      <c r="G221" s="318"/>
      <c r="H221" s="490">
        <f t="shared" ca="1" si="54"/>
        <v>43160</v>
      </c>
      <c r="I221" s="491">
        <f t="shared" si="55"/>
        <v>3.2</v>
      </c>
      <c r="J221" s="492">
        <f t="shared" ca="1" si="56"/>
        <v>43160</v>
      </c>
      <c r="K221" s="491">
        <f t="shared" si="57"/>
        <v>22.138000000000002</v>
      </c>
      <c r="L221" s="486"/>
      <c r="M221" s="486"/>
      <c r="N221" s="486"/>
      <c r="O221" s="486"/>
      <c r="P221" s="486"/>
      <c r="Q221" s="486"/>
      <c r="R221" s="486"/>
      <c r="S221" s="486"/>
      <c r="T221" s="486"/>
      <c r="U221" s="486"/>
      <c r="V221" s="486"/>
      <c r="W221" s="486"/>
      <c r="X221" s="486"/>
      <c r="Y221" s="486"/>
      <c r="Z221" s="486"/>
      <c r="AA221" s="486"/>
      <c r="AB221" s="486"/>
      <c r="AC221" s="486"/>
      <c r="AD221" s="486"/>
      <c r="AE221" s="486"/>
      <c r="AF221" s="486"/>
      <c r="AG221" s="486"/>
      <c r="AH221" s="486"/>
      <c r="AI221" s="486"/>
      <c r="AJ221" s="486"/>
      <c r="AK221" s="486"/>
      <c r="AL221" s="486"/>
      <c r="AM221" s="486"/>
      <c r="AN221" s="486"/>
      <c r="AO221" s="486"/>
      <c r="AP221" s="486"/>
      <c r="AQ221" s="486"/>
      <c r="AR221" s="231"/>
    </row>
    <row r="222" spans="1:44" customFormat="1" ht="11.25">
      <c r="A222" s="493">
        <f t="shared" ca="1" si="60"/>
        <v>43191</v>
      </c>
      <c r="B222" s="511">
        <v>3.173999999999999</v>
      </c>
      <c r="C222" s="511">
        <v>3.2739999999999991</v>
      </c>
      <c r="D222" s="493">
        <f t="shared" ca="1" si="61"/>
        <v>43191</v>
      </c>
      <c r="E222" s="511">
        <v>20.611000000000001</v>
      </c>
      <c r="F222" s="511">
        <v>22.166</v>
      </c>
      <c r="G222" s="318"/>
      <c r="H222" s="490">
        <f t="shared" ca="1" si="54"/>
        <v>43191</v>
      </c>
      <c r="I222" s="491">
        <f t="shared" si="55"/>
        <v>3.2739999999999991</v>
      </c>
      <c r="J222" s="492">
        <f t="shared" ca="1" si="56"/>
        <v>43191</v>
      </c>
      <c r="K222" s="491">
        <f t="shared" si="57"/>
        <v>22.166</v>
      </c>
      <c r="L222" s="486"/>
      <c r="M222" s="486"/>
      <c r="N222" s="486"/>
      <c r="O222" s="486"/>
      <c r="P222" s="486"/>
      <c r="Q222" s="486"/>
      <c r="R222" s="486"/>
      <c r="S222" s="486"/>
      <c r="T222" s="486"/>
      <c r="U222" s="486"/>
      <c r="V222" s="486"/>
      <c r="W222" s="486"/>
      <c r="X222" s="486"/>
      <c r="Y222" s="486"/>
      <c r="Z222" s="486"/>
      <c r="AA222" s="486"/>
      <c r="AB222" s="486"/>
      <c r="AC222" s="486"/>
      <c r="AD222" s="486"/>
      <c r="AE222" s="486"/>
      <c r="AF222" s="486"/>
      <c r="AG222" s="486"/>
      <c r="AH222" s="486"/>
      <c r="AI222" s="486"/>
      <c r="AJ222" s="486"/>
      <c r="AK222" s="486"/>
      <c r="AL222" s="486"/>
      <c r="AM222" s="486"/>
      <c r="AN222" s="486"/>
      <c r="AO222" s="486"/>
      <c r="AP222" s="486"/>
      <c r="AQ222" s="486"/>
      <c r="AR222" s="231"/>
    </row>
    <row r="223" spans="1:44" customFormat="1" ht="11.25">
      <c r="A223" s="493">
        <f t="shared" ca="1" si="60"/>
        <v>43221</v>
      </c>
      <c r="B223" s="511">
        <v>3.2919999999999989</v>
      </c>
      <c r="C223" s="511">
        <v>3.391999999999999</v>
      </c>
      <c r="D223" s="493">
        <f t="shared" ca="1" si="61"/>
        <v>43221</v>
      </c>
      <c r="E223" s="511">
        <v>20.626000000000001</v>
      </c>
      <c r="F223" s="511">
        <v>22.189</v>
      </c>
      <c r="G223" s="318"/>
      <c r="H223" s="490">
        <f t="shared" ca="1" si="54"/>
        <v>43221</v>
      </c>
      <c r="I223" s="491">
        <f t="shared" si="55"/>
        <v>3.391999999999999</v>
      </c>
      <c r="J223" s="492">
        <f t="shared" ca="1" si="56"/>
        <v>43221</v>
      </c>
      <c r="K223" s="491">
        <f t="shared" si="57"/>
        <v>22.189</v>
      </c>
      <c r="L223" s="486"/>
      <c r="M223" s="486"/>
      <c r="N223" s="486"/>
      <c r="O223" s="486"/>
      <c r="P223" s="486"/>
      <c r="Q223" s="486"/>
      <c r="R223" s="486"/>
      <c r="S223" s="486"/>
      <c r="T223" s="486"/>
      <c r="U223" s="486"/>
      <c r="V223" s="486"/>
      <c r="W223" s="486"/>
      <c r="X223" s="486"/>
      <c r="Y223" s="486"/>
      <c r="Z223" s="486"/>
      <c r="AA223" s="486"/>
      <c r="AB223" s="486"/>
      <c r="AC223" s="486"/>
      <c r="AD223" s="486"/>
      <c r="AE223" s="486"/>
      <c r="AF223" s="486"/>
      <c r="AG223" s="486"/>
      <c r="AH223" s="486"/>
      <c r="AI223" s="486"/>
      <c r="AJ223" s="486"/>
      <c r="AK223" s="486"/>
      <c r="AL223" s="486"/>
      <c r="AM223" s="486"/>
      <c r="AN223" s="486"/>
      <c r="AO223" s="486"/>
      <c r="AP223" s="486"/>
      <c r="AQ223" s="486"/>
      <c r="AR223" s="231"/>
    </row>
    <row r="224" spans="1:44" customFormat="1" ht="11.25">
      <c r="A224" s="493">
        <f t="shared" ca="1" si="60"/>
        <v>43252</v>
      </c>
      <c r="B224" s="511">
        <v>3.492999999999999</v>
      </c>
      <c r="C224" s="511">
        <v>3.5929999999999991</v>
      </c>
      <c r="D224" s="493">
        <f t="shared" ca="1" si="61"/>
        <v>43252</v>
      </c>
      <c r="E224" s="511">
        <v>20.641999999999999</v>
      </c>
      <c r="F224" s="511">
        <v>22.213999999999999</v>
      </c>
      <c r="G224" s="318"/>
      <c r="H224" s="490">
        <f t="shared" ca="1" si="54"/>
        <v>43252</v>
      </c>
      <c r="I224" s="491">
        <f t="shared" si="55"/>
        <v>3.5929999999999991</v>
      </c>
      <c r="J224" s="492">
        <f t="shared" ca="1" si="56"/>
        <v>43252</v>
      </c>
      <c r="K224" s="491">
        <f t="shared" si="57"/>
        <v>22.213999999999999</v>
      </c>
      <c r="L224" s="486"/>
      <c r="M224" s="486"/>
      <c r="N224" s="486"/>
      <c r="O224" s="486"/>
      <c r="P224" s="486"/>
      <c r="Q224" s="486"/>
      <c r="R224" s="486"/>
      <c r="S224" s="486"/>
      <c r="T224" s="486"/>
      <c r="U224" s="486"/>
      <c r="V224" s="486"/>
      <c r="W224" s="486"/>
      <c r="X224" s="486"/>
      <c r="Y224" s="486"/>
      <c r="Z224" s="486"/>
      <c r="AA224" s="486"/>
      <c r="AB224" s="486"/>
      <c r="AC224" s="486"/>
      <c r="AD224" s="486"/>
      <c r="AE224" s="486"/>
      <c r="AF224" s="486"/>
      <c r="AG224" s="486"/>
      <c r="AH224" s="486"/>
      <c r="AI224" s="486"/>
      <c r="AJ224" s="486"/>
      <c r="AK224" s="486"/>
      <c r="AL224" s="486"/>
      <c r="AM224" s="486"/>
      <c r="AN224" s="486"/>
      <c r="AO224" s="486"/>
      <c r="AP224" s="486"/>
      <c r="AQ224" s="486"/>
      <c r="AR224" s="231"/>
    </row>
    <row r="225" spans="1:44" customFormat="1" ht="11.25">
      <c r="A225" s="493">
        <f t="shared" ca="1" si="60"/>
        <v>43282</v>
      </c>
      <c r="B225" s="511">
        <v>3.407999999999999</v>
      </c>
      <c r="C225" s="511">
        <v>3.5079999999999991</v>
      </c>
      <c r="D225" s="493">
        <f t="shared" ca="1" si="61"/>
        <v>43282</v>
      </c>
      <c r="E225" s="511">
        <v>20.661000000000001</v>
      </c>
      <c r="F225" s="511">
        <v>22.241</v>
      </c>
      <c r="G225" s="318"/>
      <c r="H225" s="490">
        <f t="shared" ca="1" si="54"/>
        <v>43282</v>
      </c>
      <c r="I225" s="491">
        <f t="shared" si="55"/>
        <v>3.5079999999999991</v>
      </c>
      <c r="J225" s="492">
        <f t="shared" ca="1" si="56"/>
        <v>43282</v>
      </c>
      <c r="K225" s="491">
        <f t="shared" si="57"/>
        <v>22.241</v>
      </c>
      <c r="L225" s="486"/>
      <c r="M225" s="486"/>
      <c r="N225" s="486"/>
      <c r="O225" s="486"/>
      <c r="P225" s="486"/>
      <c r="Q225" s="486"/>
      <c r="R225" s="486"/>
      <c r="S225" s="486"/>
      <c r="T225" s="486"/>
      <c r="U225" s="486"/>
      <c r="V225" s="486"/>
      <c r="W225" s="486"/>
      <c r="X225" s="486"/>
      <c r="Y225" s="486"/>
      <c r="Z225" s="486"/>
      <c r="AA225" s="486"/>
      <c r="AB225" s="486"/>
      <c r="AC225" s="486"/>
      <c r="AD225" s="486"/>
      <c r="AE225" s="486"/>
      <c r="AF225" s="486"/>
      <c r="AG225" s="486"/>
      <c r="AH225" s="486"/>
      <c r="AI225" s="486"/>
      <c r="AJ225" s="486"/>
      <c r="AK225" s="486"/>
      <c r="AL225" s="486"/>
      <c r="AM225" s="486"/>
      <c r="AN225" s="486"/>
      <c r="AO225" s="486"/>
      <c r="AP225" s="486"/>
      <c r="AQ225" s="486"/>
      <c r="AR225" s="231"/>
    </row>
    <row r="226" spans="1:44" customFormat="1" ht="11.25">
      <c r="A226" s="493">
        <f t="shared" ca="1" si="60"/>
        <v>43313</v>
      </c>
      <c r="B226" s="511">
        <v>3.3419999999999992</v>
      </c>
      <c r="C226" s="511">
        <v>3.4419999999999993</v>
      </c>
      <c r="D226" s="493">
        <f t="shared" ca="1" si="61"/>
        <v>43313</v>
      </c>
      <c r="E226" s="511">
        <v>20.675999999999998</v>
      </c>
      <c r="F226" s="511">
        <v>22.263999999999999</v>
      </c>
      <c r="G226" s="318"/>
      <c r="H226" s="490">
        <f t="shared" ca="1" si="54"/>
        <v>43313</v>
      </c>
      <c r="I226" s="491">
        <f t="shared" si="55"/>
        <v>3.4419999999999993</v>
      </c>
      <c r="J226" s="492">
        <f t="shared" ca="1" si="56"/>
        <v>43313</v>
      </c>
      <c r="K226" s="491">
        <f t="shared" si="57"/>
        <v>22.263999999999999</v>
      </c>
      <c r="L226" s="486"/>
      <c r="M226" s="486"/>
      <c r="N226" s="486"/>
      <c r="O226" s="486"/>
      <c r="P226" s="486"/>
      <c r="Q226" s="486"/>
      <c r="R226" s="486"/>
      <c r="S226" s="486"/>
      <c r="T226" s="486"/>
      <c r="U226" s="486"/>
      <c r="V226" s="486"/>
      <c r="W226" s="486"/>
      <c r="X226" s="486"/>
      <c r="Y226" s="486"/>
      <c r="Z226" s="486"/>
      <c r="AA226" s="486"/>
      <c r="AB226" s="486"/>
      <c r="AC226" s="486"/>
      <c r="AD226" s="486"/>
      <c r="AE226" s="486"/>
      <c r="AF226" s="486"/>
      <c r="AG226" s="486"/>
      <c r="AH226" s="486"/>
      <c r="AI226" s="486"/>
      <c r="AJ226" s="486"/>
      <c r="AK226" s="486"/>
      <c r="AL226" s="486"/>
      <c r="AM226" s="486"/>
      <c r="AN226" s="486"/>
      <c r="AO226" s="486"/>
      <c r="AP226" s="486"/>
      <c r="AQ226" s="486"/>
      <c r="AR226" s="231"/>
    </row>
    <row r="227" spans="1:44" customFormat="1" ht="11.25">
      <c r="A227" s="493">
        <f t="shared" ca="1" si="60"/>
        <v>43344</v>
      </c>
      <c r="B227" s="511">
        <v>3.2929999999999993</v>
      </c>
      <c r="C227" s="511">
        <v>3.3929999999999993</v>
      </c>
      <c r="D227" s="493">
        <f t="shared" ca="1" si="61"/>
        <v>43344</v>
      </c>
      <c r="E227" s="511">
        <v>20.692</v>
      </c>
      <c r="F227" s="511">
        <v>22.288</v>
      </c>
      <c r="G227" s="318"/>
      <c r="H227" s="490">
        <f t="shared" ca="1" si="54"/>
        <v>43344</v>
      </c>
      <c r="I227" s="491">
        <f t="shared" si="55"/>
        <v>3.3929999999999993</v>
      </c>
      <c r="J227" s="492">
        <f t="shared" ca="1" si="56"/>
        <v>43344</v>
      </c>
      <c r="K227" s="491">
        <f t="shared" si="57"/>
        <v>22.288</v>
      </c>
      <c r="L227" s="486"/>
      <c r="M227" s="486"/>
      <c r="N227" s="486"/>
      <c r="O227" s="486"/>
      <c r="P227" s="486"/>
      <c r="Q227" s="486"/>
      <c r="R227" s="486"/>
      <c r="S227" s="486"/>
      <c r="T227" s="486"/>
      <c r="U227" s="486"/>
      <c r="V227" s="486"/>
      <c r="W227" s="486"/>
      <c r="X227" s="486"/>
      <c r="Y227" s="486"/>
      <c r="Z227" s="486"/>
      <c r="AA227" s="486"/>
      <c r="AB227" s="486"/>
      <c r="AC227" s="486"/>
      <c r="AD227" s="486"/>
      <c r="AE227" s="486"/>
      <c r="AF227" s="486"/>
      <c r="AG227" s="486"/>
      <c r="AH227" s="486"/>
      <c r="AI227" s="486"/>
      <c r="AJ227" s="486"/>
      <c r="AK227" s="486"/>
      <c r="AL227" s="486"/>
      <c r="AM227" s="486"/>
      <c r="AN227" s="486"/>
      <c r="AO227" s="486"/>
      <c r="AP227" s="486"/>
      <c r="AQ227" s="486"/>
      <c r="AR227" s="231"/>
    </row>
    <row r="228" spans="1:44" customFormat="1" ht="11.25">
      <c r="A228" s="493">
        <f t="shared" ca="1" si="60"/>
        <v>43374</v>
      </c>
      <c r="B228" s="511">
        <v>3.28</v>
      </c>
      <c r="C228" s="511">
        <v>3.38</v>
      </c>
      <c r="D228" s="493">
        <f t="shared" ca="1" si="61"/>
        <v>43374</v>
      </c>
      <c r="E228" s="511">
        <v>20.709</v>
      </c>
      <c r="F228" s="511">
        <v>22.314</v>
      </c>
      <c r="G228" s="318"/>
      <c r="H228" s="490">
        <f t="shared" ca="1" si="54"/>
        <v>43374</v>
      </c>
      <c r="I228" s="491">
        <f t="shared" si="55"/>
        <v>3.38</v>
      </c>
      <c r="J228" s="492">
        <f t="shared" ca="1" si="56"/>
        <v>43374</v>
      </c>
      <c r="K228" s="491">
        <f t="shared" si="57"/>
        <v>22.314</v>
      </c>
      <c r="L228" s="486"/>
      <c r="M228" s="486"/>
      <c r="N228" s="486"/>
      <c r="O228" s="486"/>
      <c r="P228" s="486"/>
      <c r="Q228" s="486"/>
      <c r="R228" s="486"/>
      <c r="S228" s="486"/>
      <c r="T228" s="486"/>
      <c r="U228" s="486"/>
      <c r="V228" s="486"/>
      <c r="W228" s="486"/>
      <c r="X228" s="486"/>
      <c r="Y228" s="486"/>
      <c r="Z228" s="486"/>
      <c r="AA228" s="486"/>
      <c r="AB228" s="486"/>
      <c r="AC228" s="486"/>
      <c r="AD228" s="486"/>
      <c r="AE228" s="486"/>
      <c r="AF228" s="486"/>
      <c r="AG228" s="486"/>
      <c r="AH228" s="486"/>
      <c r="AI228" s="486"/>
      <c r="AJ228" s="486"/>
      <c r="AK228" s="486"/>
      <c r="AL228" s="486"/>
      <c r="AM228" s="486"/>
      <c r="AN228" s="486"/>
      <c r="AO228" s="486"/>
      <c r="AP228" s="486"/>
      <c r="AQ228" s="486"/>
      <c r="AR228" s="231"/>
    </row>
    <row r="229" spans="1:44" customFormat="1" ht="11.25">
      <c r="A229" s="493">
        <f t="shared" ca="1" si="60"/>
        <v>43405</v>
      </c>
      <c r="B229" s="511">
        <v>3.2879999999999994</v>
      </c>
      <c r="C229" s="511">
        <v>3.3879999999999995</v>
      </c>
      <c r="D229" s="493">
        <f t="shared" ca="1" si="61"/>
        <v>43405</v>
      </c>
      <c r="E229" s="511">
        <v>20.725999999999999</v>
      </c>
      <c r="F229" s="511">
        <v>22.338000000000001</v>
      </c>
      <c r="G229" s="318"/>
      <c r="H229" s="490">
        <f t="shared" ca="1" si="54"/>
        <v>43405</v>
      </c>
      <c r="I229" s="491">
        <f t="shared" si="55"/>
        <v>3.3879999999999995</v>
      </c>
      <c r="J229" s="492">
        <f t="shared" ca="1" si="56"/>
        <v>43405</v>
      </c>
      <c r="K229" s="491">
        <f t="shared" si="57"/>
        <v>22.338000000000001</v>
      </c>
      <c r="L229" s="486"/>
      <c r="M229" s="486"/>
      <c r="N229" s="486"/>
      <c r="O229" s="486"/>
      <c r="P229" s="486"/>
      <c r="Q229" s="486"/>
      <c r="R229" s="486"/>
      <c r="S229" s="486"/>
      <c r="T229" s="486"/>
      <c r="U229" s="486"/>
      <c r="V229" s="486"/>
      <c r="W229" s="486"/>
      <c r="X229" s="486"/>
      <c r="Y229" s="486"/>
      <c r="Z229" s="486"/>
      <c r="AA229" s="486"/>
      <c r="AB229" s="486"/>
      <c r="AC229" s="486"/>
      <c r="AD229" s="486"/>
      <c r="AE229" s="486"/>
      <c r="AF229" s="486"/>
      <c r="AG229" s="486"/>
      <c r="AH229" s="486"/>
      <c r="AI229" s="486"/>
      <c r="AJ229" s="486"/>
      <c r="AK229" s="486"/>
      <c r="AL229" s="486"/>
      <c r="AM229" s="486"/>
      <c r="AN229" s="486"/>
      <c r="AO229" s="486"/>
      <c r="AP229" s="486"/>
      <c r="AQ229" s="486"/>
      <c r="AR229" s="231"/>
    </row>
    <row r="230" spans="1:44" customFormat="1" ht="11.25">
      <c r="A230" s="493">
        <f t="shared" ca="1" si="60"/>
        <v>43435</v>
      </c>
      <c r="B230" s="511">
        <v>3.28</v>
      </c>
      <c r="C230" s="511">
        <v>3.38</v>
      </c>
      <c r="D230" s="493">
        <f t="shared" ca="1" si="61"/>
        <v>43435</v>
      </c>
      <c r="E230" s="511">
        <v>20.742000000000001</v>
      </c>
      <c r="F230" s="511">
        <v>22.363</v>
      </c>
      <c r="G230" s="318"/>
      <c r="H230" s="490">
        <f t="shared" ca="1" si="54"/>
        <v>43435</v>
      </c>
      <c r="I230" s="491">
        <f t="shared" si="55"/>
        <v>3.38</v>
      </c>
      <c r="J230" s="492">
        <f t="shared" ca="1" si="56"/>
        <v>43435</v>
      </c>
      <c r="K230" s="491">
        <f t="shared" si="57"/>
        <v>22.363</v>
      </c>
      <c r="L230" s="486"/>
      <c r="M230" s="486"/>
      <c r="N230" s="486"/>
      <c r="O230" s="486"/>
      <c r="P230" s="486"/>
      <c r="Q230" s="486"/>
      <c r="R230" s="486"/>
      <c r="S230" s="486"/>
      <c r="T230" s="486"/>
      <c r="U230" s="486"/>
      <c r="V230" s="486"/>
      <c r="W230" s="486"/>
      <c r="X230" s="486"/>
      <c r="Y230" s="486"/>
      <c r="Z230" s="486"/>
      <c r="AA230" s="486"/>
      <c r="AB230" s="486"/>
      <c r="AC230" s="486"/>
      <c r="AD230" s="486"/>
      <c r="AE230" s="486"/>
      <c r="AF230" s="486"/>
      <c r="AG230" s="486"/>
      <c r="AH230" s="486"/>
      <c r="AI230" s="486"/>
      <c r="AJ230" s="486"/>
      <c r="AK230" s="486"/>
      <c r="AL230" s="486"/>
      <c r="AM230" s="486"/>
      <c r="AN230" s="486"/>
      <c r="AO230" s="486"/>
      <c r="AP230" s="486"/>
      <c r="AQ230" s="486"/>
      <c r="AR230" s="231"/>
    </row>
    <row r="231" spans="1:44" customFormat="1" ht="11.25">
      <c r="A231" s="493">
        <f t="shared" ref="A231:A246" ca="1" si="62">DATE(YEAR(A230),MONTH(A230)+1,1)</f>
        <v>43466</v>
      </c>
      <c r="B231" s="511">
        <v>3.28</v>
      </c>
      <c r="C231" s="511">
        <v>3.38</v>
      </c>
      <c r="D231" s="493">
        <f t="shared" ref="D231:D246" ca="1" si="63">DATE(YEAR(D230),MONTH(D230)+1,1)</f>
        <v>43466</v>
      </c>
      <c r="E231" s="511">
        <v>20.76</v>
      </c>
      <c r="F231" s="511">
        <v>22.39</v>
      </c>
      <c r="G231" s="318"/>
      <c r="H231" s="490">
        <f t="shared" ca="1" si="54"/>
        <v>43466</v>
      </c>
      <c r="I231" s="491">
        <f t="shared" si="55"/>
        <v>3.38</v>
      </c>
      <c r="J231" s="492">
        <f t="shared" ca="1" si="56"/>
        <v>43466</v>
      </c>
      <c r="K231" s="491">
        <f t="shared" si="57"/>
        <v>22.39</v>
      </c>
      <c r="L231" s="486"/>
      <c r="M231" s="486"/>
      <c r="N231" s="486"/>
      <c r="O231" s="486"/>
      <c r="P231" s="486"/>
      <c r="Q231" s="486"/>
      <c r="R231" s="486"/>
      <c r="S231" s="486"/>
      <c r="T231" s="486"/>
      <c r="U231" s="486"/>
      <c r="V231" s="486"/>
      <c r="W231" s="486"/>
      <c r="X231" s="486"/>
      <c r="Y231" s="486"/>
      <c r="Z231" s="486"/>
      <c r="AA231" s="486"/>
      <c r="AB231" s="486"/>
      <c r="AC231" s="486"/>
      <c r="AD231" s="486"/>
      <c r="AE231" s="486"/>
      <c r="AF231" s="486"/>
      <c r="AG231" s="486"/>
      <c r="AH231" s="486"/>
      <c r="AI231" s="486"/>
      <c r="AJ231" s="486"/>
      <c r="AK231" s="486"/>
      <c r="AL231" s="486"/>
      <c r="AM231" s="486"/>
      <c r="AN231" s="486"/>
      <c r="AO231" s="486"/>
      <c r="AP231" s="486"/>
      <c r="AQ231" s="486"/>
      <c r="AR231" s="231"/>
    </row>
    <row r="232" spans="1:44" customFormat="1" ht="11.25">
      <c r="A232" s="493">
        <f t="shared" ca="1" si="62"/>
        <v>43497</v>
      </c>
      <c r="B232" s="511">
        <v>3.28</v>
      </c>
      <c r="C232" s="511">
        <v>3.38</v>
      </c>
      <c r="D232" s="493">
        <f t="shared" ca="1" si="63"/>
        <v>43497</v>
      </c>
      <c r="E232" s="511">
        <v>20.776</v>
      </c>
      <c r="F232" s="511">
        <v>22.414999999999999</v>
      </c>
      <c r="G232" s="318"/>
      <c r="H232" s="490">
        <f t="shared" ca="1" si="54"/>
        <v>43497</v>
      </c>
      <c r="I232" s="491">
        <f t="shared" si="55"/>
        <v>3.38</v>
      </c>
      <c r="J232" s="492">
        <f t="shared" ca="1" si="56"/>
        <v>43497</v>
      </c>
      <c r="K232" s="491">
        <f t="shared" si="57"/>
        <v>22.414999999999999</v>
      </c>
      <c r="L232" s="486"/>
      <c r="M232" s="486"/>
      <c r="N232" s="486"/>
      <c r="O232" s="486"/>
      <c r="P232" s="486"/>
      <c r="Q232" s="486"/>
      <c r="R232" s="486"/>
      <c r="S232" s="486"/>
      <c r="T232" s="486"/>
      <c r="U232" s="486"/>
      <c r="V232" s="486"/>
      <c r="W232" s="486"/>
      <c r="X232" s="486"/>
      <c r="Y232" s="486"/>
      <c r="Z232" s="486"/>
      <c r="AA232" s="486"/>
      <c r="AB232" s="486"/>
      <c r="AC232" s="486"/>
      <c r="AD232" s="486"/>
      <c r="AE232" s="486"/>
      <c r="AF232" s="486"/>
      <c r="AG232" s="486"/>
      <c r="AH232" s="486"/>
      <c r="AI232" s="486"/>
      <c r="AJ232" s="486"/>
      <c r="AK232" s="486"/>
      <c r="AL232" s="486"/>
      <c r="AM232" s="486"/>
      <c r="AN232" s="486"/>
      <c r="AO232" s="486"/>
      <c r="AP232" s="486"/>
      <c r="AQ232" s="486"/>
      <c r="AR232" s="231"/>
    </row>
    <row r="233" spans="1:44" customFormat="1" ht="11.25">
      <c r="A233" s="493">
        <f t="shared" ca="1" si="62"/>
        <v>43525</v>
      </c>
      <c r="B233" s="511">
        <v>3.28</v>
      </c>
      <c r="C233" s="511">
        <v>3.38</v>
      </c>
      <c r="D233" s="493">
        <f t="shared" ca="1" si="63"/>
        <v>43525</v>
      </c>
      <c r="E233" s="511">
        <v>20.792999999999999</v>
      </c>
      <c r="F233" s="511">
        <v>22.439</v>
      </c>
      <c r="G233" s="318"/>
      <c r="H233" s="490">
        <f t="shared" ca="1" si="54"/>
        <v>43525</v>
      </c>
      <c r="I233" s="491">
        <f t="shared" si="55"/>
        <v>3.38</v>
      </c>
      <c r="J233" s="492">
        <f t="shared" ca="1" si="56"/>
        <v>43525</v>
      </c>
      <c r="K233" s="491">
        <f t="shared" si="57"/>
        <v>22.439</v>
      </c>
      <c r="L233" s="486"/>
      <c r="M233" s="486"/>
      <c r="N233" s="486"/>
      <c r="O233" s="486"/>
      <c r="P233" s="486"/>
      <c r="Q233" s="486"/>
      <c r="R233" s="486"/>
      <c r="S233" s="486"/>
      <c r="T233" s="486"/>
      <c r="U233" s="486"/>
      <c r="V233" s="486"/>
      <c r="W233" s="486"/>
      <c r="X233" s="486"/>
      <c r="Y233" s="486"/>
      <c r="Z233" s="486"/>
      <c r="AA233" s="486"/>
      <c r="AB233" s="486"/>
      <c r="AC233" s="486"/>
      <c r="AD233" s="486"/>
      <c r="AE233" s="486"/>
      <c r="AF233" s="486"/>
      <c r="AG233" s="486"/>
      <c r="AH233" s="486"/>
      <c r="AI233" s="486"/>
      <c r="AJ233" s="486"/>
      <c r="AK233" s="486"/>
      <c r="AL233" s="486"/>
      <c r="AM233" s="486"/>
      <c r="AN233" s="486"/>
      <c r="AO233" s="486"/>
      <c r="AP233" s="486"/>
      <c r="AQ233" s="486"/>
      <c r="AR233" s="231"/>
    </row>
    <row r="234" spans="1:44" customFormat="1" ht="11.25">
      <c r="A234" s="493">
        <f t="shared" ca="1" si="62"/>
        <v>43556</v>
      </c>
      <c r="B234" s="511">
        <v>3.3539999999999992</v>
      </c>
      <c r="C234" s="511">
        <v>3.4539999999999993</v>
      </c>
      <c r="D234" s="493">
        <f t="shared" ca="1" si="63"/>
        <v>43556</v>
      </c>
      <c r="E234" s="511">
        <v>20.81</v>
      </c>
      <c r="F234" s="511">
        <v>22.465</v>
      </c>
      <c r="G234" s="318"/>
      <c r="H234" s="490">
        <f t="shared" ca="1" si="54"/>
        <v>43556</v>
      </c>
      <c r="I234" s="491">
        <f t="shared" si="55"/>
        <v>3.4539999999999993</v>
      </c>
      <c r="J234" s="492">
        <f t="shared" ca="1" si="56"/>
        <v>43556</v>
      </c>
      <c r="K234" s="491">
        <f t="shared" si="57"/>
        <v>22.465</v>
      </c>
      <c r="L234" s="486"/>
      <c r="M234" s="486"/>
      <c r="N234" s="486"/>
      <c r="O234" s="486"/>
      <c r="P234" s="486"/>
      <c r="Q234" s="486"/>
      <c r="R234" s="486"/>
      <c r="S234" s="486"/>
      <c r="T234" s="486"/>
      <c r="U234" s="486"/>
      <c r="V234" s="486"/>
      <c r="W234" s="486"/>
      <c r="X234" s="486"/>
      <c r="Y234" s="486"/>
      <c r="Z234" s="486"/>
      <c r="AA234" s="486"/>
      <c r="AB234" s="486"/>
      <c r="AC234" s="486"/>
      <c r="AD234" s="486"/>
      <c r="AE234" s="486"/>
      <c r="AF234" s="486"/>
      <c r="AG234" s="486"/>
      <c r="AH234" s="486"/>
      <c r="AI234" s="486"/>
      <c r="AJ234" s="486"/>
      <c r="AK234" s="486"/>
      <c r="AL234" s="486"/>
      <c r="AM234" s="486"/>
      <c r="AN234" s="486"/>
      <c r="AO234" s="486"/>
      <c r="AP234" s="486"/>
      <c r="AQ234" s="486"/>
      <c r="AR234" s="231"/>
    </row>
    <row r="235" spans="1:44" customFormat="1" ht="11.25">
      <c r="A235" s="493">
        <f t="shared" ca="1" si="62"/>
        <v>43586</v>
      </c>
      <c r="B235" s="511">
        <v>3.4719999999999991</v>
      </c>
      <c r="C235" s="511">
        <v>3.5719999999999992</v>
      </c>
      <c r="D235" s="493">
        <f t="shared" ca="1" si="63"/>
        <v>43586</v>
      </c>
      <c r="E235" s="511">
        <v>20.826000000000001</v>
      </c>
      <c r="F235" s="511">
        <v>22.488</v>
      </c>
      <c r="G235" s="318"/>
      <c r="H235" s="490">
        <f t="shared" ca="1" si="54"/>
        <v>43586</v>
      </c>
      <c r="I235" s="491">
        <f t="shared" si="55"/>
        <v>3.5719999999999992</v>
      </c>
      <c r="J235" s="492">
        <f t="shared" ca="1" si="56"/>
        <v>43586</v>
      </c>
      <c r="K235" s="491">
        <f t="shared" si="57"/>
        <v>22.488</v>
      </c>
      <c r="L235" s="486"/>
      <c r="M235" s="486"/>
      <c r="N235" s="486"/>
      <c r="O235" s="486"/>
      <c r="P235" s="486"/>
      <c r="Q235" s="486"/>
      <c r="R235" s="486"/>
      <c r="S235" s="486"/>
      <c r="T235" s="486"/>
      <c r="U235" s="486"/>
      <c r="V235" s="486"/>
      <c r="W235" s="486"/>
      <c r="X235" s="486"/>
      <c r="Y235" s="486"/>
      <c r="Z235" s="486"/>
      <c r="AA235" s="486"/>
      <c r="AB235" s="486"/>
      <c r="AC235" s="486"/>
      <c r="AD235" s="486"/>
      <c r="AE235" s="486"/>
      <c r="AF235" s="486"/>
      <c r="AG235" s="486"/>
      <c r="AH235" s="486"/>
      <c r="AI235" s="486"/>
      <c r="AJ235" s="486"/>
      <c r="AK235" s="486"/>
      <c r="AL235" s="486"/>
      <c r="AM235" s="486"/>
      <c r="AN235" s="486"/>
      <c r="AO235" s="486"/>
      <c r="AP235" s="486"/>
      <c r="AQ235" s="486"/>
      <c r="AR235" s="231"/>
    </row>
    <row r="236" spans="1:44" customFormat="1" ht="11.25">
      <c r="A236" s="493">
        <f t="shared" ca="1" si="62"/>
        <v>43617</v>
      </c>
      <c r="B236" s="511">
        <v>3.6829999999999989</v>
      </c>
      <c r="C236" s="511">
        <v>3.782999999999999</v>
      </c>
      <c r="D236" s="493">
        <f t="shared" ca="1" si="63"/>
        <v>43617</v>
      </c>
      <c r="E236" s="511">
        <v>20.843</v>
      </c>
      <c r="F236" s="511">
        <v>22.515000000000001</v>
      </c>
      <c r="G236" s="318"/>
      <c r="H236" s="490">
        <f t="shared" ca="1" si="54"/>
        <v>43617</v>
      </c>
      <c r="I236" s="491">
        <f t="shared" si="55"/>
        <v>3.782999999999999</v>
      </c>
      <c r="J236" s="492">
        <f t="shared" ca="1" si="56"/>
        <v>43617</v>
      </c>
      <c r="K236" s="491">
        <f t="shared" si="57"/>
        <v>22.515000000000001</v>
      </c>
      <c r="L236" s="486"/>
      <c r="M236" s="486"/>
      <c r="N236" s="486"/>
      <c r="O236" s="486"/>
      <c r="P236" s="486"/>
      <c r="Q236" s="486"/>
      <c r="R236" s="486"/>
      <c r="S236" s="486"/>
      <c r="T236" s="486"/>
      <c r="U236" s="486"/>
      <c r="V236" s="486"/>
      <c r="W236" s="486"/>
      <c r="X236" s="486"/>
      <c r="Y236" s="486"/>
      <c r="Z236" s="486"/>
      <c r="AA236" s="486"/>
      <c r="AB236" s="486"/>
      <c r="AC236" s="486"/>
      <c r="AD236" s="486"/>
      <c r="AE236" s="486"/>
      <c r="AF236" s="486"/>
      <c r="AG236" s="486"/>
      <c r="AH236" s="486"/>
      <c r="AI236" s="486"/>
      <c r="AJ236" s="486"/>
      <c r="AK236" s="486"/>
      <c r="AL236" s="486"/>
      <c r="AM236" s="486"/>
      <c r="AN236" s="486"/>
      <c r="AO236" s="486"/>
      <c r="AP236" s="486"/>
      <c r="AQ236" s="486"/>
      <c r="AR236" s="231"/>
    </row>
    <row r="237" spans="1:44" customFormat="1" ht="11.25">
      <c r="A237" s="493">
        <f t="shared" ca="1" si="62"/>
        <v>43647</v>
      </c>
      <c r="B237" s="511">
        <v>3.597999999999999</v>
      </c>
      <c r="C237" s="511">
        <v>3.6979999999999991</v>
      </c>
      <c r="D237" s="493">
        <f t="shared" ca="1" si="63"/>
        <v>43647</v>
      </c>
      <c r="E237" s="511">
        <v>0</v>
      </c>
      <c r="F237" s="511">
        <v>0</v>
      </c>
      <c r="G237" s="318"/>
      <c r="H237" s="490">
        <f t="shared" ca="1" si="54"/>
        <v>43647</v>
      </c>
      <c r="I237" s="491">
        <f t="shared" si="55"/>
        <v>3.6979999999999991</v>
      </c>
      <c r="J237" s="492">
        <f t="shared" ca="1" si="56"/>
        <v>43647</v>
      </c>
      <c r="K237" s="491">
        <f t="shared" si="57"/>
        <v>0</v>
      </c>
      <c r="L237" s="486"/>
      <c r="M237" s="486"/>
      <c r="N237" s="486"/>
      <c r="O237" s="486"/>
      <c r="P237" s="486"/>
      <c r="Q237" s="486"/>
      <c r="R237" s="486"/>
      <c r="S237" s="486"/>
      <c r="T237" s="486"/>
      <c r="U237" s="486"/>
      <c r="V237" s="486"/>
      <c r="W237" s="486"/>
      <c r="X237" s="486"/>
      <c r="Y237" s="486"/>
      <c r="Z237" s="486"/>
      <c r="AA237" s="486"/>
      <c r="AB237" s="486"/>
      <c r="AC237" s="486"/>
      <c r="AD237" s="486"/>
      <c r="AE237" s="486"/>
      <c r="AF237" s="486"/>
      <c r="AG237" s="486"/>
      <c r="AH237" s="486"/>
      <c r="AI237" s="486"/>
      <c r="AJ237" s="486"/>
      <c r="AK237" s="486"/>
      <c r="AL237" s="486"/>
      <c r="AM237" s="486"/>
      <c r="AN237" s="486"/>
      <c r="AO237" s="486"/>
      <c r="AP237" s="486"/>
      <c r="AQ237" s="486"/>
      <c r="AR237" s="231"/>
    </row>
    <row r="238" spans="1:44" customFormat="1" ht="11.25">
      <c r="A238" s="493">
        <f t="shared" ca="1" si="62"/>
        <v>43678</v>
      </c>
      <c r="B238" s="511">
        <v>3.5319999999999991</v>
      </c>
      <c r="C238" s="511">
        <v>3.6319999999999992</v>
      </c>
      <c r="D238" s="493">
        <f t="shared" ca="1" si="63"/>
        <v>43678</v>
      </c>
      <c r="E238" s="511">
        <v>0</v>
      </c>
      <c r="F238" s="511">
        <v>0</v>
      </c>
      <c r="G238" s="318"/>
      <c r="H238" s="490">
        <f t="shared" ca="1" si="54"/>
        <v>43678</v>
      </c>
      <c r="I238" s="491">
        <f t="shared" si="55"/>
        <v>3.6319999999999992</v>
      </c>
      <c r="J238" s="492">
        <f t="shared" ca="1" si="56"/>
        <v>43678</v>
      </c>
      <c r="K238" s="491">
        <f t="shared" si="57"/>
        <v>0</v>
      </c>
      <c r="L238" s="486"/>
      <c r="M238" s="486"/>
      <c r="N238" s="486"/>
      <c r="O238" s="486"/>
      <c r="P238" s="486"/>
      <c r="Q238" s="486"/>
      <c r="R238" s="486"/>
      <c r="S238" s="486"/>
      <c r="T238" s="486"/>
      <c r="U238" s="486"/>
      <c r="V238" s="486"/>
      <c r="W238" s="486"/>
      <c r="X238" s="486"/>
      <c r="Y238" s="486"/>
      <c r="Z238" s="486"/>
      <c r="AA238" s="486"/>
      <c r="AB238" s="486"/>
      <c r="AC238" s="486"/>
      <c r="AD238" s="486"/>
      <c r="AE238" s="486"/>
      <c r="AF238" s="486"/>
      <c r="AG238" s="486"/>
      <c r="AH238" s="486"/>
      <c r="AI238" s="486"/>
      <c r="AJ238" s="486"/>
      <c r="AK238" s="486"/>
      <c r="AL238" s="486"/>
      <c r="AM238" s="486"/>
      <c r="AN238" s="486"/>
      <c r="AO238" s="486"/>
      <c r="AP238" s="486"/>
      <c r="AQ238" s="486"/>
      <c r="AR238" s="231"/>
    </row>
    <row r="239" spans="1:44" customFormat="1" ht="11.25">
      <c r="A239" s="493">
        <f t="shared" ca="1" si="62"/>
        <v>43709</v>
      </c>
      <c r="B239" s="511">
        <v>3.4829999999999992</v>
      </c>
      <c r="C239" s="511">
        <v>3.5829999999999993</v>
      </c>
      <c r="D239" s="493">
        <f t="shared" ca="1" si="63"/>
        <v>43709</v>
      </c>
      <c r="E239" s="511">
        <v>0</v>
      </c>
      <c r="F239" s="511">
        <v>0</v>
      </c>
      <c r="G239" s="318"/>
      <c r="H239" s="490">
        <f t="shared" ca="1" si="54"/>
        <v>43709</v>
      </c>
      <c r="I239" s="491">
        <f t="shared" si="55"/>
        <v>3.5829999999999993</v>
      </c>
      <c r="J239" s="492">
        <f t="shared" ca="1" si="56"/>
        <v>43709</v>
      </c>
      <c r="K239" s="491">
        <f t="shared" si="57"/>
        <v>0</v>
      </c>
      <c r="L239" s="486"/>
      <c r="M239" s="486"/>
      <c r="N239" s="486"/>
      <c r="O239" s="486"/>
      <c r="P239" s="486"/>
      <c r="Q239" s="486"/>
      <c r="R239" s="486"/>
      <c r="S239" s="486"/>
      <c r="T239" s="486"/>
      <c r="U239" s="486"/>
      <c r="V239" s="486"/>
      <c r="W239" s="486"/>
      <c r="X239" s="486"/>
      <c r="Y239" s="486"/>
      <c r="Z239" s="486"/>
      <c r="AA239" s="486"/>
      <c r="AB239" s="486"/>
      <c r="AC239" s="486"/>
      <c r="AD239" s="486"/>
      <c r="AE239" s="486"/>
      <c r="AF239" s="486"/>
      <c r="AG239" s="486"/>
      <c r="AH239" s="486"/>
      <c r="AI239" s="486"/>
      <c r="AJ239" s="486"/>
      <c r="AK239" s="486"/>
      <c r="AL239" s="486"/>
      <c r="AM239" s="486"/>
      <c r="AN239" s="486"/>
      <c r="AO239" s="486"/>
      <c r="AP239" s="486"/>
      <c r="AQ239" s="486"/>
      <c r="AR239" s="231"/>
    </row>
    <row r="240" spans="1:44" customFormat="1" ht="11.25">
      <c r="A240" s="493">
        <f t="shared" ca="1" si="62"/>
        <v>43739</v>
      </c>
      <c r="B240" s="511">
        <v>3.47</v>
      </c>
      <c r="C240" s="511">
        <v>3.57</v>
      </c>
      <c r="D240" s="493">
        <f t="shared" ca="1" si="63"/>
        <v>43739</v>
      </c>
      <c r="E240" s="511">
        <v>0</v>
      </c>
      <c r="F240" s="511">
        <v>0</v>
      </c>
      <c r="G240" s="318"/>
      <c r="H240" s="490">
        <f t="shared" ca="1" si="54"/>
        <v>43739</v>
      </c>
      <c r="I240" s="491">
        <f t="shared" si="55"/>
        <v>3.57</v>
      </c>
      <c r="J240" s="492">
        <f t="shared" ca="1" si="56"/>
        <v>43739</v>
      </c>
      <c r="K240" s="491">
        <f t="shared" si="57"/>
        <v>0</v>
      </c>
      <c r="L240" s="486"/>
      <c r="M240" s="486"/>
      <c r="N240" s="486"/>
      <c r="O240" s="486"/>
      <c r="P240" s="486"/>
      <c r="Q240" s="486"/>
      <c r="R240" s="486"/>
      <c r="S240" s="486"/>
      <c r="T240" s="486"/>
      <c r="U240" s="486"/>
      <c r="V240" s="486"/>
      <c r="W240" s="486"/>
      <c r="X240" s="486"/>
      <c r="Y240" s="486"/>
      <c r="Z240" s="486"/>
      <c r="AA240" s="486"/>
      <c r="AB240" s="486"/>
      <c r="AC240" s="486"/>
      <c r="AD240" s="486"/>
      <c r="AE240" s="486"/>
      <c r="AF240" s="486"/>
      <c r="AG240" s="486"/>
      <c r="AH240" s="486"/>
      <c r="AI240" s="486"/>
      <c r="AJ240" s="486"/>
      <c r="AK240" s="486"/>
      <c r="AL240" s="486"/>
      <c r="AM240" s="486"/>
      <c r="AN240" s="486"/>
      <c r="AO240" s="486"/>
      <c r="AP240" s="486"/>
      <c r="AQ240" s="486"/>
      <c r="AR240" s="231"/>
    </row>
    <row r="241" spans="1:44" customFormat="1" ht="11.25">
      <c r="A241" s="493">
        <f t="shared" ca="1" si="62"/>
        <v>43770</v>
      </c>
      <c r="B241" s="511">
        <v>3.4779999999999993</v>
      </c>
      <c r="C241" s="511">
        <v>3.5779999999999994</v>
      </c>
      <c r="D241" s="493">
        <f t="shared" ca="1" si="63"/>
        <v>43770</v>
      </c>
      <c r="E241" s="511">
        <v>0</v>
      </c>
      <c r="F241" s="511">
        <v>0</v>
      </c>
      <c r="G241" s="318"/>
      <c r="H241" s="490">
        <f t="shared" ca="1" si="54"/>
        <v>43770</v>
      </c>
      <c r="I241" s="491">
        <f t="shared" si="55"/>
        <v>3.5779999999999994</v>
      </c>
      <c r="J241" s="492">
        <f t="shared" ca="1" si="56"/>
        <v>43770</v>
      </c>
      <c r="K241" s="491">
        <f t="shared" si="57"/>
        <v>0</v>
      </c>
      <c r="L241" s="486"/>
      <c r="M241" s="486"/>
      <c r="N241" s="486"/>
      <c r="O241" s="486"/>
      <c r="P241" s="486"/>
      <c r="Q241" s="486"/>
      <c r="R241" s="486"/>
      <c r="S241" s="486"/>
      <c r="T241" s="486"/>
      <c r="U241" s="486"/>
      <c r="V241" s="486"/>
      <c r="W241" s="486"/>
      <c r="X241" s="486"/>
      <c r="Y241" s="486"/>
      <c r="Z241" s="486"/>
      <c r="AA241" s="486"/>
      <c r="AB241" s="486"/>
      <c r="AC241" s="486"/>
      <c r="AD241" s="486"/>
      <c r="AE241" s="486"/>
      <c r="AF241" s="486"/>
      <c r="AG241" s="486"/>
      <c r="AH241" s="486"/>
      <c r="AI241" s="486"/>
      <c r="AJ241" s="486"/>
      <c r="AK241" s="486"/>
      <c r="AL241" s="486"/>
      <c r="AM241" s="486"/>
      <c r="AN241" s="486"/>
      <c r="AO241" s="486"/>
      <c r="AP241" s="486"/>
      <c r="AQ241" s="486"/>
      <c r="AR241" s="231"/>
    </row>
    <row r="242" spans="1:44" customFormat="1" ht="11.25">
      <c r="A242" s="493">
        <f t="shared" ca="1" si="62"/>
        <v>43800</v>
      </c>
      <c r="B242" s="511">
        <v>3.47</v>
      </c>
      <c r="C242" s="511">
        <v>3.57</v>
      </c>
      <c r="D242" s="493">
        <f t="shared" ca="1" si="63"/>
        <v>43800</v>
      </c>
      <c r="E242" s="511">
        <v>0</v>
      </c>
      <c r="F242" s="511">
        <v>0</v>
      </c>
      <c r="G242" s="318"/>
      <c r="H242" s="490">
        <f t="shared" ca="1" si="54"/>
        <v>43800</v>
      </c>
      <c r="I242" s="491">
        <f t="shared" si="55"/>
        <v>3.57</v>
      </c>
      <c r="J242" s="492">
        <f t="shared" ca="1" si="56"/>
        <v>43800</v>
      </c>
      <c r="K242" s="491">
        <f t="shared" si="57"/>
        <v>0</v>
      </c>
      <c r="L242" s="486"/>
      <c r="M242" s="486"/>
      <c r="N242" s="486"/>
      <c r="O242" s="486"/>
      <c r="P242" s="486"/>
      <c r="Q242" s="486"/>
      <c r="R242" s="486"/>
      <c r="S242" s="486"/>
      <c r="T242" s="486"/>
      <c r="U242" s="486"/>
      <c r="V242" s="486"/>
      <c r="W242" s="486"/>
      <c r="X242" s="486"/>
      <c r="Y242" s="486"/>
      <c r="Z242" s="486"/>
      <c r="AA242" s="486"/>
      <c r="AB242" s="486"/>
      <c r="AC242" s="486"/>
      <c r="AD242" s="486"/>
      <c r="AE242" s="486"/>
      <c r="AF242" s="486"/>
      <c r="AG242" s="486"/>
      <c r="AH242" s="486"/>
      <c r="AI242" s="486"/>
      <c r="AJ242" s="486"/>
      <c r="AK242" s="486"/>
      <c r="AL242" s="486"/>
      <c r="AM242" s="486"/>
      <c r="AN242" s="486"/>
      <c r="AO242" s="486"/>
      <c r="AP242" s="486"/>
      <c r="AQ242" s="486"/>
      <c r="AR242" s="231"/>
    </row>
    <row r="243" spans="1:44" customFormat="1" ht="11.25">
      <c r="A243" s="493">
        <f t="shared" ca="1" si="62"/>
        <v>43831</v>
      </c>
      <c r="B243" s="511">
        <v>3.47</v>
      </c>
      <c r="C243" s="511">
        <v>3.57</v>
      </c>
      <c r="D243" s="493">
        <f t="shared" ca="1" si="63"/>
        <v>43831</v>
      </c>
      <c r="E243" s="511">
        <v>0</v>
      </c>
      <c r="F243" s="511">
        <v>0</v>
      </c>
      <c r="G243" s="318"/>
      <c r="H243" s="490">
        <f t="shared" ca="1" si="54"/>
        <v>43831</v>
      </c>
      <c r="I243" s="491">
        <f t="shared" si="55"/>
        <v>3.57</v>
      </c>
      <c r="J243" s="492">
        <f t="shared" ca="1" si="56"/>
        <v>43831</v>
      </c>
      <c r="K243" s="491">
        <f t="shared" si="57"/>
        <v>0</v>
      </c>
      <c r="L243" s="486"/>
      <c r="M243" s="486"/>
      <c r="N243" s="486"/>
      <c r="O243" s="486"/>
      <c r="P243" s="486"/>
      <c r="Q243" s="486"/>
      <c r="R243" s="486"/>
      <c r="S243" s="486"/>
      <c r="T243" s="486"/>
      <c r="U243" s="486"/>
      <c r="V243" s="486"/>
      <c r="W243" s="486"/>
      <c r="X243" s="486"/>
      <c r="Y243" s="486"/>
      <c r="Z243" s="486"/>
      <c r="AA243" s="486"/>
      <c r="AB243" s="486"/>
      <c r="AC243" s="486"/>
      <c r="AD243" s="486"/>
      <c r="AE243" s="486"/>
      <c r="AF243" s="486"/>
      <c r="AG243" s="486"/>
      <c r="AH243" s="486"/>
      <c r="AI243" s="486"/>
      <c r="AJ243" s="486"/>
      <c r="AK243" s="486"/>
      <c r="AL243" s="486"/>
      <c r="AM243" s="486"/>
      <c r="AN243" s="486"/>
      <c r="AO243" s="486"/>
      <c r="AP243" s="486"/>
      <c r="AQ243" s="486"/>
      <c r="AR243" s="231"/>
    </row>
    <row r="244" spans="1:44" customFormat="1" ht="11.25">
      <c r="A244" s="493">
        <f t="shared" ca="1" si="62"/>
        <v>43862</v>
      </c>
      <c r="B244" s="511">
        <v>3.47</v>
      </c>
      <c r="C244" s="511">
        <v>3.57</v>
      </c>
      <c r="D244" s="493">
        <f t="shared" ca="1" si="63"/>
        <v>43862</v>
      </c>
      <c r="E244" s="511">
        <v>0</v>
      </c>
      <c r="F244" s="511">
        <v>0</v>
      </c>
      <c r="G244" s="318"/>
      <c r="H244" s="490">
        <f t="shared" ca="1" si="54"/>
        <v>43862</v>
      </c>
      <c r="I244" s="491">
        <f t="shared" si="55"/>
        <v>3.57</v>
      </c>
      <c r="J244" s="492">
        <f t="shared" ca="1" si="56"/>
        <v>43862</v>
      </c>
      <c r="K244" s="491">
        <f t="shared" si="57"/>
        <v>0</v>
      </c>
      <c r="L244" s="486"/>
      <c r="M244" s="486"/>
      <c r="N244" s="486"/>
      <c r="O244" s="486"/>
      <c r="P244" s="486"/>
      <c r="Q244" s="486"/>
      <c r="R244" s="486"/>
      <c r="S244" s="486"/>
      <c r="T244" s="486"/>
      <c r="U244" s="486"/>
      <c r="V244" s="486"/>
      <c r="W244" s="486"/>
      <c r="X244" s="486"/>
      <c r="Y244" s="486"/>
      <c r="Z244" s="486"/>
      <c r="AA244" s="486"/>
      <c r="AB244" s="486"/>
      <c r="AC244" s="486"/>
      <c r="AD244" s="486"/>
      <c r="AE244" s="486"/>
      <c r="AF244" s="486"/>
      <c r="AG244" s="486"/>
      <c r="AH244" s="486"/>
      <c r="AI244" s="486"/>
      <c r="AJ244" s="486"/>
      <c r="AK244" s="486"/>
      <c r="AL244" s="486"/>
      <c r="AM244" s="486"/>
      <c r="AN244" s="486"/>
      <c r="AO244" s="486"/>
      <c r="AP244" s="486"/>
      <c r="AQ244" s="486"/>
      <c r="AR244" s="231"/>
    </row>
    <row r="245" spans="1:44" customFormat="1" ht="11.25">
      <c r="A245" s="493">
        <f t="shared" ca="1" si="62"/>
        <v>43891</v>
      </c>
      <c r="B245" s="511">
        <v>3.47</v>
      </c>
      <c r="C245" s="511">
        <v>3.57</v>
      </c>
      <c r="D245" s="493">
        <f t="shared" ca="1" si="63"/>
        <v>43891</v>
      </c>
      <c r="E245" s="511">
        <v>0</v>
      </c>
      <c r="F245" s="511">
        <v>0</v>
      </c>
      <c r="G245" s="318"/>
      <c r="H245" s="490">
        <f t="shared" ca="1" si="54"/>
        <v>43891</v>
      </c>
      <c r="I245" s="491">
        <f t="shared" si="55"/>
        <v>3.57</v>
      </c>
      <c r="J245" s="492">
        <f t="shared" ca="1" si="56"/>
        <v>43891</v>
      </c>
      <c r="K245" s="491">
        <f t="shared" si="57"/>
        <v>0</v>
      </c>
      <c r="L245" s="486"/>
      <c r="M245" s="486"/>
      <c r="N245" s="486"/>
      <c r="O245" s="486"/>
      <c r="P245" s="486"/>
      <c r="Q245" s="486"/>
      <c r="R245" s="486"/>
      <c r="S245" s="486"/>
      <c r="T245" s="486"/>
      <c r="U245" s="486"/>
      <c r="V245" s="486"/>
      <c r="W245" s="486"/>
      <c r="X245" s="486"/>
      <c r="Y245" s="486"/>
      <c r="Z245" s="486"/>
      <c r="AA245" s="486"/>
      <c r="AB245" s="486"/>
      <c r="AC245" s="486"/>
      <c r="AD245" s="486"/>
      <c r="AE245" s="486"/>
      <c r="AF245" s="486"/>
      <c r="AG245" s="486"/>
      <c r="AH245" s="486"/>
      <c r="AI245" s="486"/>
      <c r="AJ245" s="486"/>
      <c r="AK245" s="486"/>
      <c r="AL245" s="486"/>
      <c r="AM245" s="486"/>
      <c r="AN245" s="486"/>
      <c r="AO245" s="486"/>
      <c r="AP245" s="486"/>
      <c r="AQ245" s="486"/>
      <c r="AR245" s="231"/>
    </row>
    <row r="246" spans="1:44" customFormat="1" ht="11.25">
      <c r="A246" s="493">
        <f t="shared" ca="1" si="62"/>
        <v>43922</v>
      </c>
      <c r="B246" s="511">
        <v>3.5439999999999992</v>
      </c>
      <c r="C246" s="511">
        <v>3.6439999999999992</v>
      </c>
      <c r="D246" s="493">
        <f t="shared" ca="1" si="63"/>
        <v>43922</v>
      </c>
      <c r="E246" s="511">
        <v>0</v>
      </c>
      <c r="F246" s="511">
        <v>0</v>
      </c>
      <c r="G246" s="318"/>
      <c r="H246" s="490">
        <f t="shared" ca="1" si="54"/>
        <v>43922</v>
      </c>
      <c r="I246" s="491">
        <f t="shared" si="55"/>
        <v>3.6439999999999992</v>
      </c>
      <c r="J246" s="492">
        <f t="shared" ca="1" si="56"/>
        <v>43922</v>
      </c>
      <c r="K246" s="491">
        <f t="shared" si="57"/>
        <v>0</v>
      </c>
      <c r="L246" s="486"/>
      <c r="M246" s="486"/>
      <c r="N246" s="486"/>
      <c r="O246" s="486"/>
      <c r="P246" s="486"/>
      <c r="Q246" s="486"/>
      <c r="R246" s="486"/>
      <c r="S246" s="486"/>
      <c r="T246" s="486"/>
      <c r="U246" s="486"/>
      <c r="V246" s="486"/>
      <c r="W246" s="486"/>
      <c r="X246" s="486"/>
      <c r="Y246" s="486"/>
      <c r="Z246" s="486"/>
      <c r="AA246" s="486"/>
      <c r="AB246" s="486"/>
      <c r="AC246" s="486"/>
      <c r="AD246" s="486"/>
      <c r="AE246" s="486"/>
      <c r="AF246" s="486"/>
      <c r="AG246" s="486"/>
      <c r="AH246" s="486"/>
      <c r="AI246" s="486"/>
      <c r="AJ246" s="486"/>
      <c r="AK246" s="486"/>
      <c r="AL246" s="486"/>
      <c r="AM246" s="486"/>
      <c r="AN246" s="486"/>
      <c r="AO246" s="486"/>
      <c r="AP246" s="486"/>
      <c r="AQ246" s="486"/>
      <c r="AR246" s="231"/>
    </row>
    <row r="247" spans="1:44" customFormat="1" ht="11.25">
      <c r="A247" s="493">
        <f t="shared" ref="A247:A262" ca="1" si="64">DATE(YEAR(A246),MONTH(A246)+1,1)</f>
        <v>43952</v>
      </c>
      <c r="B247" s="511">
        <v>3.661999999999999</v>
      </c>
      <c r="C247" s="511">
        <v>3.7619999999999991</v>
      </c>
      <c r="D247" s="493">
        <f t="shared" ref="D247:D262" ca="1" si="65">DATE(YEAR(D246),MONTH(D246)+1,1)</f>
        <v>43952</v>
      </c>
      <c r="E247" s="511">
        <v>0</v>
      </c>
      <c r="F247" s="511">
        <v>0</v>
      </c>
      <c r="G247" s="318"/>
      <c r="H247" s="490">
        <f t="shared" ca="1" si="54"/>
        <v>43952</v>
      </c>
      <c r="I247" s="491">
        <f t="shared" si="55"/>
        <v>3.7619999999999991</v>
      </c>
      <c r="J247" s="492">
        <f t="shared" ca="1" si="56"/>
        <v>43952</v>
      </c>
      <c r="K247" s="491">
        <f t="shared" si="57"/>
        <v>0</v>
      </c>
      <c r="L247" s="486"/>
      <c r="M247" s="486"/>
      <c r="N247" s="486"/>
      <c r="O247" s="486"/>
      <c r="P247" s="486"/>
      <c r="Q247" s="486"/>
      <c r="R247" s="486"/>
      <c r="S247" s="486"/>
      <c r="T247" s="486"/>
      <c r="U247" s="486"/>
      <c r="V247" s="486"/>
      <c r="W247" s="486"/>
      <c r="X247" s="486"/>
      <c r="Y247" s="486"/>
      <c r="Z247" s="486"/>
      <c r="AA247" s="486"/>
      <c r="AB247" s="486"/>
      <c r="AC247" s="486"/>
      <c r="AD247" s="486"/>
      <c r="AE247" s="486"/>
      <c r="AF247" s="486"/>
      <c r="AG247" s="486"/>
      <c r="AH247" s="486"/>
      <c r="AI247" s="486"/>
      <c r="AJ247" s="486"/>
      <c r="AK247" s="486"/>
      <c r="AL247" s="486"/>
      <c r="AM247" s="486"/>
      <c r="AN247" s="486"/>
      <c r="AO247" s="486"/>
      <c r="AP247" s="486"/>
      <c r="AQ247" s="486"/>
      <c r="AR247" s="231"/>
    </row>
    <row r="248" spans="1:44" customFormat="1" ht="11.25">
      <c r="A248" s="493">
        <f t="shared" ca="1" si="64"/>
        <v>43983</v>
      </c>
      <c r="B248" s="511">
        <v>3.827999999999999</v>
      </c>
      <c r="C248" s="511">
        <v>3.927999999999999</v>
      </c>
      <c r="D248" s="493">
        <f t="shared" ca="1" si="65"/>
        <v>43983</v>
      </c>
      <c r="E248" s="511">
        <v>0</v>
      </c>
      <c r="F248" s="511">
        <v>0</v>
      </c>
      <c r="G248" s="318"/>
      <c r="H248" s="490">
        <f t="shared" ca="1" si="54"/>
        <v>43983</v>
      </c>
      <c r="I248" s="491">
        <f t="shared" si="55"/>
        <v>3.927999999999999</v>
      </c>
      <c r="J248" s="492">
        <f t="shared" ca="1" si="56"/>
        <v>43983</v>
      </c>
      <c r="K248" s="491">
        <f t="shared" si="57"/>
        <v>0</v>
      </c>
      <c r="L248" s="486"/>
      <c r="M248" s="486"/>
      <c r="N248" s="486"/>
      <c r="O248" s="486"/>
      <c r="P248" s="486"/>
      <c r="Q248" s="486"/>
      <c r="R248" s="486"/>
      <c r="S248" s="486"/>
      <c r="T248" s="486"/>
      <c r="U248" s="486"/>
      <c r="V248" s="486"/>
      <c r="W248" s="486"/>
      <c r="X248" s="486"/>
      <c r="Y248" s="486"/>
      <c r="Z248" s="486"/>
      <c r="AA248" s="486"/>
      <c r="AB248" s="486"/>
      <c r="AC248" s="486"/>
      <c r="AD248" s="486"/>
      <c r="AE248" s="486"/>
      <c r="AF248" s="486"/>
      <c r="AG248" s="486"/>
      <c r="AH248" s="486"/>
      <c r="AI248" s="486"/>
      <c r="AJ248" s="486"/>
      <c r="AK248" s="486"/>
      <c r="AL248" s="486"/>
      <c r="AM248" s="486"/>
      <c r="AN248" s="486"/>
      <c r="AO248" s="486"/>
      <c r="AP248" s="486"/>
      <c r="AQ248" s="486"/>
      <c r="AR248" s="231"/>
    </row>
    <row r="249" spans="1:44" customFormat="1" ht="11.25">
      <c r="A249" s="493">
        <f t="shared" ca="1" si="64"/>
        <v>44013</v>
      </c>
      <c r="B249" s="511">
        <v>3.742999999999999</v>
      </c>
      <c r="C249" s="511">
        <v>3.8429999999999991</v>
      </c>
      <c r="D249" s="493">
        <f t="shared" ca="1" si="65"/>
        <v>44013</v>
      </c>
      <c r="E249" s="511">
        <v>0</v>
      </c>
      <c r="F249" s="511">
        <v>0</v>
      </c>
      <c r="G249" s="318"/>
      <c r="H249" s="490">
        <f t="shared" ca="1" si="54"/>
        <v>44013</v>
      </c>
      <c r="I249" s="491">
        <f t="shared" si="55"/>
        <v>3.8429999999999991</v>
      </c>
      <c r="J249" s="490"/>
      <c r="K249" s="491"/>
      <c r="L249" s="486"/>
      <c r="M249" s="486"/>
      <c r="N249" s="486"/>
      <c r="O249" s="486"/>
      <c r="P249" s="486"/>
      <c r="Q249" s="486"/>
      <c r="R249" s="486"/>
      <c r="S249" s="486"/>
      <c r="T249" s="486"/>
      <c r="U249" s="486"/>
      <c r="V249" s="486"/>
      <c r="W249" s="486"/>
      <c r="X249" s="486"/>
      <c r="Y249" s="486"/>
      <c r="Z249" s="486"/>
      <c r="AA249" s="486"/>
      <c r="AB249" s="486"/>
      <c r="AC249" s="486"/>
      <c r="AD249" s="486"/>
      <c r="AE249" s="486"/>
      <c r="AF249" s="486"/>
      <c r="AG249" s="486"/>
      <c r="AH249" s="486"/>
      <c r="AI249" s="486"/>
      <c r="AJ249" s="486"/>
      <c r="AK249" s="486"/>
      <c r="AL249" s="486"/>
      <c r="AM249" s="486"/>
      <c r="AN249" s="486"/>
      <c r="AO249" s="486"/>
      <c r="AP249" s="486"/>
      <c r="AQ249" s="486"/>
      <c r="AR249" s="231"/>
    </row>
    <row r="250" spans="1:44" customFormat="1" ht="11.25">
      <c r="A250" s="493">
        <f t="shared" ca="1" si="64"/>
        <v>44044</v>
      </c>
      <c r="B250" s="511">
        <v>3.6769999999999992</v>
      </c>
      <c r="C250" s="511">
        <v>3.7769999999999992</v>
      </c>
      <c r="D250" s="493">
        <f t="shared" ca="1" si="65"/>
        <v>44044</v>
      </c>
      <c r="E250" s="511">
        <v>0</v>
      </c>
      <c r="F250" s="511">
        <v>0</v>
      </c>
      <c r="G250" s="318"/>
      <c r="H250" s="490">
        <f t="shared" ca="1" si="54"/>
        <v>44044</v>
      </c>
      <c r="I250" s="491">
        <f t="shared" si="55"/>
        <v>3.7769999999999992</v>
      </c>
      <c r="J250" s="490"/>
      <c r="K250" s="491"/>
      <c r="L250" s="486"/>
      <c r="M250" s="486"/>
      <c r="N250" s="486"/>
      <c r="O250" s="486"/>
      <c r="P250" s="486"/>
      <c r="Q250" s="486"/>
      <c r="R250" s="486"/>
      <c r="S250" s="486"/>
      <c r="T250" s="486"/>
      <c r="U250" s="486"/>
      <c r="V250" s="486"/>
      <c r="W250" s="486"/>
      <c r="X250" s="486"/>
      <c r="Y250" s="486"/>
      <c r="Z250" s="486"/>
      <c r="AA250" s="486"/>
      <c r="AB250" s="486"/>
      <c r="AC250" s="486"/>
      <c r="AD250" s="486"/>
      <c r="AE250" s="486"/>
      <c r="AF250" s="486"/>
      <c r="AG250" s="486"/>
      <c r="AH250" s="486"/>
      <c r="AI250" s="486"/>
      <c r="AJ250" s="486"/>
      <c r="AK250" s="486"/>
      <c r="AL250" s="486"/>
      <c r="AM250" s="486"/>
      <c r="AN250" s="486"/>
      <c r="AO250" s="486"/>
      <c r="AP250" s="486"/>
      <c r="AQ250" s="486"/>
      <c r="AR250" s="231"/>
    </row>
    <row r="251" spans="1:44" customFormat="1" ht="11.25">
      <c r="A251" s="493">
        <f t="shared" ca="1" si="64"/>
        <v>44075</v>
      </c>
      <c r="B251" s="511">
        <v>3.6279999999999992</v>
      </c>
      <c r="C251" s="511">
        <v>3.7279999999999993</v>
      </c>
      <c r="D251" s="493">
        <f t="shared" ca="1" si="65"/>
        <v>44075</v>
      </c>
      <c r="E251" s="511">
        <v>0</v>
      </c>
      <c r="F251" s="511">
        <v>0</v>
      </c>
      <c r="G251" s="318"/>
      <c r="H251" s="490">
        <f t="shared" ca="1" si="54"/>
        <v>44075</v>
      </c>
      <c r="I251" s="491">
        <f t="shared" si="55"/>
        <v>3.7279999999999993</v>
      </c>
      <c r="J251" s="490"/>
      <c r="K251" s="491"/>
      <c r="L251" s="486"/>
      <c r="M251" s="486"/>
      <c r="N251" s="486"/>
      <c r="O251" s="486"/>
      <c r="P251" s="486"/>
      <c r="Q251" s="486"/>
      <c r="R251" s="486"/>
      <c r="S251" s="486"/>
      <c r="T251" s="486"/>
      <c r="U251" s="486"/>
      <c r="V251" s="486"/>
      <c r="W251" s="486"/>
      <c r="X251" s="486"/>
      <c r="Y251" s="486"/>
      <c r="Z251" s="486"/>
      <c r="AA251" s="486"/>
      <c r="AB251" s="486"/>
      <c r="AC251" s="486"/>
      <c r="AD251" s="486"/>
      <c r="AE251" s="486"/>
      <c r="AF251" s="486"/>
      <c r="AG251" s="486"/>
      <c r="AH251" s="486"/>
      <c r="AI251" s="486"/>
      <c r="AJ251" s="486"/>
      <c r="AK251" s="486"/>
      <c r="AL251" s="486"/>
      <c r="AM251" s="486"/>
      <c r="AN251" s="486"/>
      <c r="AO251" s="486"/>
      <c r="AP251" s="486"/>
      <c r="AQ251" s="486"/>
      <c r="AR251" s="231"/>
    </row>
    <row r="252" spans="1:44" customFormat="1" ht="11.25">
      <c r="A252" s="493">
        <f t="shared" ca="1" si="64"/>
        <v>44105</v>
      </c>
      <c r="B252" s="511">
        <v>3.6150000000000002</v>
      </c>
      <c r="C252" s="511">
        <v>3.7149999999999999</v>
      </c>
      <c r="D252" s="493">
        <f t="shared" ca="1" si="65"/>
        <v>44105</v>
      </c>
      <c r="E252" s="511">
        <v>0</v>
      </c>
      <c r="F252" s="511">
        <v>0</v>
      </c>
      <c r="G252" s="318"/>
      <c r="H252" s="490">
        <f t="shared" ca="1" si="54"/>
        <v>44105</v>
      </c>
      <c r="I252" s="491">
        <f t="shared" si="55"/>
        <v>3.7149999999999999</v>
      </c>
      <c r="J252" s="490"/>
      <c r="K252" s="491"/>
      <c r="L252" s="486"/>
      <c r="M252" s="486"/>
      <c r="N252" s="486"/>
      <c r="O252" s="486"/>
      <c r="P252" s="486"/>
      <c r="Q252" s="486"/>
      <c r="R252" s="486"/>
      <c r="S252" s="486"/>
      <c r="T252" s="486"/>
      <c r="U252" s="486"/>
      <c r="V252" s="486"/>
      <c r="W252" s="486"/>
      <c r="X252" s="486"/>
      <c r="Y252" s="486"/>
      <c r="Z252" s="486"/>
      <c r="AA252" s="486"/>
      <c r="AB252" s="486"/>
      <c r="AC252" s="486"/>
      <c r="AD252" s="486"/>
      <c r="AE252" s="486"/>
      <c r="AF252" s="486"/>
      <c r="AG252" s="486"/>
      <c r="AH252" s="486"/>
      <c r="AI252" s="486"/>
      <c r="AJ252" s="486"/>
      <c r="AK252" s="486"/>
      <c r="AL252" s="486"/>
      <c r="AM252" s="486"/>
      <c r="AN252" s="486"/>
      <c r="AO252" s="486"/>
      <c r="AP252" s="486"/>
      <c r="AQ252" s="486"/>
      <c r="AR252" s="231"/>
    </row>
    <row r="253" spans="1:44" customFormat="1" ht="11.25">
      <c r="A253" s="493">
        <f t="shared" ca="1" si="64"/>
        <v>44136</v>
      </c>
      <c r="B253" s="511">
        <v>3.6229999999999993</v>
      </c>
      <c r="C253" s="511">
        <v>3.7229999999999994</v>
      </c>
      <c r="D253" s="493">
        <f t="shared" ca="1" si="65"/>
        <v>44136</v>
      </c>
      <c r="E253" s="511">
        <v>0</v>
      </c>
      <c r="F253" s="511">
        <v>0</v>
      </c>
      <c r="G253" s="318"/>
      <c r="H253" s="490">
        <f t="shared" ca="1" si="54"/>
        <v>44136</v>
      </c>
      <c r="I253" s="491">
        <f t="shared" si="55"/>
        <v>3.7229999999999994</v>
      </c>
      <c r="J253" s="490"/>
      <c r="K253" s="491"/>
      <c r="L253" s="486"/>
      <c r="M253" s="486"/>
      <c r="N253" s="486"/>
      <c r="O253" s="486"/>
      <c r="P253" s="486"/>
      <c r="Q253" s="486"/>
      <c r="R253" s="486"/>
      <c r="S253" s="486"/>
      <c r="T253" s="486"/>
      <c r="U253" s="486"/>
      <c r="V253" s="486"/>
      <c r="W253" s="486"/>
      <c r="X253" s="486"/>
      <c r="Y253" s="486"/>
      <c r="Z253" s="486"/>
      <c r="AA253" s="486"/>
      <c r="AB253" s="486"/>
      <c r="AC253" s="486"/>
      <c r="AD253" s="486"/>
      <c r="AE253" s="486"/>
      <c r="AF253" s="486"/>
      <c r="AG253" s="486"/>
      <c r="AH253" s="486"/>
      <c r="AI253" s="486"/>
      <c r="AJ253" s="486"/>
      <c r="AK253" s="486"/>
      <c r="AL253" s="486"/>
      <c r="AM253" s="486"/>
      <c r="AN253" s="486"/>
      <c r="AO253" s="486"/>
      <c r="AP253" s="486"/>
      <c r="AQ253" s="486"/>
      <c r="AR253" s="231"/>
    </row>
    <row r="254" spans="1:44" customFormat="1" ht="11.25">
      <c r="A254" s="493">
        <f t="shared" ca="1" si="64"/>
        <v>44166</v>
      </c>
      <c r="B254" s="511">
        <v>3.6150000000000002</v>
      </c>
      <c r="C254" s="511">
        <v>3.7149999999999999</v>
      </c>
      <c r="D254" s="493">
        <f t="shared" ca="1" si="65"/>
        <v>44166</v>
      </c>
      <c r="E254" s="511">
        <v>0</v>
      </c>
      <c r="F254" s="511">
        <v>0</v>
      </c>
      <c r="G254" s="318"/>
      <c r="H254" s="490">
        <f t="shared" ca="1" si="54"/>
        <v>44166</v>
      </c>
      <c r="I254" s="491">
        <f t="shared" si="55"/>
        <v>3.7149999999999999</v>
      </c>
      <c r="J254" s="490"/>
      <c r="K254" s="491"/>
      <c r="L254" s="486"/>
      <c r="M254" s="486"/>
      <c r="N254" s="486"/>
      <c r="O254" s="486"/>
      <c r="P254" s="486"/>
      <c r="Q254" s="486"/>
      <c r="R254" s="486"/>
      <c r="S254" s="486"/>
      <c r="T254" s="486"/>
      <c r="U254" s="486"/>
      <c r="V254" s="486"/>
      <c r="W254" s="486"/>
      <c r="X254" s="486"/>
      <c r="Y254" s="486"/>
      <c r="Z254" s="486"/>
      <c r="AA254" s="486"/>
      <c r="AB254" s="486"/>
      <c r="AC254" s="486"/>
      <c r="AD254" s="486"/>
      <c r="AE254" s="486"/>
      <c r="AF254" s="486"/>
      <c r="AG254" s="486"/>
      <c r="AH254" s="486"/>
      <c r="AI254" s="486"/>
      <c r="AJ254" s="486"/>
      <c r="AK254" s="486"/>
      <c r="AL254" s="486"/>
      <c r="AM254" s="486"/>
      <c r="AN254" s="486"/>
      <c r="AO254" s="486"/>
      <c r="AP254" s="486"/>
      <c r="AQ254" s="486"/>
      <c r="AR254" s="231"/>
    </row>
    <row r="255" spans="1:44" customFormat="1" ht="11.25">
      <c r="A255" s="493">
        <f t="shared" ca="1" si="64"/>
        <v>44197</v>
      </c>
      <c r="B255" s="511">
        <v>3.6150000000000002</v>
      </c>
      <c r="C255" s="511">
        <v>3.7149999999999999</v>
      </c>
      <c r="D255" s="493">
        <f t="shared" ca="1" si="65"/>
        <v>44197</v>
      </c>
      <c r="E255" s="511">
        <v>0</v>
      </c>
      <c r="F255" s="511">
        <v>0</v>
      </c>
      <c r="G255" s="318"/>
      <c r="H255" s="490">
        <f t="shared" ca="1" si="54"/>
        <v>44197</v>
      </c>
      <c r="I255" s="491">
        <f t="shared" si="55"/>
        <v>3.7149999999999999</v>
      </c>
      <c r="J255" s="490"/>
      <c r="K255" s="491"/>
      <c r="L255" s="486"/>
      <c r="M255" s="486"/>
      <c r="N255" s="486"/>
      <c r="O255" s="486"/>
      <c r="P255" s="486"/>
      <c r="Q255" s="486"/>
      <c r="R255" s="486"/>
      <c r="S255" s="486"/>
      <c r="T255" s="486"/>
      <c r="U255" s="486"/>
      <c r="V255" s="486"/>
      <c r="W255" s="486"/>
      <c r="X255" s="486"/>
      <c r="Y255" s="486"/>
      <c r="Z255" s="486"/>
      <c r="AA255" s="486"/>
      <c r="AB255" s="486"/>
      <c r="AC255" s="486"/>
      <c r="AD255" s="486"/>
      <c r="AE255" s="486"/>
      <c r="AF255" s="486"/>
      <c r="AG255" s="486"/>
      <c r="AH255" s="486"/>
      <c r="AI255" s="486"/>
      <c r="AJ255" s="486"/>
      <c r="AK255" s="486"/>
      <c r="AL255" s="486"/>
      <c r="AM255" s="486"/>
      <c r="AN255" s="486"/>
      <c r="AO255" s="486"/>
      <c r="AP255" s="486"/>
      <c r="AQ255" s="486"/>
      <c r="AR255" s="231"/>
    </row>
    <row r="256" spans="1:44" customFormat="1" ht="11.25">
      <c r="A256" s="493">
        <f t="shared" ca="1" si="64"/>
        <v>44228</v>
      </c>
      <c r="B256" s="511">
        <v>3.6150000000000002</v>
      </c>
      <c r="C256" s="511">
        <v>3.7149999999999999</v>
      </c>
      <c r="D256" s="493">
        <f t="shared" ca="1" si="65"/>
        <v>44228</v>
      </c>
      <c r="E256" s="511">
        <v>0</v>
      </c>
      <c r="F256" s="511">
        <v>0</v>
      </c>
      <c r="G256" s="318"/>
      <c r="H256" s="490">
        <f t="shared" ca="1" si="54"/>
        <v>44228</v>
      </c>
      <c r="I256" s="491">
        <f t="shared" si="55"/>
        <v>3.7149999999999999</v>
      </c>
      <c r="J256" s="490"/>
      <c r="K256" s="491"/>
      <c r="L256" s="486"/>
      <c r="M256" s="486"/>
      <c r="N256" s="486"/>
      <c r="O256" s="486"/>
      <c r="P256" s="486"/>
      <c r="Q256" s="486"/>
      <c r="R256" s="486"/>
      <c r="S256" s="486"/>
      <c r="T256" s="486"/>
      <c r="U256" s="486"/>
      <c r="V256" s="486"/>
      <c r="W256" s="486"/>
      <c r="X256" s="486"/>
      <c r="Y256" s="486"/>
      <c r="Z256" s="486"/>
      <c r="AA256" s="486"/>
      <c r="AB256" s="486"/>
      <c r="AC256" s="486"/>
      <c r="AD256" s="486"/>
      <c r="AE256" s="486"/>
      <c r="AF256" s="486"/>
      <c r="AG256" s="486"/>
      <c r="AH256" s="486"/>
      <c r="AI256" s="486"/>
      <c r="AJ256" s="486"/>
      <c r="AK256" s="486"/>
      <c r="AL256" s="486"/>
      <c r="AM256" s="486"/>
      <c r="AN256" s="486"/>
      <c r="AO256" s="486"/>
      <c r="AP256" s="486"/>
      <c r="AQ256" s="486"/>
      <c r="AR256" s="231"/>
    </row>
    <row r="257" spans="1:44" customFormat="1" ht="11.25">
      <c r="A257" s="493">
        <f t="shared" ca="1" si="64"/>
        <v>44256</v>
      </c>
      <c r="B257" s="511">
        <v>3.6150000000000002</v>
      </c>
      <c r="C257" s="511">
        <v>3.7149999999999999</v>
      </c>
      <c r="D257" s="493">
        <f t="shared" ca="1" si="65"/>
        <v>44256</v>
      </c>
      <c r="E257" s="511">
        <v>0</v>
      </c>
      <c r="F257" s="511">
        <v>0</v>
      </c>
      <c r="G257" s="318"/>
      <c r="H257" s="490">
        <f t="shared" ca="1" si="54"/>
        <v>44256</v>
      </c>
      <c r="I257" s="491">
        <f t="shared" si="55"/>
        <v>3.7149999999999999</v>
      </c>
      <c r="J257" s="490"/>
      <c r="K257" s="491"/>
      <c r="L257" s="486"/>
      <c r="M257" s="486"/>
      <c r="N257" s="486"/>
      <c r="O257" s="486"/>
      <c r="P257" s="486"/>
      <c r="Q257" s="486"/>
      <c r="R257" s="486"/>
      <c r="S257" s="486"/>
      <c r="T257" s="486"/>
      <c r="U257" s="486"/>
      <c r="V257" s="486"/>
      <c r="W257" s="486"/>
      <c r="X257" s="486"/>
      <c r="Y257" s="486"/>
      <c r="Z257" s="486"/>
      <c r="AA257" s="486"/>
      <c r="AB257" s="486"/>
      <c r="AC257" s="486"/>
      <c r="AD257" s="486"/>
      <c r="AE257" s="486"/>
      <c r="AF257" s="486"/>
      <c r="AG257" s="486"/>
      <c r="AH257" s="486"/>
      <c r="AI257" s="486"/>
      <c r="AJ257" s="486"/>
      <c r="AK257" s="486"/>
      <c r="AL257" s="486"/>
      <c r="AM257" s="486"/>
      <c r="AN257" s="486"/>
      <c r="AO257" s="486"/>
      <c r="AP257" s="486"/>
      <c r="AQ257" s="486"/>
      <c r="AR257" s="231"/>
    </row>
    <row r="258" spans="1:44" customFormat="1" ht="11.25">
      <c r="A258" s="493">
        <f t="shared" ca="1" si="64"/>
        <v>44287</v>
      </c>
      <c r="B258" s="511">
        <v>3.6889999999999992</v>
      </c>
      <c r="C258" s="511">
        <v>3.7889999999999993</v>
      </c>
      <c r="D258" s="493">
        <f t="shared" ca="1" si="65"/>
        <v>44287</v>
      </c>
      <c r="E258" s="511">
        <v>0</v>
      </c>
      <c r="F258" s="511">
        <v>0</v>
      </c>
      <c r="G258" s="318"/>
      <c r="H258" s="490">
        <f t="shared" ca="1" si="54"/>
        <v>44287</v>
      </c>
      <c r="I258" s="491">
        <f t="shared" si="55"/>
        <v>3.7889999999999993</v>
      </c>
      <c r="J258" s="490"/>
      <c r="K258" s="491"/>
      <c r="L258" s="486"/>
      <c r="M258" s="486"/>
      <c r="N258" s="486"/>
      <c r="O258" s="486"/>
      <c r="P258" s="486"/>
      <c r="Q258" s="486"/>
      <c r="R258" s="486"/>
      <c r="S258" s="486"/>
      <c r="T258" s="486"/>
      <c r="U258" s="486"/>
      <c r="V258" s="486"/>
      <c r="W258" s="486"/>
      <c r="X258" s="486"/>
      <c r="Y258" s="486"/>
      <c r="Z258" s="486"/>
      <c r="AA258" s="486"/>
      <c r="AB258" s="486"/>
      <c r="AC258" s="486"/>
      <c r="AD258" s="486"/>
      <c r="AE258" s="486"/>
      <c r="AF258" s="486"/>
      <c r="AG258" s="486"/>
      <c r="AH258" s="486"/>
      <c r="AI258" s="486"/>
      <c r="AJ258" s="486"/>
      <c r="AK258" s="486"/>
      <c r="AL258" s="486"/>
      <c r="AM258" s="486"/>
      <c r="AN258" s="486"/>
      <c r="AO258" s="486"/>
      <c r="AP258" s="486"/>
      <c r="AQ258" s="486"/>
      <c r="AR258" s="231"/>
    </row>
    <row r="259" spans="1:44" customFormat="1" ht="11.25">
      <c r="A259" s="493">
        <f t="shared" ca="1" si="64"/>
        <v>44317</v>
      </c>
      <c r="B259" s="511">
        <v>3.8069999999999991</v>
      </c>
      <c r="C259" s="511">
        <v>3.9069999999999991</v>
      </c>
      <c r="D259" s="493">
        <f t="shared" ca="1" si="65"/>
        <v>44317</v>
      </c>
      <c r="E259" s="231"/>
      <c r="F259" s="231"/>
      <c r="G259" s="318"/>
      <c r="H259" s="490">
        <f t="shared" ca="1" si="54"/>
        <v>44317</v>
      </c>
      <c r="I259" s="491">
        <f t="shared" si="55"/>
        <v>3.9069999999999991</v>
      </c>
      <c r="J259" s="490"/>
      <c r="K259" s="491"/>
      <c r="L259" s="486"/>
      <c r="M259" s="486"/>
      <c r="N259" s="486"/>
      <c r="O259" s="486"/>
      <c r="P259" s="486"/>
      <c r="Q259" s="486"/>
      <c r="R259" s="486"/>
      <c r="S259" s="486"/>
      <c r="T259" s="486"/>
      <c r="U259" s="486"/>
      <c r="V259" s="486"/>
      <c r="W259" s="486"/>
      <c r="X259" s="486"/>
      <c r="Y259" s="486"/>
      <c r="Z259" s="486"/>
      <c r="AA259" s="486"/>
      <c r="AB259" s="486"/>
      <c r="AC259" s="486"/>
      <c r="AD259" s="486"/>
      <c r="AE259" s="486"/>
      <c r="AF259" s="486"/>
      <c r="AG259" s="486"/>
      <c r="AH259" s="486"/>
      <c r="AI259" s="486"/>
      <c r="AJ259" s="486"/>
      <c r="AK259" s="486"/>
      <c r="AL259" s="486"/>
      <c r="AM259" s="486"/>
      <c r="AN259" s="486"/>
      <c r="AO259" s="486"/>
      <c r="AP259" s="486"/>
      <c r="AQ259" s="486"/>
      <c r="AR259" s="231"/>
    </row>
    <row r="260" spans="1:44" customFormat="1" ht="11.25">
      <c r="A260" s="493">
        <f t="shared" ca="1" si="64"/>
        <v>44348</v>
      </c>
      <c r="B260" s="511">
        <v>3.9779999999999993</v>
      </c>
      <c r="C260" s="511">
        <v>4.0779999999999994</v>
      </c>
      <c r="D260" s="493">
        <f t="shared" ca="1" si="65"/>
        <v>44348</v>
      </c>
      <c r="E260" s="231"/>
      <c r="F260" s="231"/>
      <c r="G260" s="318"/>
      <c r="H260" s="490">
        <f t="shared" ca="1" si="54"/>
        <v>44348</v>
      </c>
      <c r="I260" s="491">
        <f t="shared" si="55"/>
        <v>4.0779999999999994</v>
      </c>
      <c r="J260" s="490"/>
      <c r="K260" s="491"/>
      <c r="L260" s="486"/>
      <c r="M260" s="486"/>
      <c r="N260" s="486"/>
      <c r="O260" s="486"/>
      <c r="P260" s="486"/>
      <c r="Q260" s="486"/>
      <c r="R260" s="486"/>
      <c r="S260" s="486"/>
      <c r="T260" s="486"/>
      <c r="U260" s="486"/>
      <c r="V260" s="486"/>
      <c r="W260" s="486"/>
      <c r="X260" s="486"/>
      <c r="Y260" s="486"/>
      <c r="Z260" s="486"/>
      <c r="AA260" s="486"/>
      <c r="AB260" s="486"/>
      <c r="AC260" s="486"/>
      <c r="AD260" s="486"/>
      <c r="AE260" s="486"/>
      <c r="AF260" s="486"/>
      <c r="AG260" s="486"/>
      <c r="AH260" s="486"/>
      <c r="AI260" s="486"/>
      <c r="AJ260" s="486"/>
      <c r="AK260" s="486"/>
      <c r="AL260" s="486"/>
      <c r="AM260" s="486"/>
      <c r="AN260" s="486"/>
      <c r="AO260" s="486"/>
      <c r="AP260" s="486"/>
      <c r="AQ260" s="486"/>
      <c r="AR260" s="231"/>
    </row>
    <row r="261" spans="1:44" customFormat="1" ht="11.25">
      <c r="A261" s="493">
        <f t="shared" ca="1" si="64"/>
        <v>44378</v>
      </c>
      <c r="B261" s="511">
        <v>3.8929999999999989</v>
      </c>
      <c r="C261" s="511">
        <v>3.992999999999999</v>
      </c>
      <c r="D261" s="493">
        <f t="shared" ca="1" si="65"/>
        <v>44378</v>
      </c>
      <c r="E261" s="231"/>
      <c r="F261" s="231"/>
      <c r="G261" s="318"/>
      <c r="H261" s="490">
        <f t="shared" ca="1" si="54"/>
        <v>44378</v>
      </c>
      <c r="I261" s="491">
        <f t="shared" si="55"/>
        <v>3.992999999999999</v>
      </c>
      <c r="J261" s="490"/>
      <c r="K261" s="491"/>
      <c r="L261" s="486"/>
      <c r="M261" s="486"/>
      <c r="N261" s="486"/>
      <c r="O261" s="486"/>
      <c r="P261" s="486"/>
      <c r="Q261" s="486"/>
      <c r="R261" s="486"/>
      <c r="S261" s="486"/>
      <c r="T261" s="486"/>
      <c r="U261" s="486"/>
      <c r="V261" s="486"/>
      <c r="W261" s="486"/>
      <c r="X261" s="486"/>
      <c r="Y261" s="486"/>
      <c r="Z261" s="486"/>
      <c r="AA261" s="486"/>
      <c r="AB261" s="486"/>
      <c r="AC261" s="486"/>
      <c r="AD261" s="486"/>
      <c r="AE261" s="486"/>
      <c r="AF261" s="486"/>
      <c r="AG261" s="486"/>
      <c r="AH261" s="486"/>
      <c r="AI261" s="486"/>
      <c r="AJ261" s="486"/>
      <c r="AK261" s="486"/>
      <c r="AL261" s="486"/>
      <c r="AM261" s="486"/>
      <c r="AN261" s="486"/>
      <c r="AO261" s="486"/>
      <c r="AP261" s="486"/>
      <c r="AQ261" s="486"/>
      <c r="AR261" s="231"/>
    </row>
    <row r="262" spans="1:44" customFormat="1" ht="11.25">
      <c r="A262" s="493">
        <f t="shared" ca="1" si="64"/>
        <v>44409</v>
      </c>
      <c r="B262" s="511">
        <v>3.8269999999999991</v>
      </c>
      <c r="C262" s="511">
        <v>3.9269999999999992</v>
      </c>
      <c r="D262" s="493">
        <f t="shared" ca="1" si="65"/>
        <v>44409</v>
      </c>
      <c r="E262" s="231"/>
      <c r="F262" s="231"/>
      <c r="G262" s="318"/>
      <c r="H262" s="490">
        <f t="shared" ref="H262:H309" ca="1" si="66">A262</f>
        <v>44409</v>
      </c>
      <c r="I262" s="491">
        <f t="shared" ref="I262:I309" si="67">IF($J$1="bid",B262,C262)</f>
        <v>3.9269999999999992</v>
      </c>
      <c r="J262" s="490"/>
      <c r="K262" s="491"/>
      <c r="L262" s="486"/>
      <c r="M262" s="486"/>
      <c r="N262" s="486"/>
      <c r="O262" s="486"/>
      <c r="P262" s="486"/>
      <c r="Q262" s="486"/>
      <c r="R262" s="486"/>
      <c r="S262" s="486"/>
      <c r="T262" s="486"/>
      <c r="U262" s="486"/>
      <c r="V262" s="486"/>
      <c r="W262" s="486"/>
      <c r="X262" s="486"/>
      <c r="Y262" s="486"/>
      <c r="Z262" s="486"/>
      <c r="AA262" s="486"/>
      <c r="AB262" s="486"/>
      <c r="AC262" s="486"/>
      <c r="AD262" s="486"/>
      <c r="AE262" s="486"/>
      <c r="AF262" s="486"/>
      <c r="AG262" s="486"/>
      <c r="AH262" s="486"/>
      <c r="AI262" s="486"/>
      <c r="AJ262" s="486"/>
      <c r="AK262" s="486"/>
      <c r="AL262" s="486"/>
      <c r="AM262" s="486"/>
      <c r="AN262" s="486"/>
      <c r="AO262" s="486"/>
      <c r="AP262" s="486"/>
      <c r="AQ262" s="486"/>
      <c r="AR262" s="231"/>
    </row>
    <row r="263" spans="1:44" customFormat="1" ht="11.25">
      <c r="A263" s="493">
        <f t="shared" ref="A263:A278" ca="1" si="68">DATE(YEAR(A262),MONTH(A262)+1,1)</f>
        <v>44440</v>
      </c>
      <c r="B263" s="511">
        <v>3.7779999999999991</v>
      </c>
      <c r="C263" s="511">
        <v>3.8779999999999992</v>
      </c>
      <c r="D263" s="493">
        <f t="shared" ref="D263:D278" ca="1" si="69">DATE(YEAR(D262),MONTH(D262)+1,1)</f>
        <v>44440</v>
      </c>
      <c r="E263" s="231"/>
      <c r="F263" s="231"/>
      <c r="G263" s="318"/>
      <c r="H263" s="490">
        <f t="shared" ca="1" si="66"/>
        <v>44440</v>
      </c>
      <c r="I263" s="491">
        <f t="shared" si="67"/>
        <v>3.8779999999999992</v>
      </c>
      <c r="J263" s="490"/>
      <c r="K263" s="491"/>
      <c r="L263" s="486"/>
      <c r="M263" s="486"/>
      <c r="N263" s="486"/>
      <c r="O263" s="486"/>
      <c r="P263" s="486"/>
      <c r="Q263" s="486"/>
      <c r="R263" s="486"/>
      <c r="S263" s="486"/>
      <c r="T263" s="486"/>
      <c r="U263" s="486"/>
      <c r="V263" s="486"/>
      <c r="W263" s="486"/>
      <c r="X263" s="486"/>
      <c r="Y263" s="486"/>
      <c r="Z263" s="486"/>
      <c r="AA263" s="486"/>
      <c r="AB263" s="486"/>
      <c r="AC263" s="486"/>
      <c r="AD263" s="486"/>
      <c r="AE263" s="486"/>
      <c r="AF263" s="486"/>
      <c r="AG263" s="486"/>
      <c r="AH263" s="486"/>
      <c r="AI263" s="486"/>
      <c r="AJ263" s="486"/>
      <c r="AK263" s="486"/>
      <c r="AL263" s="486"/>
      <c r="AM263" s="486"/>
      <c r="AN263" s="486"/>
      <c r="AO263" s="486"/>
      <c r="AP263" s="486"/>
      <c r="AQ263" s="486"/>
      <c r="AR263" s="231"/>
    </row>
    <row r="264" spans="1:44" customFormat="1" ht="11.25">
      <c r="A264" s="493">
        <f t="shared" ca="1" si="68"/>
        <v>44470</v>
      </c>
      <c r="B264" s="511">
        <v>3.7650000000000001</v>
      </c>
      <c r="C264" s="511">
        <v>3.8650000000000002</v>
      </c>
      <c r="D264" s="493">
        <f t="shared" ca="1" si="69"/>
        <v>44470</v>
      </c>
      <c r="E264" s="231"/>
      <c r="F264" s="231"/>
      <c r="G264" s="318"/>
      <c r="H264" s="490">
        <f t="shared" ca="1" si="66"/>
        <v>44470</v>
      </c>
      <c r="I264" s="491">
        <f t="shared" si="67"/>
        <v>3.8650000000000002</v>
      </c>
      <c r="J264" s="490"/>
      <c r="K264" s="491"/>
      <c r="L264" s="486"/>
      <c r="M264" s="486"/>
      <c r="N264" s="486"/>
      <c r="O264" s="486"/>
      <c r="P264" s="486"/>
      <c r="Q264" s="486"/>
      <c r="R264" s="486"/>
      <c r="S264" s="486"/>
      <c r="T264" s="486"/>
      <c r="U264" s="486"/>
      <c r="V264" s="486"/>
      <c r="W264" s="486"/>
      <c r="X264" s="486"/>
      <c r="Y264" s="486"/>
      <c r="Z264" s="486"/>
      <c r="AA264" s="486"/>
      <c r="AB264" s="486"/>
      <c r="AC264" s="486"/>
      <c r="AD264" s="486"/>
      <c r="AE264" s="486"/>
      <c r="AF264" s="486"/>
      <c r="AG264" s="486"/>
      <c r="AH264" s="486"/>
      <c r="AI264" s="486"/>
      <c r="AJ264" s="486"/>
      <c r="AK264" s="486"/>
      <c r="AL264" s="486"/>
      <c r="AM264" s="486"/>
      <c r="AN264" s="486"/>
      <c r="AO264" s="486"/>
      <c r="AP264" s="486"/>
      <c r="AQ264" s="486"/>
      <c r="AR264" s="231"/>
    </row>
    <row r="265" spans="1:44" customFormat="1" ht="11.25">
      <c r="A265" s="493">
        <f t="shared" ca="1" si="68"/>
        <v>44501</v>
      </c>
      <c r="B265" s="511">
        <v>3.7729999999999992</v>
      </c>
      <c r="C265" s="511">
        <v>3.8729999999999993</v>
      </c>
      <c r="D265" s="493">
        <f t="shared" ca="1" si="69"/>
        <v>44501</v>
      </c>
      <c r="E265" s="231"/>
      <c r="F265" s="231"/>
      <c r="G265" s="318"/>
      <c r="H265" s="490">
        <f t="shared" ca="1" si="66"/>
        <v>44501</v>
      </c>
      <c r="I265" s="491">
        <f t="shared" si="67"/>
        <v>3.8729999999999993</v>
      </c>
      <c r="J265" s="490"/>
      <c r="K265" s="491"/>
      <c r="L265" s="486"/>
      <c r="M265" s="486"/>
      <c r="N265" s="486"/>
      <c r="O265" s="486"/>
      <c r="P265" s="486"/>
      <c r="Q265" s="486"/>
      <c r="R265" s="486"/>
      <c r="S265" s="486"/>
      <c r="T265" s="486"/>
      <c r="U265" s="486"/>
      <c r="V265" s="486"/>
      <c r="W265" s="486"/>
      <c r="X265" s="486"/>
      <c r="Y265" s="486"/>
      <c r="Z265" s="486"/>
      <c r="AA265" s="486"/>
      <c r="AB265" s="486"/>
      <c r="AC265" s="486"/>
      <c r="AD265" s="486"/>
      <c r="AE265" s="486"/>
      <c r="AF265" s="486"/>
      <c r="AG265" s="486"/>
      <c r="AH265" s="486"/>
      <c r="AI265" s="486"/>
      <c r="AJ265" s="486"/>
      <c r="AK265" s="486"/>
      <c r="AL265" s="486"/>
      <c r="AM265" s="486"/>
      <c r="AN265" s="486"/>
      <c r="AO265" s="486"/>
      <c r="AP265" s="486"/>
      <c r="AQ265" s="486"/>
      <c r="AR265" s="231"/>
    </row>
    <row r="266" spans="1:44" customFormat="1" ht="11.25">
      <c r="A266" s="493">
        <f t="shared" ca="1" si="68"/>
        <v>44531</v>
      </c>
      <c r="B266" s="511">
        <v>3.7650000000000001</v>
      </c>
      <c r="C266" s="511">
        <v>3.8650000000000002</v>
      </c>
      <c r="D266" s="493">
        <f t="shared" ca="1" si="69"/>
        <v>44531</v>
      </c>
      <c r="E266" s="231"/>
      <c r="F266" s="231"/>
      <c r="G266" s="318"/>
      <c r="H266" s="490">
        <f t="shared" ca="1" si="66"/>
        <v>44531</v>
      </c>
      <c r="I266" s="491">
        <f t="shared" si="67"/>
        <v>3.8650000000000002</v>
      </c>
      <c r="J266" s="490"/>
      <c r="K266" s="491"/>
      <c r="L266" s="486"/>
      <c r="M266" s="486"/>
      <c r="N266" s="486"/>
      <c r="O266" s="486"/>
      <c r="P266" s="486"/>
      <c r="Q266" s="486"/>
      <c r="R266" s="486"/>
      <c r="S266" s="486"/>
      <c r="T266" s="486"/>
      <c r="U266" s="486"/>
      <c r="V266" s="486"/>
      <c r="W266" s="486"/>
      <c r="X266" s="486"/>
      <c r="Y266" s="486"/>
      <c r="Z266" s="486"/>
      <c r="AA266" s="486"/>
      <c r="AB266" s="486"/>
      <c r="AC266" s="486"/>
      <c r="AD266" s="486"/>
      <c r="AE266" s="486"/>
      <c r="AF266" s="486"/>
      <c r="AG266" s="486"/>
      <c r="AH266" s="486"/>
      <c r="AI266" s="486"/>
      <c r="AJ266" s="486"/>
      <c r="AK266" s="486"/>
      <c r="AL266" s="486"/>
      <c r="AM266" s="486"/>
      <c r="AN266" s="486"/>
      <c r="AO266" s="486"/>
      <c r="AP266" s="486"/>
      <c r="AQ266" s="486"/>
      <c r="AR266" s="231"/>
    </row>
    <row r="267" spans="1:44" customFormat="1" ht="11.25">
      <c r="A267" s="493">
        <f t="shared" ca="1" si="68"/>
        <v>44562</v>
      </c>
      <c r="B267" s="511">
        <v>3.7650000000000001</v>
      </c>
      <c r="C267" s="511">
        <v>3.8650000000000002</v>
      </c>
      <c r="D267" s="493">
        <f t="shared" ca="1" si="69"/>
        <v>44562</v>
      </c>
      <c r="E267" s="231"/>
      <c r="F267" s="231"/>
      <c r="G267" s="318"/>
      <c r="H267" s="490">
        <f t="shared" ca="1" si="66"/>
        <v>44562</v>
      </c>
      <c r="I267" s="491">
        <f t="shared" si="67"/>
        <v>3.8650000000000002</v>
      </c>
      <c r="J267" s="490"/>
      <c r="K267" s="491"/>
      <c r="L267" s="486"/>
      <c r="M267" s="486"/>
      <c r="N267" s="486"/>
      <c r="O267" s="486"/>
      <c r="P267" s="486"/>
      <c r="Q267" s="486"/>
      <c r="R267" s="486"/>
      <c r="S267" s="486"/>
      <c r="T267" s="486"/>
      <c r="U267" s="486"/>
      <c r="V267" s="486"/>
      <c r="W267" s="486"/>
      <c r="X267" s="486"/>
      <c r="Y267" s="486"/>
      <c r="Z267" s="486"/>
      <c r="AA267" s="486"/>
      <c r="AB267" s="486"/>
      <c r="AC267" s="486"/>
      <c r="AD267" s="486"/>
      <c r="AE267" s="486"/>
      <c r="AF267" s="486"/>
      <c r="AG267" s="486"/>
      <c r="AH267" s="486"/>
      <c r="AI267" s="486"/>
      <c r="AJ267" s="486"/>
      <c r="AK267" s="486"/>
      <c r="AL267" s="486"/>
      <c r="AM267" s="486"/>
      <c r="AN267" s="486"/>
      <c r="AO267" s="486"/>
      <c r="AP267" s="486"/>
      <c r="AQ267" s="486"/>
      <c r="AR267" s="231"/>
    </row>
    <row r="268" spans="1:44" customFormat="1" ht="11.25">
      <c r="A268" s="493">
        <f t="shared" ca="1" si="68"/>
        <v>44593</v>
      </c>
      <c r="B268" s="511">
        <v>3.7650000000000001</v>
      </c>
      <c r="C268" s="511">
        <v>3.8650000000000002</v>
      </c>
      <c r="D268" s="493">
        <f t="shared" ca="1" si="69"/>
        <v>44593</v>
      </c>
      <c r="E268" s="231"/>
      <c r="F268" s="231"/>
      <c r="G268" s="318"/>
      <c r="H268" s="490">
        <f t="shared" ca="1" si="66"/>
        <v>44593</v>
      </c>
      <c r="I268" s="491">
        <f t="shared" si="67"/>
        <v>3.8650000000000002</v>
      </c>
      <c r="J268" s="490"/>
      <c r="K268" s="491"/>
      <c r="L268" s="486"/>
      <c r="M268" s="486"/>
      <c r="N268" s="486"/>
      <c r="O268" s="486"/>
      <c r="P268" s="486"/>
      <c r="Q268" s="486"/>
      <c r="R268" s="486"/>
      <c r="S268" s="486"/>
      <c r="T268" s="486"/>
      <c r="U268" s="486"/>
      <c r="V268" s="486"/>
      <c r="W268" s="486"/>
      <c r="X268" s="486"/>
      <c r="Y268" s="486"/>
      <c r="Z268" s="486"/>
      <c r="AA268" s="486"/>
      <c r="AB268" s="486"/>
      <c r="AC268" s="486"/>
      <c r="AD268" s="486"/>
      <c r="AE268" s="486"/>
      <c r="AF268" s="486"/>
      <c r="AG268" s="486"/>
      <c r="AH268" s="486"/>
      <c r="AI268" s="486"/>
      <c r="AJ268" s="486"/>
      <c r="AK268" s="486"/>
      <c r="AL268" s="486"/>
      <c r="AM268" s="486"/>
      <c r="AN268" s="486"/>
      <c r="AO268" s="486"/>
      <c r="AP268" s="486"/>
      <c r="AQ268" s="486"/>
      <c r="AR268" s="231"/>
    </row>
    <row r="269" spans="1:44" customFormat="1" ht="11.25">
      <c r="A269" s="493">
        <f t="shared" ca="1" si="68"/>
        <v>44621</v>
      </c>
      <c r="B269" s="511">
        <v>3.7650000000000001</v>
      </c>
      <c r="C269" s="511">
        <v>3.8650000000000002</v>
      </c>
      <c r="D269" s="493">
        <f t="shared" ca="1" si="69"/>
        <v>44621</v>
      </c>
      <c r="E269" s="231"/>
      <c r="F269" s="231"/>
      <c r="G269" s="318"/>
      <c r="H269" s="490">
        <f t="shared" ca="1" si="66"/>
        <v>44621</v>
      </c>
      <c r="I269" s="491">
        <f t="shared" si="67"/>
        <v>3.8650000000000002</v>
      </c>
      <c r="J269" s="490"/>
      <c r="K269" s="491"/>
      <c r="L269" s="486"/>
      <c r="M269" s="486"/>
      <c r="N269" s="486"/>
      <c r="O269" s="486"/>
      <c r="P269" s="486"/>
      <c r="Q269" s="486"/>
      <c r="R269" s="486"/>
      <c r="S269" s="486"/>
      <c r="T269" s="486"/>
      <c r="U269" s="486"/>
      <c r="V269" s="486"/>
      <c r="W269" s="486"/>
      <c r="X269" s="486"/>
      <c r="Y269" s="486"/>
      <c r="Z269" s="486"/>
      <c r="AA269" s="486"/>
      <c r="AB269" s="486"/>
      <c r="AC269" s="486"/>
      <c r="AD269" s="486"/>
      <c r="AE269" s="486"/>
      <c r="AF269" s="486"/>
      <c r="AG269" s="486"/>
      <c r="AH269" s="486"/>
      <c r="AI269" s="486"/>
      <c r="AJ269" s="486"/>
      <c r="AK269" s="486"/>
      <c r="AL269" s="486"/>
      <c r="AM269" s="486"/>
      <c r="AN269" s="486"/>
      <c r="AO269" s="486"/>
      <c r="AP269" s="486"/>
      <c r="AQ269" s="486"/>
      <c r="AR269" s="231"/>
    </row>
    <row r="270" spans="1:44" customFormat="1" ht="11.25">
      <c r="A270" s="493">
        <f t="shared" ca="1" si="68"/>
        <v>44652</v>
      </c>
      <c r="B270" s="511">
        <v>3.8389999999999991</v>
      </c>
      <c r="C270" s="511">
        <v>3.9389999999999992</v>
      </c>
      <c r="D270" s="493">
        <f t="shared" ca="1" si="69"/>
        <v>44652</v>
      </c>
      <c r="E270" s="231"/>
      <c r="F270" s="231"/>
      <c r="G270" s="318"/>
      <c r="H270" s="490">
        <f t="shared" ca="1" si="66"/>
        <v>44652</v>
      </c>
      <c r="I270" s="491">
        <f t="shared" si="67"/>
        <v>3.9389999999999992</v>
      </c>
      <c r="J270" s="490"/>
      <c r="K270" s="491"/>
      <c r="L270" s="486"/>
      <c r="M270" s="486"/>
      <c r="N270" s="486"/>
      <c r="O270" s="486"/>
      <c r="P270" s="486"/>
      <c r="Q270" s="486"/>
      <c r="R270" s="486"/>
      <c r="S270" s="486"/>
      <c r="T270" s="486"/>
      <c r="U270" s="486"/>
      <c r="V270" s="486"/>
      <c r="W270" s="486"/>
      <c r="X270" s="486"/>
      <c r="Y270" s="486"/>
      <c r="Z270" s="486"/>
      <c r="AA270" s="486"/>
      <c r="AB270" s="486"/>
      <c r="AC270" s="486"/>
      <c r="AD270" s="486"/>
      <c r="AE270" s="486"/>
      <c r="AF270" s="486"/>
      <c r="AG270" s="486"/>
      <c r="AH270" s="486"/>
      <c r="AI270" s="486"/>
      <c r="AJ270" s="486"/>
      <c r="AK270" s="486"/>
      <c r="AL270" s="486"/>
      <c r="AM270" s="486"/>
      <c r="AN270" s="486"/>
      <c r="AO270" s="486"/>
      <c r="AP270" s="486"/>
      <c r="AQ270" s="486"/>
      <c r="AR270" s="231"/>
    </row>
    <row r="271" spans="1:44" customFormat="1" ht="11.25">
      <c r="A271" s="493">
        <f t="shared" ca="1" si="68"/>
        <v>44682</v>
      </c>
      <c r="B271" s="511">
        <v>3.9569999999999994</v>
      </c>
      <c r="C271" s="511">
        <v>4.0569999999999995</v>
      </c>
      <c r="D271" s="493">
        <f t="shared" ca="1" si="69"/>
        <v>44682</v>
      </c>
      <c r="E271" s="231"/>
      <c r="F271" s="231"/>
      <c r="G271" s="318"/>
      <c r="H271" s="490">
        <f t="shared" ca="1" si="66"/>
        <v>44682</v>
      </c>
      <c r="I271" s="491">
        <f t="shared" si="67"/>
        <v>4.0569999999999995</v>
      </c>
      <c r="J271" s="490"/>
      <c r="K271" s="491"/>
      <c r="L271" s="486"/>
      <c r="M271" s="486"/>
      <c r="N271" s="486"/>
      <c r="O271" s="486"/>
      <c r="P271" s="486"/>
      <c r="Q271" s="486"/>
      <c r="R271" s="486"/>
      <c r="S271" s="486"/>
      <c r="T271" s="486"/>
      <c r="U271" s="486"/>
      <c r="V271" s="486"/>
      <c r="W271" s="486"/>
      <c r="X271" s="486"/>
      <c r="Y271" s="486"/>
      <c r="Z271" s="486"/>
      <c r="AA271" s="486"/>
      <c r="AB271" s="486"/>
      <c r="AC271" s="486"/>
      <c r="AD271" s="486"/>
      <c r="AE271" s="486"/>
      <c r="AF271" s="486"/>
      <c r="AG271" s="486"/>
      <c r="AH271" s="486"/>
      <c r="AI271" s="486"/>
      <c r="AJ271" s="486"/>
      <c r="AK271" s="486"/>
      <c r="AL271" s="486"/>
      <c r="AM271" s="486"/>
      <c r="AN271" s="486"/>
      <c r="AO271" s="486"/>
      <c r="AP271" s="486"/>
      <c r="AQ271" s="486"/>
      <c r="AR271" s="231"/>
    </row>
    <row r="272" spans="1:44" customFormat="1" ht="11.25">
      <c r="A272" s="493">
        <f t="shared" ca="1" si="68"/>
        <v>44713</v>
      </c>
      <c r="B272" s="511">
        <v>4.1329999999999991</v>
      </c>
      <c r="C272" s="511">
        <v>4.2329999999999997</v>
      </c>
      <c r="D272" s="493">
        <f t="shared" ca="1" si="69"/>
        <v>44713</v>
      </c>
      <c r="E272" s="231"/>
      <c r="F272" s="231"/>
      <c r="G272" s="318"/>
      <c r="H272" s="490">
        <f t="shared" ca="1" si="66"/>
        <v>44713</v>
      </c>
      <c r="I272" s="491">
        <f t="shared" si="67"/>
        <v>4.2329999999999997</v>
      </c>
      <c r="J272" s="490"/>
      <c r="K272" s="491"/>
      <c r="L272" s="486"/>
      <c r="M272" s="486"/>
      <c r="N272" s="486"/>
      <c r="O272" s="486"/>
      <c r="P272" s="486"/>
      <c r="Q272" s="486"/>
      <c r="R272" s="486"/>
      <c r="S272" s="486"/>
      <c r="T272" s="486"/>
      <c r="U272" s="486"/>
      <c r="V272" s="486"/>
      <c r="W272" s="486"/>
      <c r="X272" s="486"/>
      <c r="Y272" s="486"/>
      <c r="Z272" s="486"/>
      <c r="AA272" s="486"/>
      <c r="AB272" s="486"/>
      <c r="AC272" s="486"/>
      <c r="AD272" s="486"/>
      <c r="AE272" s="486"/>
      <c r="AF272" s="486"/>
      <c r="AG272" s="486"/>
      <c r="AH272" s="486"/>
      <c r="AI272" s="486"/>
      <c r="AJ272" s="486"/>
      <c r="AK272" s="486"/>
      <c r="AL272" s="486"/>
      <c r="AM272" s="486"/>
      <c r="AN272" s="486"/>
      <c r="AO272" s="486"/>
      <c r="AP272" s="486"/>
      <c r="AQ272" s="486"/>
      <c r="AR272" s="231"/>
    </row>
    <row r="273" spans="1:44" customFormat="1" ht="11.25">
      <c r="A273" s="493">
        <f t="shared" ca="1" si="68"/>
        <v>44743</v>
      </c>
      <c r="B273" s="511">
        <v>4.0479999999999983</v>
      </c>
      <c r="C273" s="511">
        <v>4.1479999999999988</v>
      </c>
      <c r="D273" s="493">
        <f t="shared" ca="1" si="69"/>
        <v>44743</v>
      </c>
      <c r="E273" s="231"/>
      <c r="F273" s="231"/>
      <c r="G273" s="318"/>
      <c r="H273" s="490">
        <f t="shared" ca="1" si="66"/>
        <v>44743</v>
      </c>
      <c r="I273" s="491">
        <f t="shared" si="67"/>
        <v>4.1479999999999988</v>
      </c>
      <c r="J273" s="490"/>
      <c r="K273" s="491"/>
      <c r="L273" s="486"/>
      <c r="M273" s="486"/>
      <c r="N273" s="486"/>
      <c r="O273" s="486"/>
      <c r="P273" s="486"/>
      <c r="Q273" s="486"/>
      <c r="R273" s="486"/>
      <c r="S273" s="486"/>
      <c r="T273" s="486"/>
      <c r="U273" s="486"/>
      <c r="V273" s="486"/>
      <c r="W273" s="486"/>
      <c r="X273" s="486"/>
      <c r="Y273" s="486"/>
      <c r="Z273" s="486"/>
      <c r="AA273" s="486"/>
      <c r="AB273" s="486"/>
      <c r="AC273" s="486"/>
      <c r="AD273" s="486"/>
      <c r="AE273" s="486"/>
      <c r="AF273" s="486"/>
      <c r="AG273" s="486"/>
      <c r="AH273" s="486"/>
      <c r="AI273" s="486"/>
      <c r="AJ273" s="486"/>
      <c r="AK273" s="486"/>
      <c r="AL273" s="486"/>
      <c r="AM273" s="486"/>
      <c r="AN273" s="486"/>
      <c r="AO273" s="486"/>
      <c r="AP273" s="486"/>
      <c r="AQ273" s="486"/>
      <c r="AR273" s="231"/>
    </row>
    <row r="274" spans="1:44" customFormat="1" ht="11.25">
      <c r="A274" s="493">
        <f t="shared" ca="1" si="68"/>
        <v>44774</v>
      </c>
      <c r="B274" s="511">
        <v>3.9819999999999989</v>
      </c>
      <c r="C274" s="511">
        <v>4.081999999999999</v>
      </c>
      <c r="D274" s="493">
        <f t="shared" ca="1" si="69"/>
        <v>44774</v>
      </c>
      <c r="E274" s="231"/>
      <c r="F274" s="231"/>
      <c r="G274" s="318"/>
      <c r="H274" s="490">
        <f t="shared" ca="1" si="66"/>
        <v>44774</v>
      </c>
      <c r="I274" s="491">
        <f t="shared" si="67"/>
        <v>4.081999999999999</v>
      </c>
      <c r="J274" s="490"/>
      <c r="K274" s="491"/>
      <c r="L274" s="486"/>
      <c r="M274" s="486"/>
      <c r="N274" s="486"/>
      <c r="O274" s="486"/>
      <c r="P274" s="486"/>
      <c r="Q274" s="486"/>
      <c r="R274" s="486"/>
      <c r="S274" s="486"/>
      <c r="T274" s="486"/>
      <c r="U274" s="486"/>
      <c r="V274" s="486"/>
      <c r="W274" s="486"/>
      <c r="X274" s="486"/>
      <c r="Y274" s="486"/>
      <c r="Z274" s="486"/>
      <c r="AA274" s="486"/>
      <c r="AB274" s="486"/>
      <c r="AC274" s="486"/>
      <c r="AD274" s="486"/>
      <c r="AE274" s="486"/>
      <c r="AF274" s="486"/>
      <c r="AG274" s="486"/>
      <c r="AH274" s="486"/>
      <c r="AI274" s="486"/>
      <c r="AJ274" s="486"/>
      <c r="AK274" s="486"/>
      <c r="AL274" s="486"/>
      <c r="AM274" s="486"/>
      <c r="AN274" s="486"/>
      <c r="AO274" s="486"/>
      <c r="AP274" s="486"/>
      <c r="AQ274" s="486"/>
      <c r="AR274" s="231"/>
    </row>
    <row r="275" spans="1:44" customFormat="1" ht="11.25">
      <c r="A275" s="493">
        <f t="shared" ca="1" si="68"/>
        <v>44805</v>
      </c>
      <c r="B275" s="511">
        <v>3.9329999999999994</v>
      </c>
      <c r="C275" s="511">
        <v>4.0329999999999995</v>
      </c>
      <c r="D275" s="493">
        <f t="shared" ca="1" si="69"/>
        <v>44805</v>
      </c>
      <c r="E275" s="231"/>
      <c r="F275" s="231"/>
      <c r="G275" s="318"/>
      <c r="H275" s="490">
        <f t="shared" ca="1" si="66"/>
        <v>44805</v>
      </c>
      <c r="I275" s="491">
        <f t="shared" si="67"/>
        <v>4.0329999999999995</v>
      </c>
      <c r="J275" s="490"/>
      <c r="K275" s="491"/>
      <c r="L275" s="486"/>
      <c r="M275" s="486"/>
      <c r="N275" s="486"/>
      <c r="O275" s="486"/>
      <c r="P275" s="486"/>
      <c r="Q275" s="486"/>
      <c r="R275" s="486"/>
      <c r="S275" s="486"/>
      <c r="T275" s="486"/>
      <c r="U275" s="486"/>
      <c r="V275" s="486"/>
      <c r="W275" s="486"/>
      <c r="X275" s="486"/>
      <c r="Y275" s="486"/>
      <c r="Z275" s="486"/>
      <c r="AA275" s="486"/>
      <c r="AB275" s="486"/>
      <c r="AC275" s="486"/>
      <c r="AD275" s="486"/>
      <c r="AE275" s="486"/>
      <c r="AF275" s="486"/>
      <c r="AG275" s="486"/>
      <c r="AH275" s="486"/>
      <c r="AI275" s="486"/>
      <c r="AJ275" s="486"/>
      <c r="AK275" s="486"/>
      <c r="AL275" s="486"/>
      <c r="AM275" s="486"/>
      <c r="AN275" s="486"/>
      <c r="AO275" s="486"/>
      <c r="AP275" s="486"/>
      <c r="AQ275" s="486"/>
      <c r="AR275" s="231"/>
    </row>
    <row r="276" spans="1:44" customFormat="1" ht="11.25">
      <c r="A276" s="493">
        <f t="shared" ca="1" si="68"/>
        <v>44835</v>
      </c>
      <c r="B276" s="511">
        <v>3.92</v>
      </c>
      <c r="C276" s="511">
        <v>4.0199999999999996</v>
      </c>
      <c r="D276" s="493">
        <f t="shared" ca="1" si="69"/>
        <v>44835</v>
      </c>
      <c r="E276" s="231"/>
      <c r="F276" s="231"/>
      <c r="G276" s="318"/>
      <c r="H276" s="490">
        <f t="shared" ca="1" si="66"/>
        <v>44835</v>
      </c>
      <c r="I276" s="491">
        <f t="shared" si="67"/>
        <v>4.0199999999999996</v>
      </c>
      <c r="J276" s="490"/>
      <c r="K276" s="491"/>
      <c r="L276" s="486"/>
      <c r="M276" s="486"/>
      <c r="N276" s="486"/>
      <c r="O276" s="486"/>
      <c r="P276" s="486"/>
      <c r="Q276" s="486"/>
      <c r="R276" s="486"/>
      <c r="S276" s="486"/>
      <c r="T276" s="486"/>
      <c r="U276" s="486"/>
      <c r="V276" s="486"/>
      <c r="W276" s="486"/>
      <c r="X276" s="486"/>
      <c r="Y276" s="486"/>
      <c r="Z276" s="486"/>
      <c r="AA276" s="486"/>
      <c r="AB276" s="486"/>
      <c r="AC276" s="486"/>
      <c r="AD276" s="486"/>
      <c r="AE276" s="486"/>
      <c r="AF276" s="486"/>
      <c r="AG276" s="486"/>
      <c r="AH276" s="486"/>
      <c r="AI276" s="486"/>
      <c r="AJ276" s="486"/>
      <c r="AK276" s="486"/>
      <c r="AL276" s="486"/>
      <c r="AM276" s="486"/>
      <c r="AN276" s="486"/>
      <c r="AO276" s="486"/>
      <c r="AP276" s="486"/>
      <c r="AQ276" s="486"/>
      <c r="AR276" s="231"/>
    </row>
    <row r="277" spans="1:44" customFormat="1" ht="11.25">
      <c r="A277" s="493">
        <f t="shared" ca="1" si="68"/>
        <v>44866</v>
      </c>
      <c r="B277" s="511">
        <v>3.9279999999999995</v>
      </c>
      <c r="C277" s="511">
        <v>4.0279999999999996</v>
      </c>
      <c r="D277" s="493">
        <f t="shared" ca="1" si="69"/>
        <v>44866</v>
      </c>
      <c r="E277" s="231"/>
      <c r="F277" s="231"/>
      <c r="G277" s="318"/>
      <c r="H277" s="490">
        <f t="shared" ca="1" si="66"/>
        <v>44866</v>
      </c>
      <c r="I277" s="491">
        <f t="shared" si="67"/>
        <v>4.0279999999999996</v>
      </c>
      <c r="J277" s="490"/>
      <c r="K277" s="491"/>
      <c r="L277" s="486"/>
      <c r="M277" s="486"/>
      <c r="N277" s="486"/>
      <c r="O277" s="486"/>
      <c r="P277" s="486"/>
      <c r="Q277" s="486"/>
      <c r="R277" s="486"/>
      <c r="S277" s="486"/>
      <c r="T277" s="486"/>
      <c r="U277" s="486"/>
      <c r="V277" s="486"/>
      <c r="W277" s="486"/>
      <c r="X277" s="486"/>
      <c r="Y277" s="486"/>
      <c r="Z277" s="486"/>
      <c r="AA277" s="486"/>
      <c r="AB277" s="486"/>
      <c r="AC277" s="486"/>
      <c r="AD277" s="486"/>
      <c r="AE277" s="486"/>
      <c r="AF277" s="486"/>
      <c r="AG277" s="486"/>
      <c r="AH277" s="486"/>
      <c r="AI277" s="486"/>
      <c r="AJ277" s="486"/>
      <c r="AK277" s="486"/>
      <c r="AL277" s="486"/>
      <c r="AM277" s="486"/>
      <c r="AN277" s="486"/>
      <c r="AO277" s="486"/>
      <c r="AP277" s="486"/>
      <c r="AQ277" s="486"/>
      <c r="AR277" s="231"/>
    </row>
    <row r="278" spans="1:44" customFormat="1" ht="11.25">
      <c r="A278" s="493">
        <f t="shared" ca="1" si="68"/>
        <v>44896</v>
      </c>
      <c r="B278" s="511">
        <v>3.92</v>
      </c>
      <c r="C278" s="511">
        <v>4.0199999999999996</v>
      </c>
      <c r="D278" s="493">
        <f t="shared" ca="1" si="69"/>
        <v>44896</v>
      </c>
      <c r="E278" s="231"/>
      <c r="F278" s="231"/>
      <c r="G278" s="318"/>
      <c r="H278" s="490">
        <f t="shared" ca="1" si="66"/>
        <v>44896</v>
      </c>
      <c r="I278" s="491">
        <f t="shared" si="67"/>
        <v>4.0199999999999996</v>
      </c>
      <c r="J278" s="490"/>
      <c r="K278" s="491"/>
      <c r="L278" s="486"/>
      <c r="M278" s="486"/>
      <c r="N278" s="486"/>
      <c r="O278" s="486"/>
      <c r="P278" s="486"/>
      <c r="Q278" s="486"/>
      <c r="R278" s="486"/>
      <c r="S278" s="486"/>
      <c r="T278" s="486"/>
      <c r="U278" s="486"/>
      <c r="V278" s="486"/>
      <c r="W278" s="486"/>
      <c r="X278" s="486"/>
      <c r="Y278" s="486"/>
      <c r="Z278" s="486"/>
      <c r="AA278" s="486"/>
      <c r="AB278" s="486"/>
      <c r="AC278" s="486"/>
      <c r="AD278" s="486"/>
      <c r="AE278" s="486"/>
      <c r="AF278" s="486"/>
      <c r="AG278" s="486"/>
      <c r="AH278" s="486"/>
      <c r="AI278" s="486"/>
      <c r="AJ278" s="486"/>
      <c r="AK278" s="486"/>
      <c r="AL278" s="486"/>
      <c r="AM278" s="486"/>
      <c r="AN278" s="486"/>
      <c r="AO278" s="486"/>
      <c r="AP278" s="486"/>
      <c r="AQ278" s="486"/>
      <c r="AR278" s="231"/>
    </row>
    <row r="279" spans="1:44" customFormat="1" ht="11.25">
      <c r="A279" s="493">
        <f t="shared" ref="A279:A294" ca="1" si="70">DATE(YEAR(A278),MONTH(A278)+1,1)</f>
        <v>44927</v>
      </c>
      <c r="B279" s="511">
        <v>3.92</v>
      </c>
      <c r="C279" s="511">
        <v>4.0199999999999996</v>
      </c>
      <c r="D279" s="493">
        <f t="shared" ref="D279:D294" ca="1" si="71">DATE(YEAR(D278),MONTH(D278)+1,1)</f>
        <v>44927</v>
      </c>
      <c r="E279" s="231"/>
      <c r="F279" s="231"/>
      <c r="G279" s="318"/>
      <c r="H279" s="490">
        <f t="shared" ca="1" si="66"/>
        <v>44927</v>
      </c>
      <c r="I279" s="491">
        <f t="shared" si="67"/>
        <v>4.0199999999999996</v>
      </c>
      <c r="J279" s="490"/>
      <c r="K279" s="491"/>
      <c r="L279" s="486"/>
      <c r="M279" s="486"/>
      <c r="N279" s="486"/>
      <c r="O279" s="486"/>
      <c r="P279" s="486"/>
      <c r="Q279" s="486"/>
      <c r="R279" s="486"/>
      <c r="S279" s="486"/>
      <c r="T279" s="486"/>
      <c r="U279" s="486"/>
      <c r="V279" s="486"/>
      <c r="W279" s="486"/>
      <c r="X279" s="486"/>
      <c r="Y279" s="486"/>
      <c r="Z279" s="486"/>
      <c r="AA279" s="486"/>
      <c r="AB279" s="486"/>
      <c r="AC279" s="486"/>
      <c r="AD279" s="486"/>
      <c r="AE279" s="486"/>
      <c r="AF279" s="486"/>
      <c r="AG279" s="486"/>
      <c r="AH279" s="486"/>
      <c r="AI279" s="486"/>
      <c r="AJ279" s="486"/>
      <c r="AK279" s="486"/>
      <c r="AL279" s="486"/>
      <c r="AM279" s="486"/>
      <c r="AN279" s="486"/>
      <c r="AO279" s="486"/>
      <c r="AP279" s="486"/>
      <c r="AQ279" s="486"/>
      <c r="AR279" s="231"/>
    </row>
    <row r="280" spans="1:44" customFormat="1" ht="11.25">
      <c r="A280" s="493">
        <f t="shared" ca="1" si="70"/>
        <v>44958</v>
      </c>
      <c r="B280" s="511">
        <v>3.92</v>
      </c>
      <c r="C280" s="511">
        <v>4.0199999999999996</v>
      </c>
      <c r="D280" s="493">
        <f t="shared" ca="1" si="71"/>
        <v>44958</v>
      </c>
      <c r="E280" s="231"/>
      <c r="F280" s="231"/>
      <c r="G280" s="318"/>
      <c r="H280" s="490">
        <f t="shared" ca="1" si="66"/>
        <v>44958</v>
      </c>
      <c r="I280" s="491">
        <f t="shared" si="67"/>
        <v>4.0199999999999996</v>
      </c>
      <c r="J280" s="490"/>
      <c r="K280" s="491"/>
      <c r="L280" s="486"/>
      <c r="M280" s="486"/>
      <c r="N280" s="486"/>
      <c r="O280" s="486"/>
      <c r="P280" s="486"/>
      <c r="Q280" s="486"/>
      <c r="R280" s="486"/>
      <c r="S280" s="486"/>
      <c r="T280" s="486"/>
      <c r="U280" s="486"/>
      <c r="V280" s="486"/>
      <c r="W280" s="486"/>
      <c r="X280" s="486"/>
      <c r="Y280" s="486"/>
      <c r="Z280" s="486"/>
      <c r="AA280" s="486"/>
      <c r="AB280" s="486"/>
      <c r="AC280" s="486"/>
      <c r="AD280" s="486"/>
      <c r="AE280" s="486"/>
      <c r="AF280" s="486"/>
      <c r="AG280" s="486"/>
      <c r="AH280" s="486"/>
      <c r="AI280" s="486"/>
      <c r="AJ280" s="486"/>
      <c r="AK280" s="486"/>
      <c r="AL280" s="486"/>
      <c r="AM280" s="486"/>
      <c r="AN280" s="486"/>
      <c r="AO280" s="486"/>
      <c r="AP280" s="486"/>
      <c r="AQ280" s="486"/>
      <c r="AR280" s="231"/>
    </row>
    <row r="281" spans="1:44" customFormat="1" ht="11.25">
      <c r="A281" s="493">
        <f t="shared" ca="1" si="70"/>
        <v>44986</v>
      </c>
      <c r="B281" s="511">
        <v>3.92</v>
      </c>
      <c r="C281" s="511">
        <v>4.0199999999999996</v>
      </c>
      <c r="D281" s="493">
        <f t="shared" ca="1" si="71"/>
        <v>44986</v>
      </c>
      <c r="E281" s="231"/>
      <c r="F281" s="231"/>
      <c r="G281" s="318"/>
      <c r="H281" s="490">
        <f t="shared" ca="1" si="66"/>
        <v>44986</v>
      </c>
      <c r="I281" s="491">
        <f t="shared" si="67"/>
        <v>4.0199999999999996</v>
      </c>
      <c r="J281" s="490"/>
      <c r="K281" s="491"/>
      <c r="L281" s="486"/>
      <c r="M281" s="486"/>
      <c r="N281" s="486"/>
      <c r="O281" s="486"/>
      <c r="P281" s="486"/>
      <c r="Q281" s="486"/>
      <c r="R281" s="486"/>
      <c r="S281" s="486"/>
      <c r="T281" s="486"/>
      <c r="U281" s="486"/>
      <c r="V281" s="486"/>
      <c r="W281" s="486"/>
      <c r="X281" s="486"/>
      <c r="Y281" s="486"/>
      <c r="Z281" s="486"/>
      <c r="AA281" s="486"/>
      <c r="AB281" s="486"/>
      <c r="AC281" s="486"/>
      <c r="AD281" s="486"/>
      <c r="AE281" s="486"/>
      <c r="AF281" s="486"/>
      <c r="AG281" s="486"/>
      <c r="AH281" s="486"/>
      <c r="AI281" s="486"/>
      <c r="AJ281" s="486"/>
      <c r="AK281" s="486"/>
      <c r="AL281" s="486"/>
      <c r="AM281" s="486"/>
      <c r="AN281" s="486"/>
      <c r="AO281" s="486"/>
      <c r="AP281" s="486"/>
      <c r="AQ281" s="486"/>
      <c r="AR281" s="231"/>
    </row>
    <row r="282" spans="1:44" customFormat="1" ht="11.25">
      <c r="A282" s="493">
        <f t="shared" ca="1" si="70"/>
        <v>45017</v>
      </c>
      <c r="B282" s="511">
        <v>3.9939999999999993</v>
      </c>
      <c r="C282" s="511">
        <v>4.0939999999999994</v>
      </c>
      <c r="D282" s="493">
        <f t="shared" ca="1" si="71"/>
        <v>45017</v>
      </c>
      <c r="E282" s="231"/>
      <c r="F282" s="231"/>
      <c r="G282" s="318"/>
      <c r="H282" s="490">
        <f t="shared" ca="1" si="66"/>
        <v>45017</v>
      </c>
      <c r="I282" s="491">
        <f t="shared" si="67"/>
        <v>4.0939999999999994</v>
      </c>
      <c r="J282" s="490"/>
      <c r="K282" s="491"/>
      <c r="L282" s="486"/>
      <c r="M282" s="486"/>
      <c r="N282" s="486"/>
      <c r="O282" s="486"/>
      <c r="P282" s="486"/>
      <c r="Q282" s="486"/>
      <c r="R282" s="486"/>
      <c r="S282" s="486"/>
      <c r="T282" s="486"/>
      <c r="U282" s="486"/>
      <c r="V282" s="486"/>
      <c r="W282" s="486"/>
      <c r="X282" s="486"/>
      <c r="Y282" s="486"/>
      <c r="Z282" s="486"/>
      <c r="AA282" s="486"/>
      <c r="AB282" s="486"/>
      <c r="AC282" s="486"/>
      <c r="AD282" s="486"/>
      <c r="AE282" s="486"/>
      <c r="AF282" s="486"/>
      <c r="AG282" s="486"/>
      <c r="AH282" s="486"/>
      <c r="AI282" s="486"/>
      <c r="AJ282" s="486"/>
      <c r="AK282" s="486"/>
      <c r="AL282" s="486"/>
      <c r="AM282" s="486"/>
      <c r="AN282" s="486"/>
      <c r="AO282" s="486"/>
      <c r="AP282" s="486"/>
      <c r="AQ282" s="486"/>
      <c r="AR282" s="231"/>
    </row>
    <row r="283" spans="1:44" customFormat="1" ht="11.25">
      <c r="A283" s="493">
        <f t="shared" ca="1" si="70"/>
        <v>45047</v>
      </c>
      <c r="B283" s="511">
        <v>4.1120000000000001</v>
      </c>
      <c r="C283" s="511">
        <v>4.2119999999999997</v>
      </c>
      <c r="D283" s="493">
        <f t="shared" ca="1" si="71"/>
        <v>45047</v>
      </c>
      <c r="E283" s="231"/>
      <c r="F283" s="231"/>
      <c r="G283" s="318"/>
      <c r="H283" s="490">
        <f t="shared" ca="1" si="66"/>
        <v>45047</v>
      </c>
      <c r="I283" s="491">
        <f t="shared" si="67"/>
        <v>4.2119999999999997</v>
      </c>
      <c r="J283" s="490"/>
      <c r="K283" s="491"/>
      <c r="L283" s="486"/>
      <c r="M283" s="486"/>
      <c r="N283" s="486"/>
      <c r="O283" s="486"/>
      <c r="P283" s="486"/>
      <c r="Q283" s="486"/>
      <c r="R283" s="486"/>
      <c r="S283" s="486"/>
      <c r="T283" s="486"/>
      <c r="U283" s="486"/>
      <c r="V283" s="486"/>
      <c r="W283" s="486"/>
      <c r="X283" s="486"/>
      <c r="Y283" s="486"/>
      <c r="Z283" s="486"/>
      <c r="AA283" s="486"/>
      <c r="AB283" s="486"/>
      <c r="AC283" s="486"/>
      <c r="AD283" s="486"/>
      <c r="AE283" s="486"/>
      <c r="AF283" s="486"/>
      <c r="AG283" s="486"/>
      <c r="AH283" s="486"/>
      <c r="AI283" s="486"/>
      <c r="AJ283" s="486"/>
      <c r="AK283" s="486"/>
      <c r="AL283" s="486"/>
      <c r="AM283" s="486"/>
      <c r="AN283" s="486"/>
      <c r="AO283" s="486"/>
      <c r="AP283" s="486"/>
      <c r="AQ283" s="486"/>
      <c r="AR283" s="231"/>
    </row>
    <row r="284" spans="1:44" customFormat="1" ht="11.25">
      <c r="A284" s="493">
        <f t="shared" ca="1" si="70"/>
        <v>45078</v>
      </c>
      <c r="B284" s="511">
        <v>4.2929999999999993</v>
      </c>
      <c r="C284" s="511">
        <v>4.3929999999999998</v>
      </c>
      <c r="D284" s="493">
        <f t="shared" ca="1" si="71"/>
        <v>45078</v>
      </c>
      <c r="E284" s="231"/>
      <c r="F284" s="231"/>
      <c r="G284" s="318"/>
      <c r="H284" s="490">
        <f t="shared" ca="1" si="66"/>
        <v>45078</v>
      </c>
      <c r="I284" s="491">
        <f t="shared" si="67"/>
        <v>4.3929999999999998</v>
      </c>
      <c r="J284" s="490"/>
      <c r="K284" s="491"/>
      <c r="L284" s="486"/>
      <c r="M284" s="486"/>
      <c r="N284" s="486"/>
      <c r="O284" s="486"/>
      <c r="P284" s="486"/>
      <c r="Q284" s="486"/>
      <c r="R284" s="486"/>
      <c r="S284" s="486"/>
      <c r="T284" s="486"/>
      <c r="U284" s="486"/>
      <c r="V284" s="486"/>
      <c r="W284" s="486"/>
      <c r="X284" s="486"/>
      <c r="Y284" s="486"/>
      <c r="Z284" s="486"/>
      <c r="AA284" s="486"/>
      <c r="AB284" s="486"/>
      <c r="AC284" s="486"/>
      <c r="AD284" s="486"/>
      <c r="AE284" s="486"/>
      <c r="AF284" s="486"/>
      <c r="AG284" s="486"/>
      <c r="AH284" s="486"/>
      <c r="AI284" s="486"/>
      <c r="AJ284" s="486"/>
      <c r="AK284" s="486"/>
      <c r="AL284" s="486"/>
      <c r="AM284" s="486"/>
      <c r="AN284" s="486"/>
      <c r="AO284" s="486"/>
      <c r="AP284" s="486"/>
      <c r="AQ284" s="486"/>
      <c r="AR284" s="231"/>
    </row>
    <row r="285" spans="1:44" customFormat="1" ht="11.25">
      <c r="A285" s="493">
        <f t="shared" ca="1" si="70"/>
        <v>45108</v>
      </c>
      <c r="B285" s="511">
        <v>4.2079999999999984</v>
      </c>
      <c r="C285" s="511">
        <v>4.3079999999999989</v>
      </c>
      <c r="D285" s="493">
        <f t="shared" ca="1" si="71"/>
        <v>45108</v>
      </c>
      <c r="E285" s="231"/>
      <c r="F285" s="231"/>
      <c r="G285" s="318"/>
      <c r="H285" s="490">
        <f t="shared" ca="1" si="66"/>
        <v>45108</v>
      </c>
      <c r="I285" s="491">
        <f t="shared" si="67"/>
        <v>4.3079999999999989</v>
      </c>
      <c r="J285" s="490"/>
      <c r="K285" s="491"/>
      <c r="L285" s="486"/>
      <c r="M285" s="486"/>
      <c r="N285" s="486"/>
      <c r="O285" s="486"/>
      <c r="P285" s="486"/>
      <c r="Q285" s="486"/>
      <c r="R285" s="486"/>
      <c r="S285" s="486"/>
      <c r="T285" s="486"/>
      <c r="U285" s="486"/>
      <c r="V285" s="486"/>
      <c r="W285" s="486"/>
      <c r="X285" s="486"/>
      <c r="Y285" s="486"/>
      <c r="Z285" s="486"/>
      <c r="AA285" s="486"/>
      <c r="AB285" s="486"/>
      <c r="AC285" s="486"/>
      <c r="AD285" s="486"/>
      <c r="AE285" s="486"/>
      <c r="AF285" s="486"/>
      <c r="AG285" s="486"/>
      <c r="AH285" s="486"/>
      <c r="AI285" s="486"/>
      <c r="AJ285" s="486"/>
      <c r="AK285" s="486"/>
      <c r="AL285" s="486"/>
      <c r="AM285" s="486"/>
      <c r="AN285" s="486"/>
      <c r="AO285" s="486"/>
      <c r="AP285" s="486"/>
      <c r="AQ285" s="486"/>
      <c r="AR285" s="231"/>
    </row>
    <row r="286" spans="1:44" customFormat="1" ht="11.25">
      <c r="A286" s="493">
        <f t="shared" ca="1" si="70"/>
        <v>45139</v>
      </c>
      <c r="B286" s="511">
        <v>4.1419999999999995</v>
      </c>
      <c r="C286" s="511">
        <v>4.2419999999999991</v>
      </c>
      <c r="D286" s="493">
        <f t="shared" ca="1" si="71"/>
        <v>45139</v>
      </c>
      <c r="E286" s="231"/>
      <c r="F286" s="231"/>
      <c r="G286" s="318"/>
      <c r="H286" s="490">
        <f t="shared" ca="1" si="66"/>
        <v>45139</v>
      </c>
      <c r="I286" s="491">
        <f t="shared" si="67"/>
        <v>4.2419999999999991</v>
      </c>
      <c r="J286" s="490"/>
      <c r="K286" s="491"/>
      <c r="L286" s="486"/>
      <c r="M286" s="486"/>
      <c r="N286" s="486"/>
      <c r="O286" s="486"/>
      <c r="P286" s="486"/>
      <c r="Q286" s="486"/>
      <c r="R286" s="486"/>
      <c r="S286" s="486"/>
      <c r="T286" s="486"/>
      <c r="U286" s="486"/>
      <c r="V286" s="486"/>
      <c r="W286" s="486"/>
      <c r="X286" s="486"/>
      <c r="Y286" s="486"/>
      <c r="Z286" s="486"/>
      <c r="AA286" s="486"/>
      <c r="AB286" s="486"/>
      <c r="AC286" s="486"/>
      <c r="AD286" s="486"/>
      <c r="AE286" s="486"/>
      <c r="AF286" s="486"/>
      <c r="AG286" s="486"/>
      <c r="AH286" s="486"/>
      <c r="AI286" s="486"/>
      <c r="AJ286" s="486"/>
      <c r="AK286" s="486"/>
      <c r="AL286" s="486"/>
      <c r="AM286" s="486"/>
      <c r="AN286" s="486"/>
      <c r="AO286" s="486"/>
      <c r="AP286" s="486"/>
      <c r="AQ286" s="486"/>
      <c r="AR286" s="231"/>
    </row>
    <row r="287" spans="1:44" customFormat="1" ht="11.25">
      <c r="A287" s="493">
        <f t="shared" ca="1" si="70"/>
        <v>45170</v>
      </c>
      <c r="B287" s="511">
        <v>4.093</v>
      </c>
      <c r="C287" s="511">
        <v>4.1929999999999996</v>
      </c>
      <c r="D287" s="493">
        <f t="shared" ca="1" si="71"/>
        <v>45170</v>
      </c>
      <c r="E287" s="231"/>
      <c r="F287" s="231"/>
      <c r="G287" s="318"/>
      <c r="H287" s="490">
        <f t="shared" ca="1" si="66"/>
        <v>45170</v>
      </c>
      <c r="I287" s="491">
        <f t="shared" si="67"/>
        <v>4.1929999999999996</v>
      </c>
      <c r="J287" s="490"/>
      <c r="K287" s="491"/>
      <c r="L287" s="486"/>
      <c r="M287" s="486"/>
      <c r="N287" s="486"/>
      <c r="O287" s="486"/>
      <c r="P287" s="486"/>
      <c r="Q287" s="486"/>
      <c r="R287" s="486"/>
      <c r="S287" s="486"/>
      <c r="T287" s="486"/>
      <c r="U287" s="486"/>
      <c r="V287" s="486"/>
      <c r="W287" s="486"/>
      <c r="X287" s="486"/>
      <c r="Y287" s="486"/>
      <c r="Z287" s="486"/>
      <c r="AA287" s="486"/>
      <c r="AB287" s="486"/>
      <c r="AC287" s="486"/>
      <c r="AD287" s="486"/>
      <c r="AE287" s="486"/>
      <c r="AF287" s="486"/>
      <c r="AG287" s="486"/>
      <c r="AH287" s="486"/>
      <c r="AI287" s="486"/>
      <c r="AJ287" s="486"/>
      <c r="AK287" s="486"/>
      <c r="AL287" s="486"/>
      <c r="AM287" s="486"/>
      <c r="AN287" s="486"/>
      <c r="AO287" s="486"/>
      <c r="AP287" s="486"/>
      <c r="AQ287" s="486"/>
      <c r="AR287" s="231"/>
    </row>
    <row r="288" spans="1:44" customFormat="1" ht="11.25">
      <c r="A288" s="493">
        <f t="shared" ca="1" si="70"/>
        <v>45200</v>
      </c>
      <c r="B288" s="511">
        <v>4.08</v>
      </c>
      <c r="C288" s="511">
        <v>4.18</v>
      </c>
      <c r="D288" s="493">
        <f t="shared" ca="1" si="71"/>
        <v>45200</v>
      </c>
      <c r="E288" s="231"/>
      <c r="F288" s="231"/>
      <c r="G288" s="318"/>
      <c r="H288" s="490">
        <f t="shared" ca="1" si="66"/>
        <v>45200</v>
      </c>
      <c r="I288" s="491">
        <f t="shared" si="67"/>
        <v>4.18</v>
      </c>
      <c r="J288" s="490"/>
      <c r="K288" s="491"/>
      <c r="L288" s="486"/>
      <c r="M288" s="486"/>
      <c r="N288" s="486"/>
      <c r="O288" s="486"/>
      <c r="P288" s="486"/>
      <c r="Q288" s="486"/>
      <c r="R288" s="486"/>
      <c r="S288" s="486"/>
      <c r="T288" s="486"/>
      <c r="U288" s="486"/>
      <c r="V288" s="486"/>
      <c r="W288" s="486"/>
      <c r="X288" s="486"/>
      <c r="Y288" s="486"/>
      <c r="Z288" s="486"/>
      <c r="AA288" s="486"/>
      <c r="AB288" s="486"/>
      <c r="AC288" s="486"/>
      <c r="AD288" s="486"/>
      <c r="AE288" s="486"/>
      <c r="AF288" s="486"/>
      <c r="AG288" s="486"/>
      <c r="AH288" s="486"/>
      <c r="AI288" s="486"/>
      <c r="AJ288" s="486"/>
      <c r="AK288" s="486"/>
      <c r="AL288" s="486"/>
      <c r="AM288" s="486"/>
      <c r="AN288" s="486"/>
      <c r="AO288" s="486"/>
      <c r="AP288" s="486"/>
      <c r="AQ288" s="486"/>
      <c r="AR288" s="231"/>
    </row>
    <row r="289" spans="1:44" customFormat="1" ht="11.25">
      <c r="A289" s="493">
        <f t="shared" ca="1" si="70"/>
        <v>45231</v>
      </c>
      <c r="B289" s="511">
        <v>4.0879999999999992</v>
      </c>
      <c r="C289" s="511">
        <v>4.1879999999999997</v>
      </c>
      <c r="D289" s="493">
        <f t="shared" ca="1" si="71"/>
        <v>45231</v>
      </c>
      <c r="E289" s="231"/>
      <c r="F289" s="231"/>
      <c r="G289" s="318"/>
      <c r="H289" s="490">
        <f t="shared" ca="1" si="66"/>
        <v>45231</v>
      </c>
      <c r="I289" s="491">
        <f t="shared" si="67"/>
        <v>4.1879999999999997</v>
      </c>
      <c r="J289" s="490"/>
      <c r="K289" s="491"/>
      <c r="L289" s="486"/>
      <c r="M289" s="486"/>
      <c r="N289" s="486"/>
      <c r="O289" s="486"/>
      <c r="P289" s="486"/>
      <c r="Q289" s="486"/>
      <c r="R289" s="486"/>
      <c r="S289" s="486"/>
      <c r="T289" s="486"/>
      <c r="U289" s="486"/>
      <c r="V289" s="486"/>
      <c r="W289" s="486"/>
      <c r="X289" s="486"/>
      <c r="Y289" s="486"/>
      <c r="Z289" s="486"/>
      <c r="AA289" s="486"/>
      <c r="AB289" s="486"/>
      <c r="AC289" s="486"/>
      <c r="AD289" s="486"/>
      <c r="AE289" s="486"/>
      <c r="AF289" s="486"/>
      <c r="AG289" s="486"/>
      <c r="AH289" s="486"/>
      <c r="AI289" s="486"/>
      <c r="AJ289" s="486"/>
      <c r="AK289" s="486"/>
      <c r="AL289" s="486"/>
      <c r="AM289" s="486"/>
      <c r="AN289" s="486"/>
      <c r="AO289" s="486"/>
      <c r="AP289" s="486"/>
      <c r="AQ289" s="486"/>
      <c r="AR289" s="231"/>
    </row>
    <row r="290" spans="1:44" customFormat="1" ht="11.25">
      <c r="A290" s="493">
        <f t="shared" ca="1" si="70"/>
        <v>45261</v>
      </c>
      <c r="B290" s="511">
        <v>4.08</v>
      </c>
      <c r="C290" s="511">
        <v>4.18</v>
      </c>
      <c r="D290" s="493">
        <f t="shared" ca="1" si="71"/>
        <v>45261</v>
      </c>
      <c r="E290" s="231"/>
      <c r="F290" s="231"/>
      <c r="G290" s="318"/>
      <c r="H290" s="490">
        <f t="shared" ca="1" si="66"/>
        <v>45261</v>
      </c>
      <c r="I290" s="491">
        <f t="shared" si="67"/>
        <v>4.18</v>
      </c>
      <c r="J290" s="490"/>
      <c r="K290" s="491"/>
      <c r="L290" s="486"/>
      <c r="M290" s="486"/>
      <c r="N290" s="486"/>
      <c r="O290" s="486"/>
      <c r="P290" s="486"/>
      <c r="Q290" s="486"/>
      <c r="R290" s="486"/>
      <c r="S290" s="486"/>
      <c r="T290" s="486"/>
      <c r="U290" s="486"/>
      <c r="V290" s="486"/>
      <c r="W290" s="486"/>
      <c r="X290" s="486"/>
      <c r="Y290" s="486"/>
      <c r="Z290" s="486"/>
      <c r="AA290" s="486"/>
      <c r="AB290" s="486"/>
      <c r="AC290" s="486"/>
      <c r="AD290" s="486"/>
      <c r="AE290" s="486"/>
      <c r="AF290" s="486"/>
      <c r="AG290" s="486"/>
      <c r="AH290" s="486"/>
      <c r="AI290" s="486"/>
      <c r="AJ290" s="486"/>
      <c r="AK290" s="486"/>
      <c r="AL290" s="486"/>
      <c r="AM290" s="486"/>
      <c r="AN290" s="486"/>
      <c r="AO290" s="486"/>
      <c r="AP290" s="486"/>
      <c r="AQ290" s="486"/>
      <c r="AR290" s="231"/>
    </row>
    <row r="291" spans="1:44" customFormat="1" ht="11.25">
      <c r="A291" s="493">
        <f t="shared" ca="1" si="70"/>
        <v>45292</v>
      </c>
      <c r="B291" s="511">
        <v>4.08</v>
      </c>
      <c r="C291" s="511">
        <v>4.18</v>
      </c>
      <c r="D291" s="493">
        <f t="shared" ca="1" si="71"/>
        <v>45292</v>
      </c>
      <c r="E291" s="231"/>
      <c r="F291" s="231"/>
      <c r="G291" s="318"/>
      <c r="H291" s="490">
        <f t="shared" ca="1" si="66"/>
        <v>45292</v>
      </c>
      <c r="I291" s="491">
        <f t="shared" si="67"/>
        <v>4.18</v>
      </c>
      <c r="J291" s="490"/>
      <c r="K291" s="491"/>
      <c r="L291" s="486"/>
      <c r="M291" s="486"/>
      <c r="N291" s="486"/>
      <c r="O291" s="486"/>
      <c r="P291" s="486"/>
      <c r="Q291" s="486"/>
      <c r="R291" s="486"/>
      <c r="S291" s="486"/>
      <c r="T291" s="486"/>
      <c r="U291" s="486"/>
      <c r="V291" s="486"/>
      <c r="W291" s="486"/>
      <c r="X291" s="486"/>
      <c r="Y291" s="486"/>
      <c r="Z291" s="486"/>
      <c r="AA291" s="486"/>
      <c r="AB291" s="486"/>
      <c r="AC291" s="486"/>
      <c r="AD291" s="486"/>
      <c r="AE291" s="486"/>
      <c r="AF291" s="486"/>
      <c r="AG291" s="486"/>
      <c r="AH291" s="486"/>
      <c r="AI291" s="486"/>
      <c r="AJ291" s="486"/>
      <c r="AK291" s="486"/>
      <c r="AL291" s="486"/>
      <c r="AM291" s="486"/>
      <c r="AN291" s="486"/>
      <c r="AO291" s="486"/>
      <c r="AP291" s="486"/>
      <c r="AQ291" s="486"/>
      <c r="AR291" s="231"/>
    </row>
    <row r="292" spans="1:44" customFormat="1" ht="11.25">
      <c r="A292" s="493">
        <f t="shared" ca="1" si="70"/>
        <v>45323</v>
      </c>
      <c r="B292" s="511">
        <v>4.08</v>
      </c>
      <c r="C292" s="511">
        <v>4.18</v>
      </c>
      <c r="D292" s="493">
        <f t="shared" ca="1" si="71"/>
        <v>45323</v>
      </c>
      <c r="E292" s="231"/>
      <c r="F292" s="231"/>
      <c r="G292" s="318"/>
      <c r="H292" s="490">
        <f t="shared" ca="1" si="66"/>
        <v>45323</v>
      </c>
      <c r="I292" s="491">
        <f t="shared" si="67"/>
        <v>4.18</v>
      </c>
      <c r="J292" s="490"/>
      <c r="K292" s="491"/>
      <c r="L292" s="486"/>
      <c r="M292" s="486"/>
      <c r="N292" s="486"/>
      <c r="O292" s="486"/>
      <c r="P292" s="486"/>
      <c r="Q292" s="486"/>
      <c r="R292" s="486"/>
      <c r="S292" s="486"/>
      <c r="T292" s="486"/>
      <c r="U292" s="486"/>
      <c r="V292" s="486"/>
      <c r="W292" s="486"/>
      <c r="X292" s="486"/>
      <c r="Y292" s="486"/>
      <c r="Z292" s="486"/>
      <c r="AA292" s="486"/>
      <c r="AB292" s="486"/>
      <c r="AC292" s="486"/>
      <c r="AD292" s="486"/>
      <c r="AE292" s="486"/>
      <c r="AF292" s="486"/>
      <c r="AG292" s="486"/>
      <c r="AH292" s="486"/>
      <c r="AI292" s="486"/>
      <c r="AJ292" s="486"/>
      <c r="AK292" s="486"/>
      <c r="AL292" s="486"/>
      <c r="AM292" s="486"/>
      <c r="AN292" s="486"/>
      <c r="AO292" s="486"/>
      <c r="AP292" s="486"/>
      <c r="AQ292" s="486"/>
      <c r="AR292" s="231"/>
    </row>
    <row r="293" spans="1:44" customFormat="1" ht="11.25">
      <c r="A293" s="493">
        <f t="shared" ca="1" si="70"/>
        <v>45352</v>
      </c>
      <c r="B293" s="511">
        <v>4.08</v>
      </c>
      <c r="C293" s="511">
        <v>4.18</v>
      </c>
      <c r="D293" s="493">
        <f t="shared" ca="1" si="71"/>
        <v>45352</v>
      </c>
      <c r="E293" s="231"/>
      <c r="F293" s="231"/>
      <c r="G293" s="318"/>
      <c r="H293" s="490">
        <f t="shared" ca="1" si="66"/>
        <v>45352</v>
      </c>
      <c r="I293" s="491">
        <f t="shared" si="67"/>
        <v>4.18</v>
      </c>
      <c r="J293" s="490"/>
      <c r="K293" s="491"/>
      <c r="L293" s="486"/>
      <c r="M293" s="486"/>
      <c r="N293" s="486"/>
      <c r="O293" s="486"/>
      <c r="P293" s="486"/>
      <c r="Q293" s="486"/>
      <c r="R293" s="486"/>
      <c r="S293" s="486"/>
      <c r="T293" s="486"/>
      <c r="U293" s="486"/>
      <c r="V293" s="486"/>
      <c r="W293" s="486"/>
      <c r="X293" s="486"/>
      <c r="Y293" s="486"/>
      <c r="Z293" s="486"/>
      <c r="AA293" s="486"/>
      <c r="AB293" s="486"/>
      <c r="AC293" s="486"/>
      <c r="AD293" s="486"/>
      <c r="AE293" s="486"/>
      <c r="AF293" s="486"/>
      <c r="AG293" s="486"/>
      <c r="AH293" s="486"/>
      <c r="AI293" s="486"/>
      <c r="AJ293" s="486"/>
      <c r="AK293" s="486"/>
      <c r="AL293" s="486"/>
      <c r="AM293" s="486"/>
      <c r="AN293" s="486"/>
      <c r="AO293" s="486"/>
      <c r="AP293" s="486"/>
      <c r="AQ293" s="486"/>
      <c r="AR293" s="231"/>
    </row>
    <row r="294" spans="1:44" customFormat="1" ht="11.25">
      <c r="A294" s="493">
        <f t="shared" ca="1" si="70"/>
        <v>45383</v>
      </c>
      <c r="B294" s="511">
        <v>4.1539999999999999</v>
      </c>
      <c r="C294" s="511">
        <v>4.2539999999999996</v>
      </c>
      <c r="D294" s="493">
        <f t="shared" ca="1" si="71"/>
        <v>45383</v>
      </c>
      <c r="E294" s="231"/>
      <c r="F294" s="231"/>
      <c r="G294" s="318"/>
      <c r="H294" s="490">
        <f t="shared" ca="1" si="66"/>
        <v>45383</v>
      </c>
      <c r="I294" s="491">
        <f t="shared" si="67"/>
        <v>4.2539999999999996</v>
      </c>
      <c r="J294" s="490"/>
      <c r="K294" s="491"/>
      <c r="L294" s="486"/>
      <c r="M294" s="486"/>
      <c r="N294" s="486"/>
      <c r="O294" s="486"/>
      <c r="P294" s="486"/>
      <c r="Q294" s="486"/>
      <c r="R294" s="486"/>
      <c r="S294" s="486"/>
      <c r="T294" s="486"/>
      <c r="U294" s="486"/>
      <c r="V294" s="486"/>
      <c r="W294" s="486"/>
      <c r="X294" s="486"/>
      <c r="Y294" s="486"/>
      <c r="Z294" s="486"/>
      <c r="AA294" s="486"/>
      <c r="AB294" s="486"/>
      <c r="AC294" s="486"/>
      <c r="AD294" s="486"/>
      <c r="AE294" s="486"/>
      <c r="AF294" s="486"/>
      <c r="AG294" s="486"/>
      <c r="AH294" s="486"/>
      <c r="AI294" s="486"/>
      <c r="AJ294" s="486"/>
      <c r="AK294" s="486"/>
      <c r="AL294" s="486"/>
      <c r="AM294" s="486"/>
      <c r="AN294" s="486"/>
      <c r="AO294" s="486"/>
      <c r="AP294" s="486"/>
      <c r="AQ294" s="486"/>
      <c r="AR294" s="231"/>
    </row>
    <row r="295" spans="1:44" customFormat="1" ht="11.25">
      <c r="A295" s="493">
        <f t="shared" ref="A295:A310" ca="1" si="72">DATE(YEAR(A294),MONTH(A294)+1,1)</f>
        <v>45413</v>
      </c>
      <c r="B295" s="511">
        <v>4.2720000000000002</v>
      </c>
      <c r="C295" s="511">
        <v>4.3719999999999999</v>
      </c>
      <c r="D295" s="493">
        <f ca="1">DATE(YEAR(D294),MONTH(D294)+1,1)</f>
        <v>45413</v>
      </c>
      <c r="E295" s="231"/>
      <c r="F295" s="231"/>
      <c r="G295" s="318"/>
      <c r="H295" s="490">
        <f t="shared" ca="1" si="66"/>
        <v>45413</v>
      </c>
      <c r="I295" s="491">
        <f t="shared" si="67"/>
        <v>4.3719999999999999</v>
      </c>
      <c r="J295" s="490"/>
      <c r="K295" s="491"/>
      <c r="L295" s="486"/>
      <c r="M295" s="486"/>
      <c r="N295" s="486"/>
      <c r="O295" s="486"/>
      <c r="P295" s="486"/>
      <c r="Q295" s="486"/>
      <c r="R295" s="486"/>
      <c r="S295" s="486"/>
      <c r="T295" s="486"/>
      <c r="U295" s="486"/>
      <c r="V295" s="486"/>
      <c r="W295" s="486"/>
      <c r="X295" s="486"/>
      <c r="Y295" s="486"/>
      <c r="Z295" s="486"/>
      <c r="AA295" s="486"/>
      <c r="AB295" s="486"/>
      <c r="AC295" s="486"/>
      <c r="AD295" s="486"/>
      <c r="AE295" s="486"/>
      <c r="AF295" s="486"/>
      <c r="AG295" s="486"/>
      <c r="AH295" s="486"/>
      <c r="AI295" s="486"/>
      <c r="AJ295" s="486"/>
      <c r="AK295" s="486"/>
      <c r="AL295" s="486"/>
      <c r="AM295" s="486"/>
      <c r="AN295" s="486"/>
      <c r="AO295" s="486"/>
      <c r="AP295" s="486"/>
      <c r="AQ295" s="486"/>
      <c r="AR295" s="231"/>
    </row>
    <row r="296" spans="1:44" customFormat="1" ht="11.25">
      <c r="A296" s="493">
        <f t="shared" ca="1" si="72"/>
        <v>45444</v>
      </c>
      <c r="B296" s="511">
        <v>4.4580000000000002</v>
      </c>
      <c r="C296" s="511">
        <v>4.5579999999999998</v>
      </c>
      <c r="D296" s="493">
        <f ca="1">DATE(YEAR(D295),MONTH(D295)+1,1)</f>
        <v>45444</v>
      </c>
      <c r="E296" s="231"/>
      <c r="F296" s="231"/>
      <c r="G296" s="318"/>
      <c r="H296" s="490">
        <f t="shared" ca="1" si="66"/>
        <v>45444</v>
      </c>
      <c r="I296" s="491">
        <f t="shared" si="67"/>
        <v>4.5579999999999998</v>
      </c>
      <c r="J296" s="490"/>
      <c r="K296" s="491"/>
      <c r="L296" s="486"/>
      <c r="M296" s="486"/>
      <c r="N296" s="486"/>
      <c r="O296" s="486"/>
      <c r="P296" s="486"/>
      <c r="Q296" s="486"/>
      <c r="R296" s="486"/>
      <c r="S296" s="486"/>
      <c r="T296" s="486"/>
      <c r="U296" s="486"/>
      <c r="V296" s="486"/>
      <c r="W296" s="486"/>
      <c r="X296" s="486"/>
      <c r="Y296" s="486"/>
      <c r="Z296" s="486"/>
      <c r="AA296" s="486"/>
      <c r="AB296" s="486"/>
      <c r="AC296" s="486"/>
      <c r="AD296" s="486"/>
      <c r="AE296" s="486"/>
      <c r="AF296" s="486"/>
      <c r="AG296" s="486"/>
      <c r="AH296" s="486"/>
      <c r="AI296" s="486"/>
      <c r="AJ296" s="486"/>
      <c r="AK296" s="486"/>
      <c r="AL296" s="486"/>
      <c r="AM296" s="486"/>
      <c r="AN296" s="486"/>
      <c r="AO296" s="486"/>
      <c r="AP296" s="486"/>
      <c r="AQ296" s="486"/>
      <c r="AR296" s="231"/>
    </row>
    <row r="297" spans="1:44" customFormat="1" ht="11.25">
      <c r="A297" s="493">
        <f t="shared" ca="1" si="72"/>
        <v>45474</v>
      </c>
      <c r="B297" s="511">
        <v>4.3729999999999993</v>
      </c>
      <c r="C297" s="511">
        <v>4.472999999999999</v>
      </c>
      <c r="D297" s="486"/>
      <c r="E297" s="231"/>
      <c r="F297" s="231"/>
      <c r="G297" s="318"/>
      <c r="H297" s="490">
        <f t="shared" ca="1" si="66"/>
        <v>45474</v>
      </c>
      <c r="I297" s="491">
        <f t="shared" si="67"/>
        <v>4.472999999999999</v>
      </c>
      <c r="J297" s="493"/>
      <c r="K297" s="499"/>
      <c r="L297" s="486"/>
      <c r="M297" s="486"/>
      <c r="N297" s="486"/>
      <c r="O297" s="486"/>
      <c r="P297" s="486"/>
      <c r="Q297" s="486"/>
      <c r="R297" s="486"/>
      <c r="S297" s="486"/>
      <c r="T297" s="486"/>
      <c r="U297" s="486"/>
      <c r="V297" s="486"/>
      <c r="W297" s="486"/>
      <c r="X297" s="486"/>
      <c r="Y297" s="486"/>
      <c r="Z297" s="486"/>
      <c r="AA297" s="486"/>
      <c r="AB297" s="486"/>
      <c r="AC297" s="486"/>
      <c r="AD297" s="486"/>
      <c r="AE297" s="486"/>
      <c r="AF297" s="486"/>
      <c r="AG297" s="486"/>
      <c r="AH297" s="486"/>
      <c r="AI297" s="486"/>
      <c r="AJ297" s="486"/>
      <c r="AK297" s="486"/>
      <c r="AL297" s="486"/>
      <c r="AM297" s="486"/>
      <c r="AN297" s="486"/>
      <c r="AO297" s="486"/>
      <c r="AP297" s="486"/>
      <c r="AQ297" s="486"/>
      <c r="AR297" s="231"/>
    </row>
    <row r="298" spans="1:44" customFormat="1" ht="11.25">
      <c r="A298" s="493">
        <f t="shared" ca="1" si="72"/>
        <v>45505</v>
      </c>
      <c r="B298" s="511">
        <v>4.3069999999999986</v>
      </c>
      <c r="C298" s="511">
        <v>4.4069999999999991</v>
      </c>
      <c r="D298" s="486"/>
      <c r="E298" s="231"/>
      <c r="F298" s="231"/>
      <c r="G298" s="318"/>
      <c r="H298" s="490">
        <f t="shared" ca="1" si="66"/>
        <v>45505</v>
      </c>
      <c r="I298" s="491">
        <f t="shared" si="67"/>
        <v>4.4069999999999991</v>
      </c>
      <c r="J298" s="493"/>
      <c r="K298" s="499"/>
      <c r="L298" s="486"/>
      <c r="M298" s="486"/>
      <c r="N298" s="486"/>
      <c r="O298" s="486"/>
      <c r="P298" s="486"/>
      <c r="Q298" s="486"/>
      <c r="R298" s="486"/>
      <c r="S298" s="486"/>
      <c r="T298" s="486"/>
      <c r="U298" s="486"/>
      <c r="V298" s="486"/>
      <c r="W298" s="486"/>
      <c r="X298" s="486"/>
      <c r="Y298" s="486"/>
      <c r="Z298" s="486"/>
      <c r="AA298" s="486"/>
      <c r="AB298" s="486"/>
      <c r="AC298" s="486"/>
      <c r="AD298" s="486"/>
      <c r="AE298" s="486"/>
      <c r="AF298" s="486"/>
      <c r="AG298" s="486"/>
      <c r="AH298" s="486"/>
      <c r="AI298" s="486"/>
      <c r="AJ298" s="486"/>
      <c r="AK298" s="486"/>
      <c r="AL298" s="486"/>
      <c r="AM298" s="486"/>
      <c r="AN298" s="486"/>
      <c r="AO298" s="486"/>
      <c r="AP298" s="486"/>
      <c r="AQ298" s="486"/>
      <c r="AR298" s="231"/>
    </row>
    <row r="299" spans="1:44" customFormat="1" ht="11.25">
      <c r="A299" s="493">
        <f t="shared" ca="1" si="72"/>
        <v>45536</v>
      </c>
      <c r="B299" s="511">
        <v>4.2579999999999991</v>
      </c>
      <c r="C299" s="511">
        <v>4.3579999999999997</v>
      </c>
      <c r="D299" s="486"/>
      <c r="E299" s="231"/>
      <c r="F299" s="231"/>
      <c r="G299" s="318"/>
      <c r="H299" s="490">
        <f t="shared" ca="1" si="66"/>
        <v>45536</v>
      </c>
      <c r="I299" s="491">
        <f t="shared" si="67"/>
        <v>4.3579999999999997</v>
      </c>
      <c r="J299" s="493"/>
      <c r="K299" s="499"/>
      <c r="L299" s="486"/>
      <c r="M299" s="486"/>
      <c r="N299" s="486"/>
      <c r="O299" s="486"/>
      <c r="P299" s="486"/>
      <c r="Q299" s="486"/>
      <c r="R299" s="486"/>
      <c r="S299" s="486"/>
      <c r="T299" s="486"/>
      <c r="U299" s="486"/>
      <c r="V299" s="486"/>
      <c r="W299" s="486"/>
      <c r="X299" s="486"/>
      <c r="Y299" s="486"/>
      <c r="Z299" s="486"/>
      <c r="AA299" s="486"/>
      <c r="AB299" s="486"/>
      <c r="AC299" s="486"/>
      <c r="AD299" s="486"/>
      <c r="AE299" s="486"/>
      <c r="AF299" s="486"/>
      <c r="AG299" s="486"/>
      <c r="AH299" s="486"/>
      <c r="AI299" s="486"/>
      <c r="AJ299" s="486"/>
      <c r="AK299" s="486"/>
      <c r="AL299" s="486"/>
      <c r="AM299" s="486"/>
      <c r="AN299" s="486"/>
      <c r="AO299" s="486"/>
      <c r="AP299" s="486"/>
      <c r="AQ299" s="486"/>
      <c r="AR299" s="231"/>
    </row>
    <row r="300" spans="1:44" customFormat="1" ht="11.25">
      <c r="A300" s="493">
        <f t="shared" ca="1" si="72"/>
        <v>45566</v>
      </c>
      <c r="B300" s="511">
        <v>4.2450000000000001</v>
      </c>
      <c r="C300" s="511">
        <v>4.3449999999999998</v>
      </c>
      <c r="D300" s="486"/>
      <c r="E300" s="231"/>
      <c r="F300" s="231"/>
      <c r="G300" s="318"/>
      <c r="H300" s="490">
        <f t="shared" ca="1" si="66"/>
        <v>45566</v>
      </c>
      <c r="I300" s="491">
        <f t="shared" si="67"/>
        <v>4.3449999999999998</v>
      </c>
      <c r="J300" s="493"/>
      <c r="K300" s="499"/>
      <c r="L300" s="486"/>
      <c r="M300" s="486"/>
      <c r="N300" s="486"/>
      <c r="O300" s="486"/>
      <c r="P300" s="486"/>
      <c r="Q300" s="486"/>
      <c r="R300" s="486"/>
      <c r="S300" s="486"/>
      <c r="T300" s="486"/>
      <c r="U300" s="486"/>
      <c r="V300" s="486"/>
      <c r="W300" s="486"/>
      <c r="X300" s="486"/>
      <c r="Y300" s="486"/>
      <c r="Z300" s="486"/>
      <c r="AA300" s="486"/>
      <c r="AB300" s="486"/>
      <c r="AC300" s="486"/>
      <c r="AD300" s="486"/>
      <c r="AE300" s="486"/>
      <c r="AF300" s="486"/>
      <c r="AG300" s="486"/>
      <c r="AH300" s="486"/>
      <c r="AI300" s="486"/>
      <c r="AJ300" s="486"/>
      <c r="AK300" s="486"/>
      <c r="AL300" s="486"/>
      <c r="AM300" s="486"/>
      <c r="AN300" s="486"/>
      <c r="AO300" s="486"/>
      <c r="AP300" s="486"/>
      <c r="AQ300" s="486"/>
      <c r="AR300" s="231"/>
    </row>
    <row r="301" spans="1:44" customFormat="1" ht="11.25">
      <c r="A301" s="493">
        <f t="shared" ca="1" si="72"/>
        <v>45597</v>
      </c>
      <c r="B301" s="511">
        <v>4.2530000000000001</v>
      </c>
      <c r="C301" s="511">
        <v>4.3529999999999998</v>
      </c>
      <c r="D301" s="486"/>
      <c r="E301" s="231"/>
      <c r="F301" s="231"/>
      <c r="G301" s="318"/>
      <c r="H301" s="490">
        <f t="shared" ca="1" si="66"/>
        <v>45597</v>
      </c>
      <c r="I301" s="491">
        <f t="shared" si="67"/>
        <v>4.3529999999999998</v>
      </c>
      <c r="J301" s="493"/>
      <c r="K301" s="499"/>
      <c r="L301" s="486"/>
      <c r="M301" s="486"/>
      <c r="N301" s="486"/>
      <c r="O301" s="486"/>
      <c r="P301" s="486"/>
      <c r="Q301" s="486"/>
      <c r="R301" s="486"/>
      <c r="S301" s="486"/>
      <c r="T301" s="486"/>
      <c r="U301" s="486"/>
      <c r="V301" s="486"/>
      <c r="W301" s="486"/>
      <c r="X301" s="486"/>
      <c r="Y301" s="486"/>
      <c r="Z301" s="486"/>
      <c r="AA301" s="486"/>
      <c r="AB301" s="486"/>
      <c r="AC301" s="486"/>
      <c r="AD301" s="486"/>
      <c r="AE301" s="486"/>
      <c r="AF301" s="486"/>
      <c r="AG301" s="486"/>
      <c r="AH301" s="486"/>
      <c r="AI301" s="486"/>
      <c r="AJ301" s="486"/>
      <c r="AK301" s="486"/>
      <c r="AL301" s="486"/>
      <c r="AM301" s="486"/>
      <c r="AN301" s="486"/>
      <c r="AO301" s="486"/>
      <c r="AP301" s="486"/>
      <c r="AQ301" s="486"/>
      <c r="AR301" s="231"/>
    </row>
    <row r="302" spans="1:44" customFormat="1" ht="11.25">
      <c r="A302" s="493">
        <f t="shared" ca="1" si="72"/>
        <v>45627</v>
      </c>
      <c r="B302" s="511">
        <v>4.2450000000000001</v>
      </c>
      <c r="C302" s="511">
        <v>4.3449999999999998</v>
      </c>
      <c r="D302" s="486"/>
      <c r="E302" s="231"/>
      <c r="F302" s="231"/>
      <c r="G302" s="318"/>
      <c r="H302" s="490">
        <f t="shared" ca="1" si="66"/>
        <v>45627</v>
      </c>
      <c r="I302" s="491">
        <f t="shared" si="67"/>
        <v>4.3449999999999998</v>
      </c>
      <c r="J302" s="493"/>
      <c r="K302" s="499"/>
      <c r="L302" s="486"/>
      <c r="M302" s="486"/>
      <c r="N302" s="486"/>
      <c r="O302" s="486"/>
      <c r="P302" s="486"/>
      <c r="Q302" s="486"/>
      <c r="R302" s="486"/>
      <c r="S302" s="486"/>
      <c r="T302" s="486"/>
      <c r="U302" s="486"/>
      <c r="V302" s="486"/>
      <c r="W302" s="486"/>
      <c r="X302" s="486"/>
      <c r="Y302" s="486"/>
      <c r="Z302" s="486"/>
      <c r="AA302" s="486"/>
      <c r="AB302" s="486"/>
      <c r="AC302" s="486"/>
      <c r="AD302" s="486"/>
      <c r="AE302" s="486"/>
      <c r="AF302" s="486"/>
      <c r="AG302" s="486"/>
      <c r="AH302" s="486"/>
      <c r="AI302" s="486"/>
      <c r="AJ302" s="486"/>
      <c r="AK302" s="486"/>
      <c r="AL302" s="486"/>
      <c r="AM302" s="486"/>
      <c r="AN302" s="486"/>
      <c r="AO302" s="486"/>
      <c r="AP302" s="486"/>
      <c r="AQ302" s="486"/>
      <c r="AR302" s="231"/>
    </row>
    <row r="303" spans="1:44" customFormat="1" ht="11.25">
      <c r="A303" s="493">
        <f t="shared" ca="1" si="72"/>
        <v>45658</v>
      </c>
      <c r="B303" s="511">
        <v>4.2450000000000001</v>
      </c>
      <c r="C303" s="511">
        <v>4.3449999999999998</v>
      </c>
      <c r="D303" s="486"/>
      <c r="E303" s="231"/>
      <c r="F303" s="231"/>
      <c r="G303" s="318"/>
      <c r="H303" s="490">
        <f t="shared" ca="1" si="66"/>
        <v>45658</v>
      </c>
      <c r="I303" s="491">
        <f t="shared" si="67"/>
        <v>4.3449999999999998</v>
      </c>
      <c r="J303" s="493"/>
      <c r="K303" s="499"/>
      <c r="L303" s="486"/>
      <c r="M303" s="486"/>
      <c r="N303" s="486"/>
      <c r="O303" s="486"/>
      <c r="P303" s="486"/>
      <c r="Q303" s="486"/>
      <c r="R303" s="486"/>
      <c r="S303" s="486"/>
      <c r="T303" s="486"/>
      <c r="U303" s="486"/>
      <c r="V303" s="486"/>
      <c r="W303" s="486"/>
      <c r="X303" s="486"/>
      <c r="Y303" s="486"/>
      <c r="Z303" s="486"/>
      <c r="AA303" s="486"/>
      <c r="AB303" s="486"/>
      <c r="AC303" s="486"/>
      <c r="AD303" s="486"/>
      <c r="AE303" s="486"/>
      <c r="AF303" s="486"/>
      <c r="AG303" s="486"/>
      <c r="AH303" s="486"/>
      <c r="AI303" s="486"/>
      <c r="AJ303" s="486"/>
      <c r="AK303" s="486"/>
      <c r="AL303" s="486"/>
      <c r="AM303" s="486"/>
      <c r="AN303" s="486"/>
      <c r="AO303" s="486"/>
      <c r="AP303" s="486"/>
      <c r="AQ303" s="486"/>
      <c r="AR303" s="231"/>
    </row>
    <row r="304" spans="1:44" customFormat="1" ht="11.25">
      <c r="A304" s="493">
        <f t="shared" ca="1" si="72"/>
        <v>45689</v>
      </c>
      <c r="B304" s="511">
        <v>4.2450000000000001</v>
      </c>
      <c r="C304" s="511">
        <v>4.3449999999999998</v>
      </c>
      <c r="D304" s="486"/>
      <c r="E304" s="231"/>
      <c r="F304" s="231"/>
      <c r="G304" s="318"/>
      <c r="H304" s="490">
        <f t="shared" ca="1" si="66"/>
        <v>45689</v>
      </c>
      <c r="I304" s="491">
        <f t="shared" si="67"/>
        <v>4.3449999999999998</v>
      </c>
      <c r="J304" s="493"/>
      <c r="K304" s="499"/>
      <c r="L304" s="486"/>
      <c r="M304" s="486"/>
      <c r="N304" s="486"/>
      <c r="O304" s="486"/>
      <c r="P304" s="486"/>
      <c r="Q304" s="486"/>
      <c r="R304" s="486"/>
      <c r="S304" s="486"/>
      <c r="T304" s="486"/>
      <c r="U304" s="486"/>
      <c r="V304" s="486"/>
      <c r="W304" s="486"/>
      <c r="X304" s="486"/>
      <c r="Y304" s="486"/>
      <c r="Z304" s="486"/>
      <c r="AA304" s="486"/>
      <c r="AB304" s="486"/>
      <c r="AC304" s="486"/>
      <c r="AD304" s="486"/>
      <c r="AE304" s="486"/>
      <c r="AF304" s="486"/>
      <c r="AG304" s="486"/>
      <c r="AH304" s="486"/>
      <c r="AI304" s="486"/>
      <c r="AJ304" s="486"/>
      <c r="AK304" s="486"/>
      <c r="AL304" s="486"/>
      <c r="AM304" s="486"/>
      <c r="AN304" s="486"/>
      <c r="AO304" s="486"/>
      <c r="AP304" s="486"/>
      <c r="AQ304" s="486"/>
      <c r="AR304" s="231"/>
    </row>
    <row r="305" spans="1:44" customFormat="1" ht="11.25">
      <c r="A305" s="493">
        <f t="shared" ca="1" si="72"/>
        <v>45717</v>
      </c>
      <c r="B305" s="511">
        <v>4.2450000000000001</v>
      </c>
      <c r="C305" s="511">
        <v>4.3449999999999998</v>
      </c>
      <c r="D305" s="486"/>
      <c r="E305" s="231"/>
      <c r="F305" s="231"/>
      <c r="G305" s="318"/>
      <c r="H305" s="490">
        <f t="shared" ca="1" si="66"/>
        <v>45717</v>
      </c>
      <c r="I305" s="491">
        <f t="shared" si="67"/>
        <v>4.3449999999999998</v>
      </c>
      <c r="J305" s="493"/>
      <c r="K305" s="499"/>
      <c r="L305" s="486"/>
      <c r="M305" s="486"/>
      <c r="N305" s="486"/>
      <c r="O305" s="486"/>
      <c r="P305" s="486"/>
      <c r="Q305" s="486"/>
      <c r="R305" s="486"/>
      <c r="S305" s="486"/>
      <c r="T305" s="486"/>
      <c r="U305" s="486"/>
      <c r="V305" s="486"/>
      <c r="W305" s="486"/>
      <c r="X305" s="486"/>
      <c r="Y305" s="486"/>
      <c r="Z305" s="486"/>
      <c r="AA305" s="486"/>
      <c r="AB305" s="486"/>
      <c r="AC305" s="486"/>
      <c r="AD305" s="486"/>
      <c r="AE305" s="486"/>
      <c r="AF305" s="486"/>
      <c r="AG305" s="486"/>
      <c r="AH305" s="486"/>
      <c r="AI305" s="486"/>
      <c r="AJ305" s="486"/>
      <c r="AK305" s="486"/>
      <c r="AL305" s="486"/>
      <c r="AM305" s="486"/>
      <c r="AN305" s="486"/>
      <c r="AO305" s="486"/>
      <c r="AP305" s="486"/>
      <c r="AQ305" s="486"/>
      <c r="AR305" s="231"/>
    </row>
    <row r="306" spans="1:44" customFormat="1" ht="11.25">
      <c r="A306" s="493">
        <f t="shared" ca="1" si="72"/>
        <v>45748</v>
      </c>
      <c r="B306" s="511">
        <v>4.3189999999999991</v>
      </c>
      <c r="C306" s="511">
        <v>4.4189999999999996</v>
      </c>
      <c r="D306" s="486"/>
      <c r="E306" s="231"/>
      <c r="F306" s="231"/>
      <c r="G306" s="318"/>
      <c r="H306" s="490">
        <f t="shared" ca="1" si="66"/>
        <v>45748</v>
      </c>
      <c r="I306" s="491">
        <f t="shared" si="67"/>
        <v>4.4189999999999996</v>
      </c>
      <c r="J306" s="493"/>
      <c r="K306" s="499"/>
      <c r="L306" s="486"/>
      <c r="M306" s="486"/>
      <c r="N306" s="486"/>
      <c r="O306" s="486"/>
      <c r="P306" s="486"/>
      <c r="Q306" s="486"/>
      <c r="R306" s="486"/>
      <c r="S306" s="486"/>
      <c r="T306" s="486"/>
      <c r="U306" s="486"/>
      <c r="V306" s="486"/>
      <c r="W306" s="486"/>
      <c r="X306" s="486"/>
      <c r="Y306" s="486"/>
      <c r="Z306" s="486"/>
      <c r="AA306" s="486"/>
      <c r="AB306" s="486"/>
      <c r="AC306" s="486"/>
      <c r="AD306" s="486"/>
      <c r="AE306" s="486"/>
      <c r="AF306" s="486"/>
      <c r="AG306" s="486"/>
      <c r="AH306" s="486"/>
      <c r="AI306" s="486"/>
      <c r="AJ306" s="486"/>
      <c r="AK306" s="486"/>
      <c r="AL306" s="486"/>
      <c r="AM306" s="486"/>
      <c r="AN306" s="486"/>
      <c r="AO306" s="486"/>
      <c r="AP306" s="486"/>
      <c r="AQ306" s="486"/>
      <c r="AR306" s="231"/>
    </row>
    <row r="307" spans="1:44" customFormat="1" ht="11.25">
      <c r="A307" s="493">
        <f t="shared" ca="1" si="72"/>
        <v>45778</v>
      </c>
      <c r="B307" s="511">
        <v>4.4369999999999994</v>
      </c>
      <c r="C307" s="511">
        <v>4.5369999999999999</v>
      </c>
      <c r="D307" s="493"/>
      <c r="E307" s="231"/>
      <c r="F307" s="231"/>
      <c r="G307" s="318"/>
      <c r="H307" s="490">
        <f t="shared" ca="1" si="66"/>
        <v>45778</v>
      </c>
      <c r="I307" s="491">
        <f t="shared" si="67"/>
        <v>4.5369999999999999</v>
      </c>
      <c r="J307" s="493"/>
      <c r="K307" s="499"/>
      <c r="L307" s="486"/>
      <c r="M307" s="486"/>
      <c r="N307" s="486"/>
      <c r="O307" s="486"/>
      <c r="P307" s="486"/>
      <c r="Q307" s="486"/>
      <c r="R307" s="486"/>
      <c r="S307" s="486"/>
      <c r="T307" s="486"/>
      <c r="U307" s="486"/>
      <c r="V307" s="486"/>
      <c r="W307" s="486"/>
      <c r="X307" s="486"/>
      <c r="Y307" s="486"/>
      <c r="Z307" s="486"/>
      <c r="AA307" s="486"/>
      <c r="AB307" s="486"/>
      <c r="AC307" s="486"/>
      <c r="AD307" s="486"/>
      <c r="AE307" s="486"/>
      <c r="AF307" s="486"/>
      <c r="AG307" s="486"/>
      <c r="AH307" s="486"/>
      <c r="AI307" s="486"/>
      <c r="AJ307" s="486"/>
      <c r="AK307" s="486"/>
      <c r="AL307" s="486"/>
      <c r="AM307" s="486"/>
      <c r="AN307" s="486"/>
      <c r="AO307" s="486"/>
      <c r="AP307" s="486"/>
      <c r="AQ307" s="486"/>
      <c r="AR307" s="231"/>
    </row>
    <row r="308" spans="1:44" customFormat="1" ht="11.25">
      <c r="A308" s="493">
        <f t="shared" ca="1" si="72"/>
        <v>45809</v>
      </c>
      <c r="B308" s="511">
        <v>4.6280000000000001</v>
      </c>
      <c r="C308" s="511">
        <v>4.7279999999999998</v>
      </c>
      <c r="D308" s="493"/>
      <c r="E308" s="231"/>
      <c r="F308" s="231"/>
      <c r="G308" s="318"/>
      <c r="H308" s="490">
        <f t="shared" ca="1" si="66"/>
        <v>45809</v>
      </c>
      <c r="I308" s="491">
        <f t="shared" si="67"/>
        <v>4.7279999999999998</v>
      </c>
      <c r="J308" s="493"/>
      <c r="K308" s="499"/>
      <c r="L308" s="486"/>
      <c r="M308" s="486"/>
      <c r="N308" s="486"/>
      <c r="O308" s="486"/>
      <c r="P308" s="486"/>
      <c r="Q308" s="486"/>
      <c r="R308" s="486"/>
      <c r="S308" s="486"/>
      <c r="T308" s="486"/>
      <c r="U308" s="486"/>
      <c r="V308" s="486"/>
      <c r="W308" s="486"/>
      <c r="X308" s="486"/>
      <c r="Y308" s="486"/>
      <c r="Z308" s="486"/>
      <c r="AA308" s="486"/>
      <c r="AB308" s="486"/>
      <c r="AC308" s="486"/>
      <c r="AD308" s="486"/>
      <c r="AE308" s="486"/>
      <c r="AF308" s="486"/>
      <c r="AG308" s="486"/>
      <c r="AH308" s="486"/>
      <c r="AI308" s="486"/>
      <c r="AJ308" s="486"/>
      <c r="AK308" s="486"/>
      <c r="AL308" s="486"/>
      <c r="AM308" s="486"/>
      <c r="AN308" s="486"/>
      <c r="AO308" s="486"/>
      <c r="AP308" s="486"/>
      <c r="AQ308" s="486"/>
      <c r="AR308" s="231"/>
    </row>
    <row r="309" spans="1:44" customFormat="1" ht="11.25">
      <c r="A309" s="493">
        <f t="shared" ca="1" si="72"/>
        <v>45839</v>
      </c>
      <c r="B309" s="511">
        <v>4.5429999999999993</v>
      </c>
      <c r="C309" s="511">
        <v>4.6429999999999989</v>
      </c>
      <c r="D309" s="493"/>
      <c r="E309" s="231"/>
      <c r="F309" s="231"/>
      <c r="G309" s="318"/>
      <c r="H309" s="490">
        <f t="shared" ca="1" si="66"/>
        <v>45839</v>
      </c>
      <c r="I309" s="491">
        <f t="shared" si="67"/>
        <v>4.6429999999999989</v>
      </c>
      <c r="J309" s="493"/>
      <c r="K309" s="499"/>
      <c r="L309" s="486"/>
      <c r="M309" s="486"/>
      <c r="N309" s="486"/>
      <c r="O309" s="486"/>
      <c r="P309" s="486"/>
      <c r="Q309" s="486"/>
      <c r="R309" s="486"/>
      <c r="S309" s="486"/>
      <c r="T309" s="486"/>
      <c r="U309" s="486"/>
      <c r="V309" s="486"/>
      <c r="W309" s="486"/>
      <c r="X309" s="486"/>
      <c r="Y309" s="486"/>
      <c r="Z309" s="486"/>
      <c r="AA309" s="486"/>
      <c r="AB309" s="486"/>
      <c r="AC309" s="486"/>
      <c r="AD309" s="486"/>
      <c r="AE309" s="486"/>
      <c r="AF309" s="486"/>
      <c r="AG309" s="486"/>
      <c r="AH309" s="486"/>
      <c r="AI309" s="486"/>
      <c r="AJ309" s="486"/>
      <c r="AK309" s="486"/>
      <c r="AL309" s="486"/>
      <c r="AM309" s="486"/>
      <c r="AN309" s="486"/>
      <c r="AO309" s="486"/>
      <c r="AP309" s="486"/>
      <c r="AQ309" s="486"/>
      <c r="AR309" s="231"/>
    </row>
    <row r="310" spans="1:44" customFormat="1" ht="11.25">
      <c r="A310" s="493">
        <f t="shared" ca="1" si="72"/>
        <v>45870</v>
      </c>
      <c r="B310" s="511">
        <v>0</v>
      </c>
      <c r="C310" s="511">
        <v>0</v>
      </c>
      <c r="D310" s="493"/>
      <c r="E310" s="231"/>
      <c r="F310" s="231"/>
      <c r="G310" s="318"/>
      <c r="H310" s="493"/>
      <c r="I310" s="486"/>
      <c r="J310" s="493"/>
      <c r="K310" s="499"/>
      <c r="L310" s="486"/>
      <c r="M310" s="486"/>
      <c r="N310" s="486"/>
      <c r="O310" s="486"/>
      <c r="P310" s="486"/>
      <c r="Q310" s="486"/>
      <c r="R310" s="486"/>
      <c r="S310" s="486"/>
      <c r="T310" s="486"/>
      <c r="U310" s="486"/>
      <c r="V310" s="486"/>
      <c r="W310" s="486"/>
      <c r="X310" s="486"/>
      <c r="Y310" s="486"/>
      <c r="Z310" s="486"/>
      <c r="AA310" s="486"/>
      <c r="AB310" s="486"/>
      <c r="AC310" s="486"/>
      <c r="AD310" s="486"/>
      <c r="AE310" s="486"/>
      <c r="AF310" s="486"/>
      <c r="AG310" s="486"/>
      <c r="AH310" s="486"/>
      <c r="AI310" s="486"/>
      <c r="AJ310" s="486"/>
      <c r="AK310" s="486"/>
      <c r="AL310" s="486"/>
      <c r="AM310" s="486"/>
      <c r="AN310" s="486"/>
      <c r="AO310" s="486"/>
      <c r="AP310" s="486"/>
      <c r="AQ310" s="486"/>
      <c r="AR310" s="231"/>
    </row>
  </sheetData>
  <printOptions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B129"/>
  <sheetViews>
    <sheetView topLeftCell="D42" workbookViewId="0">
      <selection activeCell="D77" sqref="D77"/>
    </sheetView>
  </sheetViews>
  <sheetFormatPr defaultRowHeight="11.25"/>
  <cols>
    <col min="1" max="1" width="22" style="231" customWidth="1"/>
    <col min="2" max="2" width="15.83203125" style="231" customWidth="1"/>
    <col min="3" max="3" width="12.6640625" style="231" customWidth="1"/>
    <col min="4" max="4" width="14.83203125" style="231" customWidth="1"/>
    <col min="5" max="5" width="10.6640625" style="231" customWidth="1"/>
    <col min="6" max="16" width="9.33203125" style="231"/>
    <col min="17" max="21" width="10.6640625" style="231" customWidth="1"/>
    <col min="22" max="16384" width="9.33203125" style="231"/>
  </cols>
  <sheetData>
    <row r="1" spans="1:27" ht="12" thickBot="1">
      <c r="A1"/>
      <c r="B1"/>
      <c r="D1"/>
      <c r="E1"/>
    </row>
    <row r="2" spans="1:27" ht="12.75" thickTop="1" thickBot="1">
      <c r="F2" s="461" t="str">
        <f>+GC!I2</f>
        <v>12/31/99 or</v>
      </c>
      <c r="G2" s="10"/>
      <c r="H2" s="5"/>
      <c r="I2" s="5"/>
      <c r="J2" s="5"/>
      <c r="K2" s="5"/>
      <c r="L2" s="5"/>
      <c r="M2" s="5"/>
      <c r="N2" s="5"/>
      <c r="O2" s="5"/>
      <c r="P2" s="11" t="str">
        <f>+GC!S2</f>
        <v>Year 10</v>
      </c>
      <c r="Q2"/>
      <c r="R2" s="5"/>
      <c r="S2" s="5"/>
      <c r="T2" s="5"/>
      <c r="U2" s="5"/>
      <c r="V2"/>
      <c r="W2"/>
      <c r="X2" s="300"/>
      <c r="Y2"/>
      <c r="Z2" s="9" t="s">
        <v>21</v>
      </c>
    </row>
    <row r="3" spans="1:27" ht="12.75" thickTop="1" thickBot="1">
      <c r="F3" s="463" t="str">
        <f ca="1">+GC!I3</f>
        <v xml:space="preserve">6 M/1999 </v>
      </c>
      <c r="G3" s="299">
        <f>+GC!J3</f>
        <v>2000</v>
      </c>
      <c r="H3" s="299">
        <f>+GC!K3</f>
        <v>2001</v>
      </c>
      <c r="I3" s="299">
        <f>+GC!L3</f>
        <v>2002</v>
      </c>
      <c r="J3" s="299">
        <f>+GC!M3</f>
        <v>2003</v>
      </c>
      <c r="K3" s="299">
        <f>+GC!N3</f>
        <v>2004</v>
      </c>
      <c r="L3" s="299">
        <f>+GC!O3</f>
        <v>2005</v>
      </c>
      <c r="M3" s="299">
        <f>+GC!P3</f>
        <v>2006</v>
      </c>
      <c r="N3" s="299">
        <f>+GC!Q3</f>
        <v>2007</v>
      </c>
      <c r="O3" s="299">
        <f>+GC!R3</f>
        <v>2008</v>
      </c>
      <c r="P3" s="453">
        <f>+GC!S3</f>
        <v>2009</v>
      </c>
      <c r="Q3" s="299">
        <f>+GC!T3</f>
        <v>2010</v>
      </c>
      <c r="R3" s="299">
        <f>+GC!U3</f>
        <v>2011</v>
      </c>
      <c r="S3" s="299">
        <f>+GC!V3</f>
        <v>2012</v>
      </c>
      <c r="T3" s="299">
        <f>+GC!W3</f>
        <v>2013</v>
      </c>
      <c r="U3" s="299">
        <f>+GC!X3</f>
        <v>2014</v>
      </c>
      <c r="V3" s="299">
        <f>+GC!Y3</f>
        <v>2015</v>
      </c>
      <c r="W3" s="299">
        <f>+GC!Z3</f>
        <v>2016</v>
      </c>
      <c r="X3" s="299">
        <f>+GC!AA3</f>
        <v>2017</v>
      </c>
      <c r="Y3" s="299">
        <f>+GC!AB3</f>
        <v>2018</v>
      </c>
      <c r="Z3" s="453">
        <f>+GC!AC3</f>
        <v>2019</v>
      </c>
    </row>
    <row r="4" spans="1:27" ht="12" thickTop="1">
      <c r="A4" s="754" t="s">
        <v>22</v>
      </c>
      <c r="B4" s="754" t="s">
        <v>23</v>
      </c>
      <c r="C4" s="754" t="s">
        <v>24</v>
      </c>
    </row>
    <row r="5" spans="1:27">
      <c r="A5" t="s">
        <v>25</v>
      </c>
      <c r="B5" s="83" t="s">
        <v>26</v>
      </c>
      <c r="C5" s="231" t="s">
        <v>27</v>
      </c>
      <c r="D5" s="349" t="s">
        <v>28</v>
      </c>
      <c r="E5"/>
      <c r="F5" s="700">
        <f ca="1">+GC!I33</f>
        <v>2149.1510853212985</v>
      </c>
      <c r="G5" s="700">
        <f ca="1">+GC!J33</f>
        <v>2149.1510853212985</v>
      </c>
      <c r="H5" s="700">
        <f ca="1">+GC!K33</f>
        <v>2149.1510853212985</v>
      </c>
      <c r="I5" s="700">
        <f ca="1">+GC!L33</f>
        <v>2149.1510853212985</v>
      </c>
      <c r="J5" s="700">
        <f ca="1">+GC!M33</f>
        <v>2149.1510853212985</v>
      </c>
      <c r="K5" s="700">
        <f ca="1">+GC!N33</f>
        <v>2149.1510853212985</v>
      </c>
      <c r="L5" s="700">
        <f ca="1">+GC!O33</f>
        <v>2149.1510853212985</v>
      </c>
      <c r="M5" s="700">
        <f ca="1">+GC!P33</f>
        <v>2149.1510853212985</v>
      </c>
      <c r="N5" s="700">
        <f ca="1">+GC!Q33</f>
        <v>2149.1510853212985</v>
      </c>
      <c r="O5" s="700">
        <f ca="1">+GC!R33</f>
        <v>2149.1510853212985</v>
      </c>
      <c r="P5" s="700">
        <f ca="1">+GC!S33</f>
        <v>2149.1510853212985</v>
      </c>
      <c r="Q5" s="700">
        <f ca="1">+GC!T33</f>
        <v>2149.1510853212985</v>
      </c>
      <c r="R5" s="700">
        <f ca="1">+GC!U33</f>
        <v>2149.1510853212985</v>
      </c>
      <c r="S5" s="700">
        <f ca="1">+GC!V33</f>
        <v>2149.1510853212985</v>
      </c>
      <c r="T5" s="700">
        <f ca="1">+GC!W33</f>
        <v>2149.1510853212985</v>
      </c>
      <c r="U5" s="700">
        <f ca="1">+GC!X33</f>
        <v>2149.1510853212985</v>
      </c>
      <c r="V5" s="700">
        <f ca="1">+GC!Y33</f>
        <v>2149.1510853212985</v>
      </c>
      <c r="W5" s="700">
        <f ca="1">+GC!Z33</f>
        <v>2149.1510853212985</v>
      </c>
      <c r="X5" s="700">
        <f ca="1">+GC!AA33</f>
        <v>2149.1510853212985</v>
      </c>
      <c r="Y5" s="700">
        <f ca="1">+GC!AB33</f>
        <v>2149.1510853212985</v>
      </c>
      <c r="Z5" s="700">
        <f ca="1">+GC!AC33</f>
        <v>2149.1510853212985</v>
      </c>
    </row>
    <row r="6" spans="1:27">
      <c r="A6"/>
      <c r="B6" s="83" t="s">
        <v>26</v>
      </c>
      <c r="C6" s="5" t="s">
        <v>29</v>
      </c>
      <c r="D6" s="83"/>
      <c r="F6" s="700">
        <f ca="1">+GC!I33</f>
        <v>2149.1510853212985</v>
      </c>
      <c r="G6" s="700">
        <f ca="1">+GC!J33</f>
        <v>2149.1510853212985</v>
      </c>
      <c r="H6" s="700">
        <f ca="1">+GC!K33</f>
        <v>2149.1510853212985</v>
      </c>
      <c r="I6" s="700">
        <f ca="1">+GC!L33</f>
        <v>2149.1510853212985</v>
      </c>
      <c r="J6" s="700">
        <f ca="1">+GC!M33</f>
        <v>2149.1510853212985</v>
      </c>
      <c r="K6" s="700">
        <f ca="1">+GC!N33</f>
        <v>2149.1510853212985</v>
      </c>
      <c r="L6" s="700">
        <f ca="1">+GC!O33</f>
        <v>2149.1510853212985</v>
      </c>
      <c r="M6" s="700">
        <f ca="1">+GC!P33</f>
        <v>2149.1510853212985</v>
      </c>
      <c r="N6" s="700">
        <f ca="1">+GC!Q33</f>
        <v>2149.1510853212985</v>
      </c>
      <c r="O6" s="700">
        <f ca="1">+GC!R33</f>
        <v>2149.1510853212985</v>
      </c>
      <c r="P6" s="700">
        <f ca="1">+GC!S33</f>
        <v>2149.1510853212985</v>
      </c>
      <c r="Q6" s="700">
        <f ca="1">+GC!T33</f>
        <v>2149.1510853212985</v>
      </c>
      <c r="R6" s="700">
        <f ca="1">+GC!U33</f>
        <v>2149.1510853212985</v>
      </c>
      <c r="S6" s="700">
        <f ca="1">+GC!V33</f>
        <v>2149.1510853212985</v>
      </c>
      <c r="T6" s="700">
        <f ca="1">+GC!W33</f>
        <v>2149.1510853212985</v>
      </c>
      <c r="U6" s="700">
        <f ca="1">+GC!X33</f>
        <v>2149.1510853212985</v>
      </c>
      <c r="V6" s="700">
        <f ca="1">+GC!Y33</f>
        <v>2149.1510853212985</v>
      </c>
      <c r="W6" s="700">
        <f ca="1">+GC!Z33</f>
        <v>2149.1510853212985</v>
      </c>
      <c r="X6" s="700">
        <f ca="1">+GC!AA33</f>
        <v>2149.1510853212985</v>
      </c>
      <c r="Y6" s="700">
        <f ca="1">+GC!AB33</f>
        <v>2149.1510853212985</v>
      </c>
      <c r="Z6" s="700">
        <f ca="1">+GC!AC33</f>
        <v>2149.1510853212985</v>
      </c>
    </row>
    <row r="7" spans="1:27">
      <c r="A7"/>
      <c r="B7" s="83" t="s">
        <v>26</v>
      </c>
      <c r="C7" s="231" t="s">
        <v>30</v>
      </c>
      <c r="D7" s="83" t="s">
        <v>31</v>
      </c>
      <c r="E7" s="751">
        <v>0</v>
      </c>
      <c r="F7" s="231">
        <f ca="1">+F6*$E$7</f>
        <v>0</v>
      </c>
      <c r="G7" s="231">
        <f t="shared" ref="G7:V7" ca="1" si="0">+G6*$E$7</f>
        <v>0</v>
      </c>
      <c r="H7" s="231">
        <f t="shared" ca="1" si="0"/>
        <v>0</v>
      </c>
      <c r="I7" s="231">
        <f t="shared" ca="1" si="0"/>
        <v>0</v>
      </c>
      <c r="J7" s="231">
        <f t="shared" ca="1" si="0"/>
        <v>0</v>
      </c>
      <c r="K7" s="231">
        <f t="shared" ca="1" si="0"/>
        <v>0</v>
      </c>
      <c r="L7" s="231">
        <f t="shared" ca="1" si="0"/>
        <v>0</v>
      </c>
      <c r="M7" s="231">
        <f t="shared" ca="1" si="0"/>
        <v>0</v>
      </c>
      <c r="N7" s="231">
        <f t="shared" ca="1" si="0"/>
        <v>0</v>
      </c>
      <c r="O7" s="231">
        <f t="shared" ca="1" si="0"/>
        <v>0</v>
      </c>
      <c r="P7" s="231">
        <f t="shared" ca="1" si="0"/>
        <v>0</v>
      </c>
      <c r="Q7" s="231">
        <f t="shared" ca="1" si="0"/>
        <v>0</v>
      </c>
      <c r="R7" s="231">
        <f t="shared" ca="1" si="0"/>
        <v>0</v>
      </c>
      <c r="S7" s="231">
        <f t="shared" ca="1" si="0"/>
        <v>0</v>
      </c>
      <c r="T7" s="231">
        <f t="shared" ca="1" si="0"/>
        <v>0</v>
      </c>
      <c r="U7" s="231">
        <f t="shared" ca="1" si="0"/>
        <v>0</v>
      </c>
      <c r="V7" s="231">
        <f t="shared" ca="1" si="0"/>
        <v>0</v>
      </c>
      <c r="W7" s="231">
        <f ca="1">+W6*$E$7</f>
        <v>0</v>
      </c>
      <c r="X7" s="231">
        <f ca="1">+X6*$E$7</f>
        <v>0</v>
      </c>
      <c r="Y7" s="231">
        <f ca="1">+Y6*$E$7</f>
        <v>0</v>
      </c>
      <c r="Z7" s="231">
        <f ca="1">+Z6*$E$7</f>
        <v>0</v>
      </c>
    </row>
    <row r="9" spans="1:27">
      <c r="A9" s="349" t="s">
        <v>32</v>
      </c>
      <c r="B9" s="83" t="s">
        <v>33</v>
      </c>
      <c r="C9" s="231" t="s">
        <v>34</v>
      </c>
      <c r="D9" s="349" t="s">
        <v>35</v>
      </c>
      <c r="E9"/>
      <c r="F9" s="693">
        <f t="shared" ref="F9:O9" ca="1" si="1">+F10</f>
        <v>764.68638509919879</v>
      </c>
      <c r="G9" s="693">
        <f t="shared" ca="1" si="1"/>
        <v>764.68638509919879</v>
      </c>
      <c r="H9" s="693">
        <f t="shared" ca="1" si="1"/>
        <v>764.68638509919879</v>
      </c>
      <c r="I9" s="693">
        <f t="shared" ca="1" si="1"/>
        <v>764.68638509919879</v>
      </c>
      <c r="J9" s="693">
        <f t="shared" ca="1" si="1"/>
        <v>764.68638509919879</v>
      </c>
      <c r="K9" s="693">
        <f t="shared" ca="1" si="1"/>
        <v>764.68638509919879</v>
      </c>
      <c r="L9" s="693">
        <f t="shared" ca="1" si="1"/>
        <v>764.68638509919879</v>
      </c>
      <c r="M9" s="693">
        <f t="shared" ca="1" si="1"/>
        <v>764.68638509919879</v>
      </c>
      <c r="N9" s="693">
        <f t="shared" ca="1" si="1"/>
        <v>764.68638509919879</v>
      </c>
      <c r="O9" s="693">
        <f t="shared" ca="1" si="1"/>
        <v>764.68638509919879</v>
      </c>
      <c r="P9" s="693">
        <f t="shared" ref="P9:Z9" ca="1" si="2">+P10</f>
        <v>764.68638509919879</v>
      </c>
      <c r="Q9" s="693">
        <f t="shared" ca="1" si="2"/>
        <v>764.68638509919879</v>
      </c>
      <c r="R9" s="693">
        <f t="shared" ca="1" si="2"/>
        <v>764.68638509919879</v>
      </c>
      <c r="S9" s="693">
        <f t="shared" ca="1" si="2"/>
        <v>764.68638509919879</v>
      </c>
      <c r="T9" s="693">
        <f t="shared" ca="1" si="2"/>
        <v>764.68638509919879</v>
      </c>
      <c r="U9" s="693">
        <f t="shared" ca="1" si="2"/>
        <v>764.68638509919879</v>
      </c>
      <c r="V9" s="693">
        <f t="shared" ca="1" si="2"/>
        <v>764.68638509919879</v>
      </c>
      <c r="W9" s="693">
        <f t="shared" ca="1" si="2"/>
        <v>764.68638509919879</v>
      </c>
      <c r="X9" s="693">
        <f t="shared" ca="1" si="2"/>
        <v>764.68638509919879</v>
      </c>
      <c r="Y9" s="693">
        <f t="shared" ca="1" si="2"/>
        <v>764.68638509919879</v>
      </c>
      <c r="Z9" s="693">
        <f t="shared" ca="1" si="2"/>
        <v>764.68638509919879</v>
      </c>
    </row>
    <row r="10" spans="1:27">
      <c r="A10"/>
      <c r="B10" s="231" t="s">
        <v>33</v>
      </c>
      <c r="C10" s="231" t="s">
        <v>36</v>
      </c>
      <c r="D10" s="231" t="s">
        <v>37</v>
      </c>
      <c r="E10" s="750">
        <v>7.7</v>
      </c>
      <c r="F10" s="231">
        <f ca="1">+F5*1000/$E$10/365</f>
        <v>764.68638509919879</v>
      </c>
      <c r="G10" s="231">
        <f t="shared" ref="G10:V10" ca="1" si="3">+G5*1000/$E$10/365</f>
        <v>764.68638509919879</v>
      </c>
      <c r="H10" s="231">
        <f t="shared" ca="1" si="3"/>
        <v>764.68638509919879</v>
      </c>
      <c r="I10" s="231">
        <f t="shared" ca="1" si="3"/>
        <v>764.68638509919879</v>
      </c>
      <c r="J10" s="231">
        <f t="shared" ca="1" si="3"/>
        <v>764.68638509919879</v>
      </c>
      <c r="K10" s="231">
        <f t="shared" ca="1" si="3"/>
        <v>764.68638509919879</v>
      </c>
      <c r="L10" s="231">
        <f t="shared" ca="1" si="3"/>
        <v>764.68638509919879</v>
      </c>
      <c r="M10" s="231">
        <f t="shared" ca="1" si="3"/>
        <v>764.68638509919879</v>
      </c>
      <c r="N10" s="231">
        <f t="shared" ca="1" si="3"/>
        <v>764.68638509919879</v>
      </c>
      <c r="O10" s="231">
        <f t="shared" ca="1" si="3"/>
        <v>764.68638509919879</v>
      </c>
      <c r="P10" s="231">
        <f t="shared" ca="1" si="3"/>
        <v>764.68638509919879</v>
      </c>
      <c r="Q10" s="231">
        <f t="shared" ca="1" si="3"/>
        <v>764.68638509919879</v>
      </c>
      <c r="R10" s="231">
        <f t="shared" ca="1" si="3"/>
        <v>764.68638509919879</v>
      </c>
      <c r="S10" s="231">
        <f t="shared" ca="1" si="3"/>
        <v>764.68638509919879</v>
      </c>
      <c r="T10" s="231">
        <f t="shared" ca="1" si="3"/>
        <v>764.68638509919879</v>
      </c>
      <c r="U10" s="231">
        <f t="shared" ca="1" si="3"/>
        <v>764.68638509919879</v>
      </c>
      <c r="V10" s="231">
        <f t="shared" ca="1" si="3"/>
        <v>764.68638509919879</v>
      </c>
      <c r="W10" s="231">
        <f ca="1">+W5*1000/$E$10/365</f>
        <v>764.68638509919879</v>
      </c>
      <c r="X10" s="231">
        <f ca="1">+X5*1000/$E$10/365</f>
        <v>764.68638509919879</v>
      </c>
      <c r="Y10" s="231">
        <f ca="1">+Y5*1000/$E$10/365</f>
        <v>764.68638509919879</v>
      </c>
      <c r="Z10" s="231">
        <f ca="1">+Z5*1000/$E$10/365</f>
        <v>764.68638509919879</v>
      </c>
    </row>
    <row r="11" spans="1:27">
      <c r="A11"/>
      <c r="B11" s="231" t="s">
        <v>33</v>
      </c>
      <c r="C11" s="231" t="s">
        <v>38</v>
      </c>
      <c r="D11" s="349" t="s">
        <v>39</v>
      </c>
      <c r="E11" s="751">
        <v>0.05</v>
      </c>
      <c r="F11" s="231">
        <f ca="1">+F10*$E$11</f>
        <v>38.234319254959942</v>
      </c>
      <c r="G11" s="231">
        <f t="shared" ref="G11:V11" ca="1" si="4">+G10*$E$11</f>
        <v>38.234319254959942</v>
      </c>
      <c r="H11" s="231">
        <f t="shared" ca="1" si="4"/>
        <v>38.234319254959942</v>
      </c>
      <c r="I11" s="231">
        <f t="shared" ca="1" si="4"/>
        <v>38.234319254959942</v>
      </c>
      <c r="J11" s="231">
        <f t="shared" ca="1" si="4"/>
        <v>38.234319254959942</v>
      </c>
      <c r="K11" s="231">
        <f t="shared" ca="1" si="4"/>
        <v>38.234319254959942</v>
      </c>
      <c r="L11" s="231">
        <f t="shared" ca="1" si="4"/>
        <v>38.234319254959942</v>
      </c>
      <c r="M11" s="231">
        <f t="shared" ca="1" si="4"/>
        <v>38.234319254959942</v>
      </c>
      <c r="N11" s="231">
        <f t="shared" ca="1" si="4"/>
        <v>38.234319254959942</v>
      </c>
      <c r="O11" s="231">
        <f t="shared" ca="1" si="4"/>
        <v>38.234319254959942</v>
      </c>
      <c r="P11" s="231">
        <f t="shared" ca="1" si="4"/>
        <v>38.234319254959942</v>
      </c>
      <c r="Q11" s="231">
        <f t="shared" ca="1" si="4"/>
        <v>38.234319254959942</v>
      </c>
      <c r="R11" s="231">
        <f t="shared" ca="1" si="4"/>
        <v>38.234319254959942</v>
      </c>
      <c r="S11" s="231">
        <f t="shared" ca="1" si="4"/>
        <v>38.234319254959942</v>
      </c>
      <c r="T11" s="231">
        <f t="shared" ca="1" si="4"/>
        <v>38.234319254959942</v>
      </c>
      <c r="U11" s="231">
        <f t="shared" ca="1" si="4"/>
        <v>38.234319254959942</v>
      </c>
      <c r="V11" s="231">
        <f t="shared" ca="1" si="4"/>
        <v>38.234319254959942</v>
      </c>
      <c r="W11" s="231">
        <f ca="1">+W10*$E$11</f>
        <v>38.234319254959942</v>
      </c>
      <c r="X11" s="231">
        <f ca="1">+X10*$E$11</f>
        <v>38.234319254959942</v>
      </c>
      <c r="Y11" s="231">
        <f ca="1">+Y10*$E$11</f>
        <v>38.234319254959942</v>
      </c>
      <c r="Z11" s="231">
        <f ca="1">+Z10*$E$11</f>
        <v>38.234319254959942</v>
      </c>
    </row>
    <row r="12" spans="1:27">
      <c r="A12"/>
      <c r="E12"/>
    </row>
    <row r="13" spans="1:27">
      <c r="A13" s="339" t="s">
        <v>40</v>
      </c>
      <c r="B13" s="231" t="s">
        <v>41</v>
      </c>
      <c r="C13" s="231" t="s">
        <v>42</v>
      </c>
      <c r="D13" s="349" t="s">
        <v>43</v>
      </c>
      <c r="E13"/>
      <c r="F13" s="751">
        <f>+E14</f>
        <v>0.5</v>
      </c>
      <c r="G13" s="751">
        <f t="shared" ref="G13:Z13" si="5">F13</f>
        <v>0.5</v>
      </c>
      <c r="H13" s="751">
        <f t="shared" si="5"/>
        <v>0.5</v>
      </c>
      <c r="I13" s="751">
        <f t="shared" si="5"/>
        <v>0.5</v>
      </c>
      <c r="J13" s="751">
        <f t="shared" si="5"/>
        <v>0.5</v>
      </c>
      <c r="K13" s="751">
        <f t="shared" si="5"/>
        <v>0.5</v>
      </c>
      <c r="L13" s="751">
        <f t="shared" si="5"/>
        <v>0.5</v>
      </c>
      <c r="M13" s="751">
        <f t="shared" si="5"/>
        <v>0.5</v>
      </c>
      <c r="N13" s="751">
        <f t="shared" si="5"/>
        <v>0.5</v>
      </c>
      <c r="O13" s="751">
        <f t="shared" si="5"/>
        <v>0.5</v>
      </c>
      <c r="P13" s="751">
        <f t="shared" si="5"/>
        <v>0.5</v>
      </c>
      <c r="Q13" s="751">
        <f t="shared" si="5"/>
        <v>0.5</v>
      </c>
      <c r="R13" s="751">
        <f t="shared" si="5"/>
        <v>0.5</v>
      </c>
      <c r="S13" s="751">
        <f t="shared" si="5"/>
        <v>0.5</v>
      </c>
      <c r="T13" s="751">
        <f t="shared" si="5"/>
        <v>0.5</v>
      </c>
      <c r="U13" s="751">
        <f t="shared" si="5"/>
        <v>0.5</v>
      </c>
      <c r="V13" s="751">
        <f t="shared" si="5"/>
        <v>0.5</v>
      </c>
      <c r="W13" s="751">
        <f t="shared" si="5"/>
        <v>0.5</v>
      </c>
      <c r="X13" s="751">
        <f t="shared" si="5"/>
        <v>0.5</v>
      </c>
      <c r="Y13" s="751">
        <f t="shared" si="5"/>
        <v>0.5</v>
      </c>
      <c r="Z13" s="751">
        <f t="shared" si="5"/>
        <v>0.5</v>
      </c>
      <c r="AA13" s="231" t="s">
        <v>44</v>
      </c>
    </row>
    <row r="14" spans="1:27">
      <c r="A14" t="s">
        <v>45</v>
      </c>
      <c r="B14" s="231" t="s">
        <v>41</v>
      </c>
      <c r="C14" s="231" t="s">
        <v>46</v>
      </c>
      <c r="D14"/>
      <c r="E14" s="752">
        <v>0.5</v>
      </c>
      <c r="F14" s="753">
        <f>E14</f>
        <v>0.5</v>
      </c>
      <c r="G14" s="753">
        <f t="shared" ref="G14:Z14" si="6">F14</f>
        <v>0.5</v>
      </c>
      <c r="H14" s="753">
        <f t="shared" si="6"/>
        <v>0.5</v>
      </c>
      <c r="I14" s="753">
        <f t="shared" si="6"/>
        <v>0.5</v>
      </c>
      <c r="J14" s="753">
        <f t="shared" si="6"/>
        <v>0.5</v>
      </c>
      <c r="K14" s="753">
        <f t="shared" si="6"/>
        <v>0.5</v>
      </c>
      <c r="L14" s="753">
        <f t="shared" si="6"/>
        <v>0.5</v>
      </c>
      <c r="M14" s="753">
        <f t="shared" si="6"/>
        <v>0.5</v>
      </c>
      <c r="N14" s="753">
        <f t="shared" si="6"/>
        <v>0.5</v>
      </c>
      <c r="O14" s="753">
        <f t="shared" si="6"/>
        <v>0.5</v>
      </c>
      <c r="P14" s="753">
        <f t="shared" si="6"/>
        <v>0.5</v>
      </c>
      <c r="Q14" s="753">
        <f t="shared" si="6"/>
        <v>0.5</v>
      </c>
      <c r="R14" s="753">
        <f t="shared" si="6"/>
        <v>0.5</v>
      </c>
      <c r="S14" s="753">
        <f t="shared" si="6"/>
        <v>0.5</v>
      </c>
      <c r="T14" s="753">
        <f t="shared" si="6"/>
        <v>0.5</v>
      </c>
      <c r="U14" s="753">
        <f t="shared" si="6"/>
        <v>0.5</v>
      </c>
      <c r="V14" s="753">
        <f t="shared" si="6"/>
        <v>0.5</v>
      </c>
      <c r="W14" s="753">
        <f t="shared" si="6"/>
        <v>0.5</v>
      </c>
      <c r="X14" s="753">
        <f t="shared" si="6"/>
        <v>0.5</v>
      </c>
      <c r="Y14" s="753">
        <f t="shared" si="6"/>
        <v>0.5</v>
      </c>
      <c r="Z14" s="753">
        <f t="shared" si="6"/>
        <v>0.5</v>
      </c>
    </row>
    <row r="15" spans="1:27">
      <c r="A15"/>
      <c r="B15" s="231" t="s">
        <v>41</v>
      </c>
      <c r="C15" s="231" t="s">
        <v>47</v>
      </c>
      <c r="D15" s="349" t="s">
        <v>48</v>
      </c>
      <c r="E15" s="752">
        <v>0.05</v>
      </c>
      <c r="F15" s="753">
        <f>+F14*$E$15</f>
        <v>2.5000000000000001E-2</v>
      </c>
      <c r="G15" s="753">
        <f t="shared" ref="G15:V15" si="7">+G14*$E$15</f>
        <v>2.5000000000000001E-2</v>
      </c>
      <c r="H15" s="753">
        <f t="shared" si="7"/>
        <v>2.5000000000000001E-2</v>
      </c>
      <c r="I15" s="753">
        <f t="shared" si="7"/>
        <v>2.5000000000000001E-2</v>
      </c>
      <c r="J15" s="753">
        <f t="shared" si="7"/>
        <v>2.5000000000000001E-2</v>
      </c>
      <c r="K15" s="753">
        <f t="shared" si="7"/>
        <v>2.5000000000000001E-2</v>
      </c>
      <c r="L15" s="753">
        <f t="shared" si="7"/>
        <v>2.5000000000000001E-2</v>
      </c>
      <c r="M15" s="753">
        <f t="shared" si="7"/>
        <v>2.5000000000000001E-2</v>
      </c>
      <c r="N15" s="753">
        <f t="shared" si="7"/>
        <v>2.5000000000000001E-2</v>
      </c>
      <c r="O15" s="753">
        <f t="shared" si="7"/>
        <v>2.5000000000000001E-2</v>
      </c>
      <c r="P15" s="753">
        <f t="shared" si="7"/>
        <v>2.5000000000000001E-2</v>
      </c>
      <c r="Q15" s="753">
        <f t="shared" si="7"/>
        <v>2.5000000000000001E-2</v>
      </c>
      <c r="R15" s="753">
        <f t="shared" si="7"/>
        <v>2.5000000000000001E-2</v>
      </c>
      <c r="S15" s="753">
        <f t="shared" si="7"/>
        <v>2.5000000000000001E-2</v>
      </c>
      <c r="T15" s="753">
        <f t="shared" si="7"/>
        <v>2.5000000000000001E-2</v>
      </c>
      <c r="U15" s="753">
        <f t="shared" si="7"/>
        <v>2.5000000000000001E-2</v>
      </c>
      <c r="V15" s="753">
        <f t="shared" si="7"/>
        <v>2.5000000000000001E-2</v>
      </c>
      <c r="W15" s="753">
        <f>+W14*$E$15</f>
        <v>2.5000000000000001E-2</v>
      </c>
      <c r="X15" s="753">
        <f>+X14*$E$15</f>
        <v>2.5000000000000001E-2</v>
      </c>
      <c r="Y15" s="753">
        <f>+Y14*$E$15</f>
        <v>2.5000000000000001E-2</v>
      </c>
      <c r="Z15" s="753">
        <f>+Z14*$E$15</f>
        <v>2.5000000000000001E-2</v>
      </c>
    </row>
    <row r="16" spans="1:27">
      <c r="A16"/>
      <c r="D16"/>
      <c r="E16"/>
    </row>
    <row r="17" spans="1:26">
      <c r="A17" s="349" t="s">
        <v>49</v>
      </c>
      <c r="B17" s="349" t="s">
        <v>50</v>
      </c>
      <c r="C17" s="231" t="s">
        <v>51</v>
      </c>
      <c r="D17" s="339" t="s">
        <v>43</v>
      </c>
      <c r="E17"/>
      <c r="F17" s="751">
        <f>E18</f>
        <v>0.01</v>
      </c>
      <c r="G17" s="751">
        <f t="shared" ref="G17:Z17" si="8">F17</f>
        <v>0.01</v>
      </c>
      <c r="H17" s="751">
        <f t="shared" si="8"/>
        <v>0.01</v>
      </c>
      <c r="I17" s="751">
        <f t="shared" si="8"/>
        <v>0.01</v>
      </c>
      <c r="J17" s="751">
        <f t="shared" si="8"/>
        <v>0.01</v>
      </c>
      <c r="K17" s="751">
        <f t="shared" si="8"/>
        <v>0.01</v>
      </c>
      <c r="L17" s="751">
        <f t="shared" si="8"/>
        <v>0.01</v>
      </c>
      <c r="M17" s="751">
        <f t="shared" si="8"/>
        <v>0.01</v>
      </c>
      <c r="N17" s="751">
        <f t="shared" si="8"/>
        <v>0.01</v>
      </c>
      <c r="O17" s="751">
        <f t="shared" si="8"/>
        <v>0.01</v>
      </c>
      <c r="P17" s="751">
        <f t="shared" si="8"/>
        <v>0.01</v>
      </c>
      <c r="Q17" s="751">
        <f t="shared" si="8"/>
        <v>0.01</v>
      </c>
      <c r="R17" s="751">
        <f t="shared" si="8"/>
        <v>0.01</v>
      </c>
      <c r="S17" s="751">
        <f t="shared" si="8"/>
        <v>0.01</v>
      </c>
      <c r="T17" s="751">
        <f t="shared" si="8"/>
        <v>0.01</v>
      </c>
      <c r="U17" s="751">
        <f t="shared" si="8"/>
        <v>0.01</v>
      </c>
      <c r="V17" s="751">
        <f t="shared" si="8"/>
        <v>0.01</v>
      </c>
      <c r="W17" s="751">
        <f t="shared" si="8"/>
        <v>0.01</v>
      </c>
      <c r="X17" s="751">
        <f t="shared" si="8"/>
        <v>0.01</v>
      </c>
      <c r="Y17" s="751">
        <f t="shared" si="8"/>
        <v>0.01</v>
      </c>
      <c r="Z17" s="751">
        <f t="shared" si="8"/>
        <v>0.01</v>
      </c>
    </row>
    <row r="18" spans="1:26">
      <c r="A18" t="s">
        <v>45</v>
      </c>
      <c r="B18" s="231" t="s">
        <v>52</v>
      </c>
      <c r="C18" s="231" t="s">
        <v>53</v>
      </c>
      <c r="E18" s="752">
        <v>0.01</v>
      </c>
      <c r="F18" s="231">
        <f>E18</f>
        <v>0.01</v>
      </c>
      <c r="G18" s="231">
        <f t="shared" ref="G18:Z18" si="9">F18</f>
        <v>0.01</v>
      </c>
      <c r="H18" s="231">
        <f t="shared" si="9"/>
        <v>0.01</v>
      </c>
      <c r="I18" s="231">
        <f t="shared" si="9"/>
        <v>0.01</v>
      </c>
      <c r="J18" s="231">
        <f t="shared" si="9"/>
        <v>0.01</v>
      </c>
      <c r="K18" s="231">
        <f t="shared" si="9"/>
        <v>0.01</v>
      </c>
      <c r="L18" s="231">
        <f t="shared" si="9"/>
        <v>0.01</v>
      </c>
      <c r="M18" s="231">
        <f t="shared" si="9"/>
        <v>0.01</v>
      </c>
      <c r="N18" s="231">
        <f t="shared" si="9"/>
        <v>0.01</v>
      </c>
      <c r="O18" s="231">
        <f t="shared" si="9"/>
        <v>0.01</v>
      </c>
      <c r="P18" s="231">
        <f t="shared" si="9"/>
        <v>0.01</v>
      </c>
      <c r="Q18" s="231">
        <f t="shared" si="9"/>
        <v>0.01</v>
      </c>
      <c r="R18" s="231">
        <f t="shared" si="9"/>
        <v>0.01</v>
      </c>
      <c r="S18" s="231">
        <f t="shared" si="9"/>
        <v>0.01</v>
      </c>
      <c r="T18" s="231">
        <f t="shared" si="9"/>
        <v>0.01</v>
      </c>
      <c r="U18" s="231">
        <f t="shared" si="9"/>
        <v>0.01</v>
      </c>
      <c r="V18" s="231">
        <f t="shared" si="9"/>
        <v>0.01</v>
      </c>
      <c r="W18" s="231">
        <f t="shared" si="9"/>
        <v>0.01</v>
      </c>
      <c r="X18" s="231">
        <f t="shared" si="9"/>
        <v>0.01</v>
      </c>
      <c r="Y18" s="231">
        <f t="shared" si="9"/>
        <v>0.01</v>
      </c>
      <c r="Z18" s="231">
        <f t="shared" si="9"/>
        <v>0.01</v>
      </c>
    </row>
    <row r="19" spans="1:26">
      <c r="A19"/>
      <c r="B19" s="231" t="s">
        <v>52</v>
      </c>
      <c r="C19" s="231" t="s">
        <v>54</v>
      </c>
      <c r="D19" s="231" t="s">
        <v>55</v>
      </c>
      <c r="E19" s="752">
        <v>0.05</v>
      </c>
      <c r="F19" s="231">
        <f>+$E$19*F18</f>
        <v>5.0000000000000001E-4</v>
      </c>
      <c r="G19" s="231">
        <f t="shared" ref="G19:V19" si="10">+$E$19*G18</f>
        <v>5.0000000000000001E-4</v>
      </c>
      <c r="H19" s="231">
        <f t="shared" si="10"/>
        <v>5.0000000000000001E-4</v>
      </c>
      <c r="I19" s="231">
        <f t="shared" si="10"/>
        <v>5.0000000000000001E-4</v>
      </c>
      <c r="J19" s="231">
        <f t="shared" si="10"/>
        <v>5.0000000000000001E-4</v>
      </c>
      <c r="K19" s="231">
        <f t="shared" si="10"/>
        <v>5.0000000000000001E-4</v>
      </c>
      <c r="L19" s="231">
        <f t="shared" si="10"/>
        <v>5.0000000000000001E-4</v>
      </c>
      <c r="M19" s="231">
        <f t="shared" si="10"/>
        <v>5.0000000000000001E-4</v>
      </c>
      <c r="N19" s="231">
        <f t="shared" si="10"/>
        <v>5.0000000000000001E-4</v>
      </c>
      <c r="O19" s="231">
        <f t="shared" si="10"/>
        <v>5.0000000000000001E-4</v>
      </c>
      <c r="P19" s="231">
        <f t="shared" si="10"/>
        <v>5.0000000000000001E-4</v>
      </c>
      <c r="Q19" s="231">
        <f t="shared" si="10"/>
        <v>5.0000000000000001E-4</v>
      </c>
      <c r="R19" s="231">
        <f t="shared" si="10"/>
        <v>5.0000000000000001E-4</v>
      </c>
      <c r="S19" s="231">
        <f t="shared" si="10"/>
        <v>5.0000000000000001E-4</v>
      </c>
      <c r="T19" s="231">
        <f t="shared" si="10"/>
        <v>5.0000000000000001E-4</v>
      </c>
      <c r="U19" s="231">
        <f t="shared" si="10"/>
        <v>5.0000000000000001E-4</v>
      </c>
      <c r="V19" s="231">
        <f t="shared" si="10"/>
        <v>5.0000000000000001E-4</v>
      </c>
      <c r="W19" s="231">
        <f>+$E$19*W18</f>
        <v>5.0000000000000001E-4</v>
      </c>
      <c r="X19" s="231">
        <f>+$E$19*X18</f>
        <v>5.0000000000000001E-4</v>
      </c>
      <c r="Y19" s="231">
        <f>+$E$19*Y18</f>
        <v>5.0000000000000001E-4</v>
      </c>
      <c r="Z19" s="231">
        <f>+$E$19*Z18</f>
        <v>5.0000000000000001E-4</v>
      </c>
    </row>
    <row r="20" spans="1:26">
      <c r="A20"/>
    </row>
    <row r="21" spans="1:26">
      <c r="A21" s="231" t="s">
        <v>56</v>
      </c>
      <c r="B21" s="231" t="s">
        <v>57</v>
      </c>
      <c r="C21" s="231" t="s">
        <v>58</v>
      </c>
      <c r="E21"/>
      <c r="F21">
        <v>0</v>
      </c>
      <c r="G21">
        <f t="shared" ref="G21:P22" si="11">+F21+1</f>
        <v>1</v>
      </c>
      <c r="H21">
        <f t="shared" si="11"/>
        <v>2</v>
      </c>
      <c r="I21">
        <f t="shared" si="11"/>
        <v>3</v>
      </c>
      <c r="J21">
        <f t="shared" si="11"/>
        <v>4</v>
      </c>
      <c r="K21">
        <f t="shared" si="11"/>
        <v>5</v>
      </c>
      <c r="L21">
        <f t="shared" si="11"/>
        <v>6</v>
      </c>
      <c r="M21">
        <f t="shared" si="11"/>
        <v>7</v>
      </c>
      <c r="N21">
        <f t="shared" si="11"/>
        <v>8</v>
      </c>
      <c r="O21">
        <f t="shared" si="11"/>
        <v>9</v>
      </c>
      <c r="P21">
        <f t="shared" si="11"/>
        <v>10</v>
      </c>
      <c r="Q21">
        <f t="shared" ref="Q21:Z22" si="12">+P21+1</f>
        <v>11</v>
      </c>
      <c r="R21">
        <f t="shared" si="12"/>
        <v>12</v>
      </c>
      <c r="S21">
        <f t="shared" si="12"/>
        <v>13</v>
      </c>
      <c r="T21">
        <f t="shared" si="12"/>
        <v>14</v>
      </c>
      <c r="U21">
        <f t="shared" si="12"/>
        <v>15</v>
      </c>
      <c r="V21">
        <f t="shared" si="12"/>
        <v>16</v>
      </c>
      <c r="W21">
        <f t="shared" si="12"/>
        <v>17</v>
      </c>
      <c r="X21">
        <f t="shared" si="12"/>
        <v>18</v>
      </c>
      <c r="Y21">
        <f t="shared" si="12"/>
        <v>19</v>
      </c>
      <c r="Z21">
        <f t="shared" si="12"/>
        <v>20</v>
      </c>
    </row>
    <row r="22" spans="1:26">
      <c r="A22" s="231" t="s">
        <v>59</v>
      </c>
      <c r="B22" s="231" t="s">
        <v>57</v>
      </c>
      <c r="C22" s="231" t="s">
        <v>60</v>
      </c>
      <c r="D22" s="349" t="s">
        <v>61</v>
      </c>
      <c r="E22" s="484">
        <v>1</v>
      </c>
      <c r="F22">
        <f>+F21+E22</f>
        <v>1</v>
      </c>
      <c r="G22">
        <f t="shared" si="11"/>
        <v>2</v>
      </c>
      <c r="H22">
        <f t="shared" si="11"/>
        <v>3</v>
      </c>
      <c r="I22">
        <f t="shared" si="11"/>
        <v>4</v>
      </c>
      <c r="J22">
        <f t="shared" si="11"/>
        <v>5</v>
      </c>
      <c r="K22">
        <f t="shared" si="11"/>
        <v>6</v>
      </c>
      <c r="L22">
        <f t="shared" si="11"/>
        <v>7</v>
      </c>
      <c r="M22">
        <f t="shared" si="11"/>
        <v>8</v>
      </c>
      <c r="N22">
        <f t="shared" si="11"/>
        <v>9</v>
      </c>
      <c r="O22">
        <f t="shared" si="11"/>
        <v>10</v>
      </c>
      <c r="P22">
        <f t="shared" si="11"/>
        <v>11</v>
      </c>
      <c r="Q22">
        <f t="shared" si="12"/>
        <v>12</v>
      </c>
      <c r="R22">
        <f t="shared" si="12"/>
        <v>13</v>
      </c>
      <c r="S22">
        <f t="shared" si="12"/>
        <v>14</v>
      </c>
      <c r="T22">
        <f t="shared" si="12"/>
        <v>15</v>
      </c>
      <c r="U22">
        <f t="shared" si="12"/>
        <v>16</v>
      </c>
      <c r="V22">
        <f t="shared" si="12"/>
        <v>17</v>
      </c>
      <c r="W22">
        <f t="shared" si="12"/>
        <v>18</v>
      </c>
      <c r="X22">
        <f t="shared" si="12"/>
        <v>19</v>
      </c>
      <c r="Y22">
        <f t="shared" si="12"/>
        <v>20</v>
      </c>
      <c r="Z22">
        <f t="shared" si="12"/>
        <v>21</v>
      </c>
    </row>
    <row r="23" spans="1:26">
      <c r="A23" s="231" t="s">
        <v>62</v>
      </c>
      <c r="B23" s="231" t="s">
        <v>33</v>
      </c>
      <c r="C23" s="231" t="s">
        <v>63</v>
      </c>
      <c r="E23"/>
      <c r="F23" s="583">
        <v>10</v>
      </c>
      <c r="G23" s="484">
        <f t="shared" ref="G23:Z23" si="13">F23</f>
        <v>10</v>
      </c>
      <c r="H23" s="484">
        <f t="shared" si="13"/>
        <v>10</v>
      </c>
      <c r="I23" s="484">
        <f t="shared" si="13"/>
        <v>10</v>
      </c>
      <c r="J23" s="484">
        <f t="shared" si="13"/>
        <v>10</v>
      </c>
      <c r="K23" s="484">
        <f t="shared" si="13"/>
        <v>10</v>
      </c>
      <c r="L23" s="484">
        <f t="shared" si="13"/>
        <v>10</v>
      </c>
      <c r="M23" s="484">
        <f t="shared" si="13"/>
        <v>10</v>
      </c>
      <c r="N23" s="484">
        <f t="shared" si="13"/>
        <v>10</v>
      </c>
      <c r="O23" s="484">
        <f t="shared" si="13"/>
        <v>10</v>
      </c>
      <c r="P23" s="484">
        <f t="shared" si="13"/>
        <v>10</v>
      </c>
      <c r="Q23" s="484">
        <f t="shared" si="13"/>
        <v>10</v>
      </c>
      <c r="R23" s="484">
        <f t="shared" si="13"/>
        <v>10</v>
      </c>
      <c r="S23" s="484">
        <f t="shared" si="13"/>
        <v>10</v>
      </c>
      <c r="T23" s="484">
        <f t="shared" si="13"/>
        <v>10</v>
      </c>
      <c r="U23" s="484">
        <f t="shared" si="13"/>
        <v>10</v>
      </c>
      <c r="V23" s="484">
        <f t="shared" si="13"/>
        <v>10</v>
      </c>
      <c r="W23" s="484">
        <f t="shared" si="13"/>
        <v>10</v>
      </c>
      <c r="X23" s="484">
        <f t="shared" si="13"/>
        <v>10</v>
      </c>
      <c r="Y23" s="484">
        <f t="shared" si="13"/>
        <v>10</v>
      </c>
      <c r="Z23" s="484">
        <f t="shared" si="13"/>
        <v>10</v>
      </c>
    </row>
    <row r="24" spans="1:26">
      <c r="A24" s="231" t="s">
        <v>64</v>
      </c>
      <c r="B24" s="231" t="s">
        <v>65</v>
      </c>
      <c r="C24" s="231" t="s">
        <v>66</v>
      </c>
      <c r="E24"/>
      <c r="F24" s="507">
        <v>0</v>
      </c>
      <c r="G24" s="507">
        <f t="shared" ref="G24:Z24" si="14">F24</f>
        <v>0</v>
      </c>
      <c r="H24" s="507">
        <f t="shared" si="14"/>
        <v>0</v>
      </c>
      <c r="I24" s="507">
        <f t="shared" si="14"/>
        <v>0</v>
      </c>
      <c r="J24" s="507">
        <f t="shared" si="14"/>
        <v>0</v>
      </c>
      <c r="K24" s="507">
        <f t="shared" si="14"/>
        <v>0</v>
      </c>
      <c r="L24" s="507">
        <f t="shared" si="14"/>
        <v>0</v>
      </c>
      <c r="M24" s="507">
        <f t="shared" si="14"/>
        <v>0</v>
      </c>
      <c r="N24" s="507">
        <f t="shared" si="14"/>
        <v>0</v>
      </c>
      <c r="O24" s="507">
        <f t="shared" si="14"/>
        <v>0</v>
      </c>
      <c r="P24" s="507">
        <f t="shared" si="14"/>
        <v>0</v>
      </c>
      <c r="Q24" s="507">
        <f t="shared" si="14"/>
        <v>0</v>
      </c>
      <c r="R24" s="507">
        <f t="shared" si="14"/>
        <v>0</v>
      </c>
      <c r="S24" s="507">
        <f t="shared" si="14"/>
        <v>0</v>
      </c>
      <c r="T24" s="507">
        <f t="shared" si="14"/>
        <v>0</v>
      </c>
      <c r="U24" s="507">
        <f t="shared" si="14"/>
        <v>0</v>
      </c>
      <c r="V24" s="507">
        <f t="shared" si="14"/>
        <v>0</v>
      </c>
      <c r="W24" s="507">
        <f t="shared" si="14"/>
        <v>0</v>
      </c>
      <c r="X24" s="507">
        <f t="shared" si="14"/>
        <v>0</v>
      </c>
      <c r="Y24" s="507">
        <f t="shared" si="14"/>
        <v>0</v>
      </c>
      <c r="Z24" s="507">
        <f t="shared" si="14"/>
        <v>0</v>
      </c>
    </row>
    <row r="25" spans="1:26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>
      <c r="A26" s="759" t="s">
        <v>67</v>
      </c>
      <c r="B26"/>
      <c r="C26"/>
      <c r="D26"/>
      <c r="E26"/>
      <c r="F26" s="755">
        <f t="shared" ref="F26:O26" ca="1" si="15">(SUM(F55:F94)-F5)/F5</f>
        <v>-2.7507212507771321E-15</v>
      </c>
      <c r="G26" s="755">
        <f t="shared" ca="1" si="15"/>
        <v>-2.7507212507771321E-15</v>
      </c>
      <c r="H26" s="755">
        <f t="shared" ca="1" si="15"/>
        <v>-2.7507212507771321E-15</v>
      </c>
      <c r="I26" s="755">
        <f t="shared" ca="1" si="15"/>
        <v>-2.7507212507771321E-15</v>
      </c>
      <c r="J26" s="755">
        <f t="shared" ca="1" si="15"/>
        <v>-2.9623151931446039E-15</v>
      </c>
      <c r="K26" s="755">
        <f t="shared" ca="1" si="15"/>
        <v>-2.9623151931446039E-15</v>
      </c>
      <c r="L26" s="755">
        <f t="shared" ca="1" si="15"/>
        <v>-2.9623151931446039E-15</v>
      </c>
      <c r="M26" s="755">
        <f t="shared" ca="1" si="15"/>
        <v>-2.9623151931446039E-15</v>
      </c>
      <c r="N26" s="755">
        <f t="shared" ca="1" si="15"/>
        <v>-2.9623151931446039E-15</v>
      </c>
      <c r="O26" s="755">
        <f t="shared" ca="1" si="15"/>
        <v>-2.9623151931446039E-15</v>
      </c>
      <c r="P26" s="755">
        <f t="shared" ref="P26:Z26" ca="1" si="16">(SUM(P55:P94)-P5)/P5</f>
        <v>-2.9623151931446039E-15</v>
      </c>
      <c r="Q26" s="755">
        <f t="shared" ca="1" si="16"/>
        <v>-2.9623151931446039E-15</v>
      </c>
      <c r="R26" s="755">
        <f t="shared" ca="1" si="16"/>
        <v>-2.9623151931446039E-15</v>
      </c>
      <c r="S26" s="755">
        <f t="shared" ca="1" si="16"/>
        <v>-2.9623151931446039E-15</v>
      </c>
      <c r="T26" s="755">
        <f t="shared" ca="1" si="16"/>
        <v>-2.9623151931446039E-15</v>
      </c>
      <c r="U26" s="755">
        <f t="shared" ca="1" si="16"/>
        <v>-2.9623151931446039E-15</v>
      </c>
      <c r="V26" s="755">
        <f t="shared" ca="1" si="16"/>
        <v>-2.9623151931446039E-15</v>
      </c>
      <c r="W26" s="755">
        <f t="shared" ca="1" si="16"/>
        <v>-2.9623151931446039E-15</v>
      </c>
      <c r="X26" s="755">
        <f t="shared" ca="1" si="16"/>
        <v>-2.9623151931446039E-15</v>
      </c>
      <c r="Y26" s="755">
        <f t="shared" ca="1" si="16"/>
        <v>-1.4664288483350529E-3</v>
      </c>
      <c r="Z26" s="755">
        <f t="shared" ca="1" si="16"/>
        <v>-3.8056228964532248E-3</v>
      </c>
    </row>
    <row r="27" spans="1:2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>
      <c r="A29" s="231" t="s">
        <v>68</v>
      </c>
      <c r="B29" s="231" t="s">
        <v>57</v>
      </c>
      <c r="C29" s="5" t="s">
        <v>69</v>
      </c>
      <c r="E29"/>
      <c r="F29" s="231">
        <f t="shared" ref="F29:O29" si="17">INT(F21)</f>
        <v>0</v>
      </c>
      <c r="G29" s="231">
        <f t="shared" si="17"/>
        <v>1</v>
      </c>
      <c r="H29" s="231">
        <f t="shared" si="17"/>
        <v>2</v>
      </c>
      <c r="I29" s="231">
        <f t="shared" si="17"/>
        <v>3</v>
      </c>
      <c r="J29" s="231">
        <f t="shared" si="17"/>
        <v>4</v>
      </c>
      <c r="K29" s="231">
        <f t="shared" si="17"/>
        <v>5</v>
      </c>
      <c r="L29" s="231">
        <f t="shared" si="17"/>
        <v>6</v>
      </c>
      <c r="M29" s="231">
        <f t="shared" si="17"/>
        <v>7</v>
      </c>
      <c r="N29" s="231">
        <f t="shared" si="17"/>
        <v>8</v>
      </c>
      <c r="O29" s="231">
        <f t="shared" si="17"/>
        <v>9</v>
      </c>
      <c r="P29" s="231">
        <f t="shared" ref="P29:Z29" si="18">INT(P21)</f>
        <v>10</v>
      </c>
      <c r="Q29" s="231">
        <f t="shared" si="18"/>
        <v>11</v>
      </c>
      <c r="R29" s="231">
        <f t="shared" si="18"/>
        <v>12</v>
      </c>
      <c r="S29" s="231">
        <f t="shared" si="18"/>
        <v>13</v>
      </c>
      <c r="T29" s="231">
        <f t="shared" si="18"/>
        <v>14</v>
      </c>
      <c r="U29" s="231">
        <f t="shared" si="18"/>
        <v>15</v>
      </c>
      <c r="V29" s="231">
        <f t="shared" si="18"/>
        <v>16</v>
      </c>
      <c r="W29" s="231">
        <f t="shared" si="18"/>
        <v>17</v>
      </c>
      <c r="X29" s="231">
        <f t="shared" si="18"/>
        <v>18</v>
      </c>
      <c r="Y29" s="231">
        <f t="shared" si="18"/>
        <v>19</v>
      </c>
      <c r="Z29" s="231">
        <f t="shared" si="18"/>
        <v>20</v>
      </c>
    </row>
    <row r="30" spans="1:26">
      <c r="A30" s="231" t="s">
        <v>70</v>
      </c>
      <c r="B30" s="231" t="s">
        <v>57</v>
      </c>
      <c r="C30" s="231" t="s">
        <v>71</v>
      </c>
      <c r="E30"/>
      <c r="F30" s="231">
        <f t="shared" ref="F30:O30" si="19">INT(F22)</f>
        <v>1</v>
      </c>
      <c r="G30" s="231">
        <f t="shared" si="19"/>
        <v>2</v>
      </c>
      <c r="H30" s="231">
        <f t="shared" si="19"/>
        <v>3</v>
      </c>
      <c r="I30" s="231">
        <f t="shared" si="19"/>
        <v>4</v>
      </c>
      <c r="J30" s="231">
        <f t="shared" si="19"/>
        <v>5</v>
      </c>
      <c r="K30" s="231">
        <f t="shared" si="19"/>
        <v>6</v>
      </c>
      <c r="L30" s="231">
        <f t="shared" si="19"/>
        <v>7</v>
      </c>
      <c r="M30" s="231">
        <f t="shared" si="19"/>
        <v>8</v>
      </c>
      <c r="N30" s="231">
        <f t="shared" si="19"/>
        <v>9</v>
      </c>
      <c r="O30" s="231">
        <f t="shared" si="19"/>
        <v>10</v>
      </c>
      <c r="P30" s="231">
        <f t="shared" ref="P30:Z30" si="20">INT(P22)</f>
        <v>11</v>
      </c>
      <c r="Q30" s="231">
        <f t="shared" si="20"/>
        <v>12</v>
      </c>
      <c r="R30" s="231">
        <f t="shared" si="20"/>
        <v>13</v>
      </c>
      <c r="S30" s="231">
        <f t="shared" si="20"/>
        <v>14</v>
      </c>
      <c r="T30" s="231">
        <f t="shared" si="20"/>
        <v>15</v>
      </c>
      <c r="U30" s="231">
        <f t="shared" si="20"/>
        <v>16</v>
      </c>
      <c r="V30" s="231">
        <f t="shared" si="20"/>
        <v>17</v>
      </c>
      <c r="W30" s="231">
        <f t="shared" si="20"/>
        <v>18</v>
      </c>
      <c r="X30" s="231">
        <f t="shared" si="20"/>
        <v>19</v>
      </c>
      <c r="Y30" s="231">
        <f t="shared" si="20"/>
        <v>20</v>
      </c>
      <c r="Z30" s="231">
        <f t="shared" si="20"/>
        <v>21</v>
      </c>
    </row>
    <row r="31" spans="1:26">
      <c r="A31" s="231" t="s">
        <v>72</v>
      </c>
      <c r="B31" s="349"/>
      <c r="C31" s="231" t="s">
        <v>73</v>
      </c>
      <c r="D31" s="349"/>
      <c r="E31"/>
      <c r="F31" s="591">
        <f t="shared" ref="F31:O31" si="21">EXP(-F17)</f>
        <v>0.99004983374916811</v>
      </c>
      <c r="G31" s="592">
        <f t="shared" si="21"/>
        <v>0.99004983374916811</v>
      </c>
      <c r="H31" s="592">
        <f t="shared" si="21"/>
        <v>0.99004983374916811</v>
      </c>
      <c r="I31" s="592">
        <f t="shared" si="21"/>
        <v>0.99004983374916811</v>
      </c>
      <c r="J31" s="592">
        <f t="shared" si="21"/>
        <v>0.99004983374916811</v>
      </c>
      <c r="K31" s="592">
        <f t="shared" si="21"/>
        <v>0.99004983374916811</v>
      </c>
      <c r="L31" s="592">
        <f t="shared" si="21"/>
        <v>0.99004983374916811</v>
      </c>
      <c r="M31" s="592">
        <f t="shared" si="21"/>
        <v>0.99004983374916811</v>
      </c>
      <c r="N31" s="592">
        <f t="shared" si="21"/>
        <v>0.99004983374916811</v>
      </c>
      <c r="O31" s="592">
        <f t="shared" si="21"/>
        <v>0.99004983374916811</v>
      </c>
      <c r="P31" s="592">
        <f t="shared" ref="P31:Z31" si="22">EXP(-P17)</f>
        <v>0.99004983374916811</v>
      </c>
      <c r="Q31" s="592">
        <f t="shared" si="22"/>
        <v>0.99004983374916811</v>
      </c>
      <c r="R31" s="592">
        <f t="shared" si="22"/>
        <v>0.99004983374916811</v>
      </c>
      <c r="S31" s="592">
        <f t="shared" si="22"/>
        <v>0.99004983374916811</v>
      </c>
      <c r="T31" s="592">
        <f t="shared" si="22"/>
        <v>0.99004983374916811</v>
      </c>
      <c r="U31" s="592">
        <f t="shared" si="22"/>
        <v>0.99004983374916811</v>
      </c>
      <c r="V31" s="592">
        <f t="shared" si="22"/>
        <v>0.99004983374916811</v>
      </c>
      <c r="W31" s="592">
        <f t="shared" si="22"/>
        <v>0.99004983374916811</v>
      </c>
      <c r="X31" s="592">
        <f t="shared" si="22"/>
        <v>0.99004983374916811</v>
      </c>
      <c r="Y31" s="592">
        <f t="shared" si="22"/>
        <v>0.99004983374916811</v>
      </c>
      <c r="Z31" s="592">
        <f t="shared" si="22"/>
        <v>0.99004983374916811</v>
      </c>
    </row>
    <row r="32" spans="1:26">
      <c r="A32" s="231" t="s">
        <v>74</v>
      </c>
      <c r="B32" s="231" t="s">
        <v>26</v>
      </c>
      <c r="C32" s="231" t="s">
        <v>75</v>
      </c>
      <c r="E32"/>
      <c r="F32" s="591">
        <f t="shared" ref="F32:O32" ca="1" si="23">IF(INT(F21+1)&lt;=INT(F22),0.5*F9*$B$83*(INT(F21+1)-F21)/(F22-F21),0)</f>
        <v>139.55526528060378</v>
      </c>
      <c r="G32" s="591">
        <f t="shared" ca="1" si="23"/>
        <v>139.55526528060378</v>
      </c>
      <c r="H32" s="591">
        <f t="shared" ca="1" si="23"/>
        <v>139.55526528060378</v>
      </c>
      <c r="I32" s="591">
        <f t="shared" ca="1" si="23"/>
        <v>139.55526528060378</v>
      </c>
      <c r="J32" s="591">
        <f t="shared" ca="1" si="23"/>
        <v>139.55526528060378</v>
      </c>
      <c r="K32" s="591">
        <f t="shared" ca="1" si="23"/>
        <v>139.55526528060378</v>
      </c>
      <c r="L32" s="591">
        <f t="shared" ca="1" si="23"/>
        <v>139.55526528060378</v>
      </c>
      <c r="M32" s="591">
        <f t="shared" ca="1" si="23"/>
        <v>139.55526528060378</v>
      </c>
      <c r="N32" s="591">
        <f t="shared" ca="1" si="23"/>
        <v>139.55526528060378</v>
      </c>
      <c r="O32" s="591">
        <f t="shared" ca="1" si="23"/>
        <v>139.55526528060378</v>
      </c>
      <c r="P32" s="591">
        <f t="shared" ref="P32:Z32" ca="1" si="24">IF(INT(P21+1)&lt;=INT(P22),0.5*P9*$B$83*(INT(P21+1)-P21)/(P22-P21),0)</f>
        <v>139.55526528060378</v>
      </c>
      <c r="Q32" s="591">
        <f t="shared" ca="1" si="24"/>
        <v>139.55526528060378</v>
      </c>
      <c r="R32" s="591">
        <f t="shared" ca="1" si="24"/>
        <v>139.55526528060378</v>
      </c>
      <c r="S32" s="591">
        <f t="shared" ca="1" si="24"/>
        <v>139.55526528060378</v>
      </c>
      <c r="T32" s="591">
        <f t="shared" ca="1" si="24"/>
        <v>139.55526528060378</v>
      </c>
      <c r="U32" s="591">
        <f t="shared" ca="1" si="24"/>
        <v>139.55526528060378</v>
      </c>
      <c r="V32" s="591">
        <f t="shared" ca="1" si="24"/>
        <v>139.55526528060378</v>
      </c>
      <c r="W32" s="591">
        <f t="shared" ca="1" si="24"/>
        <v>139.55526528060378</v>
      </c>
      <c r="X32" s="591">
        <f t="shared" ca="1" si="24"/>
        <v>139.55526528060378</v>
      </c>
      <c r="Y32" s="591">
        <f t="shared" ca="1" si="24"/>
        <v>139.55526528060378</v>
      </c>
      <c r="Z32" s="591">
        <f t="shared" ca="1" si="24"/>
        <v>139.55526528060378</v>
      </c>
    </row>
    <row r="33" spans="1:26">
      <c r="A33" s="231" t="s">
        <v>76</v>
      </c>
      <c r="B33" s="231" t="s">
        <v>26</v>
      </c>
      <c r="C33" s="231" t="s">
        <v>77</v>
      </c>
      <c r="E33"/>
      <c r="F33" s="591">
        <f t="shared" ref="F33:O33" ca="1" si="25">0.5*(F22-F21)*F9*$B$83</f>
        <v>139.55526528060378</v>
      </c>
      <c r="G33" s="591">
        <f t="shared" ca="1" si="25"/>
        <v>139.55526528060378</v>
      </c>
      <c r="H33" s="591">
        <f t="shared" ca="1" si="25"/>
        <v>139.55526528060378</v>
      </c>
      <c r="I33" s="591">
        <f t="shared" ca="1" si="25"/>
        <v>139.55526528060378</v>
      </c>
      <c r="J33" s="591">
        <f t="shared" ca="1" si="25"/>
        <v>139.55526528060378</v>
      </c>
      <c r="K33" s="591">
        <f t="shared" ca="1" si="25"/>
        <v>139.55526528060378</v>
      </c>
      <c r="L33" s="591">
        <f t="shared" ca="1" si="25"/>
        <v>139.55526528060378</v>
      </c>
      <c r="M33" s="591">
        <f t="shared" ca="1" si="25"/>
        <v>139.55526528060378</v>
      </c>
      <c r="N33" s="591">
        <f t="shared" ca="1" si="25"/>
        <v>139.55526528060378</v>
      </c>
      <c r="O33" s="591">
        <f t="shared" ca="1" si="25"/>
        <v>139.55526528060378</v>
      </c>
      <c r="P33" s="591">
        <f t="shared" ref="P33:Z33" ca="1" si="26">0.5*(P22-P21)*P9*$B$83</f>
        <v>139.55526528060378</v>
      </c>
      <c r="Q33" s="591">
        <f t="shared" ca="1" si="26"/>
        <v>139.55526528060378</v>
      </c>
      <c r="R33" s="591">
        <f t="shared" ca="1" si="26"/>
        <v>139.55526528060378</v>
      </c>
      <c r="S33" s="591">
        <f t="shared" ca="1" si="26"/>
        <v>139.55526528060378</v>
      </c>
      <c r="T33" s="591">
        <f t="shared" ca="1" si="26"/>
        <v>139.55526528060378</v>
      </c>
      <c r="U33" s="591">
        <f t="shared" ca="1" si="26"/>
        <v>139.55526528060378</v>
      </c>
      <c r="V33" s="591">
        <f t="shared" ca="1" si="26"/>
        <v>139.55526528060378</v>
      </c>
      <c r="W33" s="591">
        <f t="shared" ca="1" si="26"/>
        <v>139.55526528060378</v>
      </c>
      <c r="X33" s="591">
        <f t="shared" ca="1" si="26"/>
        <v>139.55526528060378</v>
      </c>
      <c r="Y33" s="591">
        <f t="shared" ca="1" si="26"/>
        <v>139.55526528060378</v>
      </c>
      <c r="Z33" s="591">
        <f t="shared" ca="1" si="26"/>
        <v>139.55526528060378</v>
      </c>
    </row>
    <row r="34" spans="1:26">
      <c r="A34" s="231" t="s">
        <v>78</v>
      </c>
      <c r="B34" s="231" t="s">
        <v>33</v>
      </c>
      <c r="C34" s="231" t="s">
        <v>79</v>
      </c>
      <c r="E34"/>
      <c r="F34" s="591">
        <f t="shared" ref="F34:O34" ca="1" si="27">MIN(F9,MAX(F23+0.001,F9-F17*(F13*F5-F33)/$B$83))</f>
        <v>739.06939119837557</v>
      </c>
      <c r="G34" s="591">
        <f t="shared" ca="1" si="27"/>
        <v>739.06939119837557</v>
      </c>
      <c r="H34" s="591">
        <f t="shared" ca="1" si="27"/>
        <v>739.06939119837557</v>
      </c>
      <c r="I34" s="591">
        <f t="shared" ca="1" si="27"/>
        <v>739.06939119837557</v>
      </c>
      <c r="J34" s="591">
        <f t="shared" ca="1" si="27"/>
        <v>739.06939119837557</v>
      </c>
      <c r="K34" s="591">
        <f t="shared" ca="1" si="27"/>
        <v>739.06939119837557</v>
      </c>
      <c r="L34" s="591">
        <f t="shared" ca="1" si="27"/>
        <v>739.06939119837557</v>
      </c>
      <c r="M34" s="591">
        <f t="shared" ca="1" si="27"/>
        <v>739.06939119837557</v>
      </c>
      <c r="N34" s="591">
        <f t="shared" ca="1" si="27"/>
        <v>739.06939119837557</v>
      </c>
      <c r="O34" s="591">
        <f t="shared" ca="1" si="27"/>
        <v>739.06939119837557</v>
      </c>
      <c r="P34" s="591">
        <f t="shared" ref="P34:Z34" ca="1" si="28">MIN(P9,MAX(P23+0.001,P9-P17*(P13*P5-P33)/$B$83))</f>
        <v>739.06939119837557</v>
      </c>
      <c r="Q34" s="591">
        <f t="shared" ca="1" si="28"/>
        <v>739.06939119837557</v>
      </c>
      <c r="R34" s="591">
        <f t="shared" ca="1" si="28"/>
        <v>739.06939119837557</v>
      </c>
      <c r="S34" s="591">
        <f t="shared" ca="1" si="28"/>
        <v>739.06939119837557</v>
      </c>
      <c r="T34" s="591">
        <f t="shared" ca="1" si="28"/>
        <v>739.06939119837557</v>
      </c>
      <c r="U34" s="591">
        <f t="shared" ca="1" si="28"/>
        <v>739.06939119837557</v>
      </c>
      <c r="V34" s="591">
        <f t="shared" ca="1" si="28"/>
        <v>739.06939119837557</v>
      </c>
      <c r="W34" s="591">
        <f t="shared" ca="1" si="28"/>
        <v>739.06939119837557</v>
      </c>
      <c r="X34" s="591">
        <f t="shared" ca="1" si="28"/>
        <v>739.06939119837557</v>
      </c>
      <c r="Y34" s="591">
        <f t="shared" ca="1" si="28"/>
        <v>739.06939119837557</v>
      </c>
      <c r="Z34" s="591">
        <f t="shared" ca="1" si="28"/>
        <v>739.06939119837557</v>
      </c>
    </row>
    <row r="35" spans="1:26">
      <c r="A35" s="231" t="s">
        <v>80</v>
      </c>
      <c r="B35" s="231" t="s">
        <v>57</v>
      </c>
      <c r="C35" s="231" t="s">
        <v>81</v>
      </c>
      <c r="E35"/>
      <c r="F35" s="591">
        <f t="shared" ref="F35:O35" ca="1" si="29">MAX(0,1/F17*LN(F9/F34))+F22</f>
        <v>4.4073980333751459</v>
      </c>
      <c r="G35" s="591">
        <f t="shared" ca="1" si="29"/>
        <v>5.4073980333751459</v>
      </c>
      <c r="H35" s="591">
        <f t="shared" ca="1" si="29"/>
        <v>6.4073980333751459</v>
      </c>
      <c r="I35" s="591">
        <f t="shared" ca="1" si="29"/>
        <v>7.4073980333751459</v>
      </c>
      <c r="J35" s="591">
        <f t="shared" ca="1" si="29"/>
        <v>8.407398033375145</v>
      </c>
      <c r="K35" s="591">
        <f t="shared" ca="1" si="29"/>
        <v>9.407398033375145</v>
      </c>
      <c r="L35" s="591">
        <f t="shared" ca="1" si="29"/>
        <v>10.407398033375145</v>
      </c>
      <c r="M35" s="591">
        <f t="shared" ca="1" si="29"/>
        <v>11.407398033375145</v>
      </c>
      <c r="N35" s="591">
        <f t="shared" ca="1" si="29"/>
        <v>12.407398033375145</v>
      </c>
      <c r="O35" s="591">
        <f t="shared" ca="1" si="29"/>
        <v>13.407398033375145</v>
      </c>
      <c r="P35" s="591">
        <f t="shared" ref="P35:Z35" ca="1" si="30">MAX(0,1/P17*LN(P9/P34))+P22</f>
        <v>14.407398033375145</v>
      </c>
      <c r="Q35" s="591">
        <f t="shared" ca="1" si="30"/>
        <v>15.407398033375145</v>
      </c>
      <c r="R35" s="591">
        <f t="shared" ca="1" si="30"/>
        <v>16.407398033375145</v>
      </c>
      <c r="S35" s="591">
        <f t="shared" ca="1" si="30"/>
        <v>17.407398033375145</v>
      </c>
      <c r="T35" s="591">
        <f t="shared" ca="1" si="30"/>
        <v>18.407398033375145</v>
      </c>
      <c r="U35" s="591">
        <f t="shared" ca="1" si="30"/>
        <v>19.407398033375145</v>
      </c>
      <c r="V35" s="591">
        <f t="shared" ca="1" si="30"/>
        <v>20.407398033375145</v>
      </c>
      <c r="W35" s="591">
        <f t="shared" ca="1" si="30"/>
        <v>21.407398033375145</v>
      </c>
      <c r="X35" s="591">
        <f t="shared" ca="1" si="30"/>
        <v>22.407398033375145</v>
      </c>
      <c r="Y35" s="591">
        <f t="shared" ca="1" si="30"/>
        <v>23.407398033375145</v>
      </c>
      <c r="Z35" s="591">
        <f t="shared" ca="1" si="30"/>
        <v>24.407398033375145</v>
      </c>
    </row>
    <row r="36" spans="1:26">
      <c r="A36" s="349" t="s">
        <v>82</v>
      </c>
      <c r="B36" s="231" t="s">
        <v>57</v>
      </c>
      <c r="C36" s="231" t="s">
        <v>83</v>
      </c>
      <c r="E36"/>
      <c r="F36" s="591">
        <f t="shared" ref="F36:U36" ca="1" si="31">INT(F35)</f>
        <v>4</v>
      </c>
      <c r="G36" s="591">
        <f t="shared" ca="1" si="31"/>
        <v>5</v>
      </c>
      <c r="H36" s="591">
        <f t="shared" ca="1" si="31"/>
        <v>6</v>
      </c>
      <c r="I36" s="591">
        <f t="shared" ca="1" si="31"/>
        <v>7</v>
      </c>
      <c r="J36" s="591">
        <f t="shared" ca="1" si="31"/>
        <v>8</v>
      </c>
      <c r="K36" s="591">
        <f t="shared" ca="1" si="31"/>
        <v>9</v>
      </c>
      <c r="L36" s="591">
        <f t="shared" ca="1" si="31"/>
        <v>10</v>
      </c>
      <c r="M36" s="591">
        <f t="shared" ca="1" si="31"/>
        <v>11</v>
      </c>
      <c r="N36" s="591">
        <f t="shared" ca="1" si="31"/>
        <v>12</v>
      </c>
      <c r="O36" s="591">
        <f t="shared" ca="1" si="31"/>
        <v>13</v>
      </c>
      <c r="P36" s="591">
        <f t="shared" ca="1" si="31"/>
        <v>14</v>
      </c>
      <c r="Q36" s="591">
        <f t="shared" ca="1" si="31"/>
        <v>15</v>
      </c>
      <c r="R36" s="591">
        <f t="shared" ca="1" si="31"/>
        <v>16</v>
      </c>
      <c r="S36" s="591">
        <f t="shared" ca="1" si="31"/>
        <v>17</v>
      </c>
      <c r="T36" s="591">
        <f t="shared" ca="1" si="31"/>
        <v>18</v>
      </c>
      <c r="U36" s="591">
        <f t="shared" ca="1" si="31"/>
        <v>19</v>
      </c>
      <c r="V36" s="591">
        <f ca="1">INT(V35)</f>
        <v>20</v>
      </c>
      <c r="W36" s="591">
        <f ca="1">INT(W35)</f>
        <v>21</v>
      </c>
      <c r="X36" s="591">
        <f ca="1">INT(X35)</f>
        <v>22</v>
      </c>
      <c r="Y36" s="591">
        <f ca="1">INT(Y35)</f>
        <v>23</v>
      </c>
      <c r="Z36" s="591">
        <f ca="1">INT(Z35)</f>
        <v>24</v>
      </c>
    </row>
    <row r="37" spans="1:26">
      <c r="A37" s="231" t="s">
        <v>84</v>
      </c>
      <c r="B37" s="349" t="s">
        <v>50</v>
      </c>
      <c r="C37" s="231" t="s">
        <v>85</v>
      </c>
      <c r="D37" s="349"/>
      <c r="E37"/>
      <c r="F37" s="591">
        <f t="shared" ref="F37:O37" ca="1" si="32">IF(F5=0,0,(F34-F23)*$B$83/((1-F13)*F5))</f>
        <v>0.24764227103896097</v>
      </c>
      <c r="G37" s="591">
        <f t="shared" ca="1" si="32"/>
        <v>0.24764227103896097</v>
      </c>
      <c r="H37" s="591">
        <f t="shared" ca="1" si="32"/>
        <v>0.24764227103896097</v>
      </c>
      <c r="I37" s="591">
        <f t="shared" ca="1" si="32"/>
        <v>0.24764227103896097</v>
      </c>
      <c r="J37" s="591">
        <f t="shared" ca="1" si="32"/>
        <v>0.24764227103896097</v>
      </c>
      <c r="K37" s="591">
        <f t="shared" ca="1" si="32"/>
        <v>0.24764227103896097</v>
      </c>
      <c r="L37" s="591">
        <f t="shared" ca="1" si="32"/>
        <v>0.24764227103896097</v>
      </c>
      <c r="M37" s="591">
        <f t="shared" ca="1" si="32"/>
        <v>0.24764227103896097</v>
      </c>
      <c r="N37" s="591">
        <f t="shared" ca="1" si="32"/>
        <v>0.24764227103896097</v>
      </c>
      <c r="O37" s="591">
        <f t="shared" ca="1" si="32"/>
        <v>0.24764227103896097</v>
      </c>
      <c r="P37" s="591">
        <f t="shared" ref="P37:Z37" ca="1" si="33">IF(P5=0,0,(P34-P23)*$B$83/((1-P13)*P5))</f>
        <v>0.24764227103896097</v>
      </c>
      <c r="Q37" s="591">
        <f t="shared" ca="1" si="33"/>
        <v>0.24764227103896097</v>
      </c>
      <c r="R37" s="591">
        <f t="shared" ca="1" si="33"/>
        <v>0.24764227103896097</v>
      </c>
      <c r="S37" s="591">
        <f t="shared" ca="1" si="33"/>
        <v>0.24764227103896097</v>
      </c>
      <c r="T37" s="591">
        <f t="shared" ca="1" si="33"/>
        <v>0.24764227103896097</v>
      </c>
      <c r="U37" s="591">
        <f t="shared" ca="1" si="33"/>
        <v>0.24764227103896097</v>
      </c>
      <c r="V37" s="591">
        <f t="shared" ca="1" si="33"/>
        <v>0.24764227103896097</v>
      </c>
      <c r="W37" s="591">
        <f t="shared" ca="1" si="33"/>
        <v>0.24764227103896097</v>
      </c>
      <c r="X37" s="591">
        <f t="shared" ca="1" si="33"/>
        <v>0.24764227103896097</v>
      </c>
      <c r="Y37" s="591">
        <f t="shared" ca="1" si="33"/>
        <v>0.24764227103896097</v>
      </c>
      <c r="Z37" s="591">
        <f t="shared" ca="1" si="33"/>
        <v>0.24764227103896097</v>
      </c>
    </row>
    <row r="38" spans="1:26">
      <c r="A38" s="231" t="s">
        <v>86</v>
      </c>
      <c r="B38" s="349"/>
      <c r="C38" s="231" t="s">
        <v>87</v>
      </c>
      <c r="D38" s="349"/>
      <c r="E38"/>
      <c r="F38" s="591">
        <f t="shared" ref="F38:U38" ca="1" si="34">EXP(-F37)</f>
        <v>0.78063915056706878</v>
      </c>
      <c r="G38" s="591">
        <f t="shared" ca="1" si="34"/>
        <v>0.78063915056706878</v>
      </c>
      <c r="H38" s="591">
        <f t="shared" ca="1" si="34"/>
        <v>0.78063915056706878</v>
      </c>
      <c r="I38" s="591">
        <f t="shared" ca="1" si="34"/>
        <v>0.78063915056706878</v>
      </c>
      <c r="J38" s="591">
        <f t="shared" ca="1" si="34"/>
        <v>0.78063915056706878</v>
      </c>
      <c r="K38" s="591">
        <f t="shared" ca="1" si="34"/>
        <v>0.78063915056706878</v>
      </c>
      <c r="L38" s="591">
        <f t="shared" ca="1" si="34"/>
        <v>0.78063915056706878</v>
      </c>
      <c r="M38" s="591">
        <f t="shared" ca="1" si="34"/>
        <v>0.78063915056706878</v>
      </c>
      <c r="N38" s="591">
        <f t="shared" ca="1" si="34"/>
        <v>0.78063915056706878</v>
      </c>
      <c r="O38" s="591">
        <f t="shared" ca="1" si="34"/>
        <v>0.78063915056706878</v>
      </c>
      <c r="P38" s="591">
        <f t="shared" ca="1" si="34"/>
        <v>0.78063915056706878</v>
      </c>
      <c r="Q38" s="591">
        <f t="shared" ca="1" si="34"/>
        <v>0.78063915056706878</v>
      </c>
      <c r="R38" s="591">
        <f t="shared" ca="1" si="34"/>
        <v>0.78063915056706878</v>
      </c>
      <c r="S38" s="591">
        <f t="shared" ca="1" si="34"/>
        <v>0.78063915056706878</v>
      </c>
      <c r="T38" s="591">
        <f t="shared" ca="1" si="34"/>
        <v>0.78063915056706878</v>
      </c>
      <c r="U38" s="591">
        <f t="shared" ca="1" si="34"/>
        <v>0.78063915056706878</v>
      </c>
      <c r="V38" s="591">
        <f ca="1">EXP(-V37)</f>
        <v>0.78063915056706878</v>
      </c>
      <c r="W38" s="591">
        <f ca="1">EXP(-W37)</f>
        <v>0.78063915056706878</v>
      </c>
      <c r="X38" s="591">
        <f ca="1">EXP(-X37)</f>
        <v>0.78063915056706878</v>
      </c>
      <c r="Y38" s="591">
        <f ca="1">EXP(-Y37)</f>
        <v>0.78063915056706878</v>
      </c>
      <c r="Z38" s="591">
        <f ca="1">EXP(-Z37)</f>
        <v>0.78063915056706878</v>
      </c>
    </row>
    <row r="39" spans="1:26">
      <c r="A39" s="231" t="s">
        <v>88</v>
      </c>
      <c r="B39" s="231" t="s">
        <v>57</v>
      </c>
      <c r="C39" s="231" t="s">
        <v>89</v>
      </c>
      <c r="E39"/>
      <c r="F39" s="591">
        <f t="shared" ref="F39:O39" ca="1" si="35">IF(F37=0,0,IF(OR(F9&lt;=F23,RAND()&lt;F24),F21,MAX(0,1/F37*LN(F34/F23))+F35))</f>
        <v>21.7824879333096</v>
      </c>
      <c r="G39" s="591">
        <f t="shared" ca="1" si="35"/>
        <v>22.7824879333096</v>
      </c>
      <c r="H39" s="591">
        <f t="shared" ca="1" si="35"/>
        <v>23.7824879333096</v>
      </c>
      <c r="I39" s="591">
        <f t="shared" ca="1" si="35"/>
        <v>24.7824879333096</v>
      </c>
      <c r="J39" s="591">
        <f t="shared" ca="1" si="35"/>
        <v>25.7824879333096</v>
      </c>
      <c r="K39" s="591">
        <f t="shared" ca="1" si="35"/>
        <v>26.7824879333096</v>
      </c>
      <c r="L39" s="591">
        <f t="shared" ca="1" si="35"/>
        <v>27.7824879333096</v>
      </c>
      <c r="M39" s="591">
        <f t="shared" ca="1" si="35"/>
        <v>28.7824879333096</v>
      </c>
      <c r="N39" s="591">
        <f t="shared" ca="1" si="35"/>
        <v>29.7824879333096</v>
      </c>
      <c r="O39" s="591">
        <f t="shared" ca="1" si="35"/>
        <v>30.7824879333096</v>
      </c>
      <c r="P39" s="591">
        <f t="shared" ref="P39:Z39" ca="1" si="36">IF(P37=0,0,IF(OR(P9&lt;=P23,RAND()&lt;P24),P21,MAX(0,1/P37*LN(P34/P23))+P35))</f>
        <v>31.7824879333096</v>
      </c>
      <c r="Q39" s="591">
        <f t="shared" ca="1" si="36"/>
        <v>32.782487933309596</v>
      </c>
      <c r="R39" s="591">
        <f t="shared" ca="1" si="36"/>
        <v>33.782487933309596</v>
      </c>
      <c r="S39" s="591">
        <f t="shared" ca="1" si="36"/>
        <v>34.782487933309596</v>
      </c>
      <c r="T39" s="591">
        <f t="shared" ca="1" si="36"/>
        <v>35.782487933309596</v>
      </c>
      <c r="U39" s="591">
        <f t="shared" ca="1" si="36"/>
        <v>36.782487933309596</v>
      </c>
      <c r="V39" s="591">
        <f t="shared" ca="1" si="36"/>
        <v>37.782487933309596</v>
      </c>
      <c r="W39" s="591">
        <f t="shared" ca="1" si="36"/>
        <v>38.782487933309596</v>
      </c>
      <c r="X39" s="591">
        <f t="shared" ca="1" si="36"/>
        <v>39.782487933309596</v>
      </c>
      <c r="Y39" s="591">
        <f t="shared" ca="1" si="36"/>
        <v>40.782487933309596</v>
      </c>
      <c r="Z39" s="591">
        <f t="shared" ca="1" si="36"/>
        <v>41.782487933309596</v>
      </c>
    </row>
    <row r="40" spans="1:26">
      <c r="A40" s="231" t="s">
        <v>90</v>
      </c>
      <c r="B40" s="231" t="s">
        <v>57</v>
      </c>
      <c r="C40" s="231" t="s">
        <v>91</v>
      </c>
      <c r="E40"/>
      <c r="F40" s="591">
        <f t="shared" ref="F40:U40" ca="1" si="37">INT(F39)</f>
        <v>21</v>
      </c>
      <c r="G40" s="591">
        <f t="shared" ca="1" si="37"/>
        <v>22</v>
      </c>
      <c r="H40" s="591">
        <f t="shared" ca="1" si="37"/>
        <v>23</v>
      </c>
      <c r="I40" s="591">
        <f t="shared" ca="1" si="37"/>
        <v>24</v>
      </c>
      <c r="J40" s="591">
        <f t="shared" ca="1" si="37"/>
        <v>25</v>
      </c>
      <c r="K40" s="591">
        <f t="shared" ca="1" si="37"/>
        <v>26</v>
      </c>
      <c r="L40" s="591">
        <f t="shared" ca="1" si="37"/>
        <v>27</v>
      </c>
      <c r="M40" s="591">
        <f t="shared" ca="1" si="37"/>
        <v>28</v>
      </c>
      <c r="N40" s="591">
        <f t="shared" ca="1" si="37"/>
        <v>29</v>
      </c>
      <c r="O40" s="591">
        <f t="shared" ca="1" si="37"/>
        <v>30</v>
      </c>
      <c r="P40" s="591">
        <f t="shared" ca="1" si="37"/>
        <v>31</v>
      </c>
      <c r="Q40" s="591">
        <f t="shared" ca="1" si="37"/>
        <v>32</v>
      </c>
      <c r="R40" s="591">
        <f t="shared" ca="1" si="37"/>
        <v>33</v>
      </c>
      <c r="S40" s="591">
        <f t="shared" ca="1" si="37"/>
        <v>34</v>
      </c>
      <c r="T40" s="591">
        <f t="shared" ca="1" si="37"/>
        <v>35</v>
      </c>
      <c r="U40" s="591">
        <f t="shared" ca="1" si="37"/>
        <v>36</v>
      </c>
      <c r="V40" s="591">
        <f ca="1">INT(V39)</f>
        <v>37</v>
      </c>
      <c r="W40" s="591">
        <f ca="1">INT(W39)</f>
        <v>38</v>
      </c>
      <c r="X40" s="591">
        <f ca="1">INT(X39)</f>
        <v>39</v>
      </c>
      <c r="Y40" s="591">
        <f ca="1">INT(Y39)</f>
        <v>40</v>
      </c>
      <c r="Z40" s="591">
        <f ca="1">INT(Z39)</f>
        <v>41</v>
      </c>
    </row>
    <row r="41" spans="1:26">
      <c r="A41" s="349" t="s">
        <v>92</v>
      </c>
      <c r="B41" s="231" t="s">
        <v>26</v>
      </c>
      <c r="C41" s="231" t="s">
        <v>93</v>
      </c>
      <c r="E41"/>
      <c r="F41" s="591">
        <f t="shared" ref="F41:O41" ca="1" si="38">0.5*F9*(MAX(0,(INT(F22)-F21)/(F22+$B$81-F21))+1)*$B$83*(F22-MAX(INT(F22),F21))</f>
        <v>0</v>
      </c>
      <c r="G41" s="591">
        <f t="shared" ca="1" si="38"/>
        <v>0</v>
      </c>
      <c r="H41" s="591">
        <f t="shared" ca="1" si="38"/>
        <v>0</v>
      </c>
      <c r="I41" s="591">
        <f t="shared" ca="1" si="38"/>
        <v>0</v>
      </c>
      <c r="J41" s="591">
        <f t="shared" ca="1" si="38"/>
        <v>0</v>
      </c>
      <c r="K41" s="591">
        <f t="shared" ca="1" si="38"/>
        <v>0</v>
      </c>
      <c r="L41" s="591">
        <f t="shared" ca="1" si="38"/>
        <v>0</v>
      </c>
      <c r="M41" s="591">
        <f t="shared" ca="1" si="38"/>
        <v>0</v>
      </c>
      <c r="N41" s="591">
        <f t="shared" ca="1" si="38"/>
        <v>0</v>
      </c>
      <c r="O41" s="591">
        <f t="shared" ca="1" si="38"/>
        <v>0</v>
      </c>
      <c r="P41" s="591">
        <f t="shared" ref="P41:Z41" ca="1" si="39">0.5*P9*(MAX(0,(INT(P22)-P21)/(P22+$B$81-P21))+1)*$B$83*(P22-MAX(INT(P22),P21))</f>
        <v>0</v>
      </c>
      <c r="Q41" s="591">
        <f t="shared" ca="1" si="39"/>
        <v>0</v>
      </c>
      <c r="R41" s="591">
        <f t="shared" ca="1" si="39"/>
        <v>0</v>
      </c>
      <c r="S41" s="591">
        <f t="shared" ca="1" si="39"/>
        <v>0</v>
      </c>
      <c r="T41" s="591">
        <f t="shared" ca="1" si="39"/>
        <v>0</v>
      </c>
      <c r="U41" s="591">
        <f t="shared" ca="1" si="39"/>
        <v>0</v>
      </c>
      <c r="V41" s="591">
        <f t="shared" ca="1" si="39"/>
        <v>0</v>
      </c>
      <c r="W41" s="591">
        <f t="shared" ca="1" si="39"/>
        <v>0</v>
      </c>
      <c r="X41" s="591">
        <f t="shared" ca="1" si="39"/>
        <v>0</v>
      </c>
      <c r="Y41" s="591">
        <f t="shared" ca="1" si="39"/>
        <v>0</v>
      </c>
      <c r="Z41" s="591">
        <f t="shared" ca="1" si="39"/>
        <v>0</v>
      </c>
    </row>
    <row r="42" spans="1:26">
      <c r="A42" s="349" t="s">
        <v>94</v>
      </c>
      <c r="B42" s="231" t="s">
        <v>26</v>
      </c>
      <c r="C42" s="231" t="s">
        <v>95</v>
      </c>
      <c r="E42"/>
      <c r="F42" s="591">
        <f t="shared" ref="F42:O42" ca="1" si="40">F9/F17*(1-EXP(-F17*(INT(F22+1)-F22)))*$B$83</f>
        <v>277.71961814419114</v>
      </c>
      <c r="G42" s="591">
        <f t="shared" ca="1" si="40"/>
        <v>277.71961814419114</v>
      </c>
      <c r="H42" s="591">
        <f t="shared" ca="1" si="40"/>
        <v>277.71961814419114</v>
      </c>
      <c r="I42" s="591">
        <f t="shared" ca="1" si="40"/>
        <v>277.71961814419114</v>
      </c>
      <c r="J42" s="591">
        <f t="shared" ca="1" si="40"/>
        <v>277.71961814419114</v>
      </c>
      <c r="K42" s="591">
        <f t="shared" ca="1" si="40"/>
        <v>277.71961814419114</v>
      </c>
      <c r="L42" s="591">
        <f t="shared" ca="1" si="40"/>
        <v>277.71961814419114</v>
      </c>
      <c r="M42" s="591">
        <f t="shared" ca="1" si="40"/>
        <v>277.71961814419114</v>
      </c>
      <c r="N42" s="591">
        <f t="shared" ca="1" si="40"/>
        <v>277.71961814419114</v>
      </c>
      <c r="O42" s="591">
        <f t="shared" ca="1" si="40"/>
        <v>277.71961814419114</v>
      </c>
      <c r="P42" s="591">
        <f t="shared" ref="P42:Z42" ca="1" si="41">P9/P17*(1-EXP(-P17*(INT(P22+1)-P22)))*$B$83</f>
        <v>277.71961814419114</v>
      </c>
      <c r="Q42" s="591">
        <f t="shared" ca="1" si="41"/>
        <v>277.71961814419114</v>
      </c>
      <c r="R42" s="591">
        <f t="shared" ca="1" si="41"/>
        <v>277.71961814419114</v>
      </c>
      <c r="S42" s="591">
        <f t="shared" ca="1" si="41"/>
        <v>277.71961814419114</v>
      </c>
      <c r="T42" s="591">
        <f t="shared" ca="1" si="41"/>
        <v>277.71961814419114</v>
      </c>
      <c r="U42" s="591">
        <f t="shared" ca="1" si="41"/>
        <v>277.71961814419114</v>
      </c>
      <c r="V42" s="591">
        <f t="shared" ca="1" si="41"/>
        <v>277.71961814419114</v>
      </c>
      <c r="W42" s="591">
        <f t="shared" ca="1" si="41"/>
        <v>277.71961814419114</v>
      </c>
      <c r="X42" s="591">
        <f t="shared" ca="1" si="41"/>
        <v>277.71961814419114</v>
      </c>
      <c r="Y42" s="591">
        <f t="shared" ca="1" si="41"/>
        <v>277.71961814419114</v>
      </c>
      <c r="Z42" s="591">
        <f t="shared" ca="1" si="41"/>
        <v>277.71961814419114</v>
      </c>
    </row>
    <row r="43" spans="1:26">
      <c r="A43" s="349" t="s">
        <v>96</v>
      </c>
      <c r="B43" s="231" t="s">
        <v>26</v>
      </c>
      <c r="C43" s="231" t="s">
        <v>97</v>
      </c>
      <c r="E43"/>
      <c r="F43" s="591">
        <f t="shared" ref="F43:O43" ca="1" si="42">(F9/F17*(1-EXP(-F17*(F35-F22)))+F9/F37*EXP(-F17*(F35-F22))*(1-EXP(-F37*(INT(F35+1)-F35))))*$B$83</f>
        <v>1083.7041082127598</v>
      </c>
      <c r="G43" s="591">
        <f t="shared" ca="1" si="42"/>
        <v>1083.7041082127598</v>
      </c>
      <c r="H43" s="591">
        <f t="shared" ca="1" si="42"/>
        <v>1083.7041082127598</v>
      </c>
      <c r="I43" s="591">
        <f t="shared" ca="1" si="42"/>
        <v>1083.7041082127598</v>
      </c>
      <c r="J43" s="591">
        <f t="shared" ca="1" si="42"/>
        <v>1083.70410821276</v>
      </c>
      <c r="K43" s="591">
        <f t="shared" ca="1" si="42"/>
        <v>1083.70410821276</v>
      </c>
      <c r="L43" s="591">
        <f t="shared" ca="1" si="42"/>
        <v>1083.70410821276</v>
      </c>
      <c r="M43" s="591">
        <f t="shared" ca="1" si="42"/>
        <v>1083.70410821276</v>
      </c>
      <c r="N43" s="591">
        <f t="shared" ca="1" si="42"/>
        <v>1083.70410821276</v>
      </c>
      <c r="O43" s="591">
        <f t="shared" ca="1" si="42"/>
        <v>1083.70410821276</v>
      </c>
      <c r="P43" s="591">
        <f t="shared" ref="P43:Z43" ca="1" si="43">(P9/P17*(1-EXP(-P17*(P35-P22)))+P9/P37*EXP(-P17*(P35-P22))*(1-EXP(-P37*(INT(P35+1)-P35))))*$B$83</f>
        <v>1083.70410821276</v>
      </c>
      <c r="Q43" s="591">
        <f t="shared" ca="1" si="43"/>
        <v>1083.70410821276</v>
      </c>
      <c r="R43" s="591">
        <f t="shared" ca="1" si="43"/>
        <v>1083.70410821276</v>
      </c>
      <c r="S43" s="591">
        <f t="shared" ca="1" si="43"/>
        <v>1083.70410821276</v>
      </c>
      <c r="T43" s="591">
        <f t="shared" ca="1" si="43"/>
        <v>1083.70410821276</v>
      </c>
      <c r="U43" s="591">
        <f t="shared" ca="1" si="43"/>
        <v>1083.70410821276</v>
      </c>
      <c r="V43" s="591">
        <f t="shared" ca="1" si="43"/>
        <v>1083.70410821276</v>
      </c>
      <c r="W43" s="591">
        <f t="shared" ca="1" si="43"/>
        <v>1083.70410821276</v>
      </c>
      <c r="X43" s="591">
        <f t="shared" ca="1" si="43"/>
        <v>1083.70410821276</v>
      </c>
      <c r="Y43" s="591">
        <f t="shared" ca="1" si="43"/>
        <v>1083.70410821276</v>
      </c>
      <c r="Z43" s="591">
        <f t="shared" ca="1" si="43"/>
        <v>1083.70410821276</v>
      </c>
    </row>
    <row r="44" spans="1:26">
      <c r="A44" s="349" t="s">
        <v>98</v>
      </c>
      <c r="B44" s="231" t="s">
        <v>26</v>
      </c>
      <c r="C44" s="231" t="s">
        <v>99</v>
      </c>
      <c r="E44"/>
      <c r="F44" s="591">
        <f t="shared" ref="F44:O44" ca="1" si="44">IF(INT(F22)&gt;=INT(F35),F43,F42)</f>
        <v>277.71961814419114</v>
      </c>
      <c r="G44" s="591">
        <f t="shared" ca="1" si="44"/>
        <v>277.71961814419114</v>
      </c>
      <c r="H44" s="591">
        <f t="shared" ca="1" si="44"/>
        <v>277.71961814419114</v>
      </c>
      <c r="I44" s="591">
        <f t="shared" ca="1" si="44"/>
        <v>277.71961814419114</v>
      </c>
      <c r="J44" s="591">
        <f t="shared" ca="1" si="44"/>
        <v>277.71961814419114</v>
      </c>
      <c r="K44" s="591">
        <f t="shared" ca="1" si="44"/>
        <v>277.71961814419114</v>
      </c>
      <c r="L44" s="591">
        <f t="shared" ca="1" si="44"/>
        <v>277.71961814419114</v>
      </c>
      <c r="M44" s="591">
        <f t="shared" ca="1" si="44"/>
        <v>277.71961814419114</v>
      </c>
      <c r="N44" s="591">
        <f t="shared" ca="1" si="44"/>
        <v>277.71961814419114</v>
      </c>
      <c r="O44" s="591">
        <f t="shared" ca="1" si="44"/>
        <v>277.71961814419114</v>
      </c>
      <c r="P44" s="591">
        <f t="shared" ref="P44:Z44" ca="1" si="45">IF(INT(P22)&gt;=INT(P35),P43,P42)</f>
        <v>277.71961814419114</v>
      </c>
      <c r="Q44" s="591">
        <f t="shared" ca="1" si="45"/>
        <v>277.71961814419114</v>
      </c>
      <c r="R44" s="591">
        <f t="shared" ca="1" si="45"/>
        <v>277.71961814419114</v>
      </c>
      <c r="S44" s="591">
        <f t="shared" ca="1" si="45"/>
        <v>277.71961814419114</v>
      </c>
      <c r="T44" s="591">
        <f t="shared" ca="1" si="45"/>
        <v>277.71961814419114</v>
      </c>
      <c r="U44" s="591">
        <f t="shared" ca="1" si="45"/>
        <v>277.71961814419114</v>
      </c>
      <c r="V44" s="591">
        <f t="shared" ca="1" si="45"/>
        <v>277.71961814419114</v>
      </c>
      <c r="W44" s="591">
        <f t="shared" ca="1" si="45"/>
        <v>277.71961814419114</v>
      </c>
      <c r="X44" s="591">
        <f t="shared" ca="1" si="45"/>
        <v>277.71961814419114</v>
      </c>
      <c r="Y44" s="591">
        <f t="shared" ca="1" si="45"/>
        <v>277.71961814419114</v>
      </c>
      <c r="Z44" s="591">
        <f t="shared" ca="1" si="45"/>
        <v>277.71961814419114</v>
      </c>
    </row>
    <row r="45" spans="1:26">
      <c r="A45" s="349" t="s">
        <v>100</v>
      </c>
      <c r="B45" s="231" t="s">
        <v>26</v>
      </c>
      <c r="C45" s="231" t="s">
        <v>101</v>
      </c>
      <c r="E45"/>
      <c r="F45" s="591">
        <f t="shared" ref="F45:U45" ca="1" si="46">F41+F44</f>
        <v>277.71961814419114</v>
      </c>
      <c r="G45" s="591">
        <f ca="1">G41+G44</f>
        <v>277.71961814419114</v>
      </c>
      <c r="H45" s="591">
        <f t="shared" ca="1" si="46"/>
        <v>277.71961814419114</v>
      </c>
      <c r="I45" s="591">
        <f t="shared" ca="1" si="46"/>
        <v>277.71961814419114</v>
      </c>
      <c r="J45" s="591">
        <f t="shared" ca="1" si="46"/>
        <v>277.71961814419114</v>
      </c>
      <c r="K45" s="591">
        <f t="shared" ca="1" si="46"/>
        <v>277.71961814419114</v>
      </c>
      <c r="L45" s="591">
        <f t="shared" ca="1" si="46"/>
        <v>277.71961814419114</v>
      </c>
      <c r="M45" s="591">
        <f t="shared" ca="1" si="46"/>
        <v>277.71961814419114</v>
      </c>
      <c r="N45" s="591">
        <f t="shared" ca="1" si="46"/>
        <v>277.71961814419114</v>
      </c>
      <c r="O45" s="591">
        <f t="shared" ca="1" si="46"/>
        <v>277.71961814419114</v>
      </c>
      <c r="P45" s="591">
        <f t="shared" ca="1" si="46"/>
        <v>277.71961814419114</v>
      </c>
      <c r="Q45" s="591">
        <f t="shared" ca="1" si="46"/>
        <v>277.71961814419114</v>
      </c>
      <c r="R45" s="591">
        <f t="shared" ca="1" si="46"/>
        <v>277.71961814419114</v>
      </c>
      <c r="S45" s="591">
        <f t="shared" ca="1" si="46"/>
        <v>277.71961814419114</v>
      </c>
      <c r="T45" s="591">
        <f t="shared" ca="1" si="46"/>
        <v>277.71961814419114</v>
      </c>
      <c r="U45" s="591">
        <f t="shared" ca="1" si="46"/>
        <v>277.71961814419114</v>
      </c>
      <c r="V45" s="591">
        <f ca="1">V41+V44</f>
        <v>277.71961814419114</v>
      </c>
      <c r="W45" s="591">
        <f ca="1">W41+W44</f>
        <v>277.71961814419114</v>
      </c>
      <c r="X45" s="591">
        <f ca="1">X41+X44</f>
        <v>277.71961814419114</v>
      </c>
      <c r="Y45" s="591">
        <f ca="1">Y41+Y44</f>
        <v>277.71961814419114</v>
      </c>
      <c r="Z45" s="591">
        <f ca="1">Z41+Z44</f>
        <v>277.71961814419114</v>
      </c>
    </row>
    <row r="46" spans="1:26">
      <c r="A46" s="349" t="s">
        <v>102</v>
      </c>
      <c r="B46" s="231" t="s">
        <v>26</v>
      </c>
      <c r="C46" s="231" t="s">
        <v>103</v>
      </c>
      <c r="E46"/>
      <c r="F46" s="591">
        <f t="shared" ref="F46:O46" ca="1" si="47">F34*(EXP(F17*(F35-INT(F35)))-1)/F17*$B$83</f>
        <v>110.12399620711469</v>
      </c>
      <c r="G46" s="591">
        <f t="shared" ca="1" si="47"/>
        <v>110.12399620711469</v>
      </c>
      <c r="H46" s="591">
        <f t="shared" ca="1" si="47"/>
        <v>110.12399620711469</v>
      </c>
      <c r="I46" s="591">
        <f t="shared" ca="1" si="47"/>
        <v>110.12399620711469</v>
      </c>
      <c r="J46" s="591">
        <f t="shared" ca="1" si="47"/>
        <v>110.12399620711469</v>
      </c>
      <c r="K46" s="591">
        <f t="shared" ca="1" si="47"/>
        <v>110.12399620711469</v>
      </c>
      <c r="L46" s="591">
        <f t="shared" ca="1" si="47"/>
        <v>110.12399620711469</v>
      </c>
      <c r="M46" s="591">
        <f t="shared" ca="1" si="47"/>
        <v>110.12399620711469</v>
      </c>
      <c r="N46" s="591">
        <f t="shared" ca="1" si="47"/>
        <v>110.12399620711469</v>
      </c>
      <c r="O46" s="591">
        <f t="shared" ca="1" si="47"/>
        <v>110.12399620711469</v>
      </c>
      <c r="P46" s="591">
        <f t="shared" ref="P46:Z46" ca="1" si="48">P34*(EXP(P17*(P35-INT(P35)))-1)/P17*$B$83</f>
        <v>110.12399620711469</v>
      </c>
      <c r="Q46" s="591">
        <f t="shared" ca="1" si="48"/>
        <v>110.12399620711469</v>
      </c>
      <c r="R46" s="591">
        <f t="shared" ca="1" si="48"/>
        <v>110.12399620711469</v>
      </c>
      <c r="S46" s="591">
        <f t="shared" ca="1" si="48"/>
        <v>110.12399620711469</v>
      </c>
      <c r="T46" s="591">
        <f t="shared" ca="1" si="48"/>
        <v>110.12399620711469</v>
      </c>
      <c r="U46" s="591">
        <f t="shared" ca="1" si="48"/>
        <v>110.12399620711469</v>
      </c>
      <c r="V46" s="591">
        <f t="shared" ca="1" si="48"/>
        <v>110.12399620711469</v>
      </c>
      <c r="W46" s="591">
        <f t="shared" ca="1" si="48"/>
        <v>110.12399620711469</v>
      </c>
      <c r="X46" s="591">
        <f t="shared" ca="1" si="48"/>
        <v>110.12399620711469</v>
      </c>
      <c r="Y46" s="591">
        <f t="shared" ca="1" si="48"/>
        <v>110.12399620711469</v>
      </c>
      <c r="Z46" s="591">
        <f t="shared" ca="1" si="48"/>
        <v>110.12399620711469</v>
      </c>
    </row>
    <row r="47" spans="1:26">
      <c r="A47" s="349" t="s">
        <v>104</v>
      </c>
      <c r="B47" s="231" t="s">
        <v>26</v>
      </c>
      <c r="C47" s="231" t="s">
        <v>105</v>
      </c>
      <c r="E47"/>
      <c r="F47" s="591">
        <f t="shared" ref="F47:O47" ca="1" si="49">F34*(1-EXP(-F37*(MIN(F39,INT(F35+1))-F35)))/F37*$B$83</f>
        <v>148.68383083271513</v>
      </c>
      <c r="G47" s="591">
        <f t="shared" ca="1" si="49"/>
        <v>148.68383083271513</v>
      </c>
      <c r="H47" s="591">
        <f t="shared" ca="1" si="49"/>
        <v>148.68383083271513</v>
      </c>
      <c r="I47" s="591">
        <f t="shared" ca="1" si="49"/>
        <v>148.68383083271513</v>
      </c>
      <c r="J47" s="591">
        <f t="shared" ca="1" si="49"/>
        <v>148.68383083271536</v>
      </c>
      <c r="K47" s="591">
        <f t="shared" ca="1" si="49"/>
        <v>148.68383083271536</v>
      </c>
      <c r="L47" s="591">
        <f t="shared" ca="1" si="49"/>
        <v>148.68383083271536</v>
      </c>
      <c r="M47" s="591">
        <f t="shared" ca="1" si="49"/>
        <v>148.68383083271536</v>
      </c>
      <c r="N47" s="591">
        <f t="shared" ca="1" si="49"/>
        <v>148.68383083271536</v>
      </c>
      <c r="O47" s="591">
        <f t="shared" ca="1" si="49"/>
        <v>148.68383083271536</v>
      </c>
      <c r="P47" s="591">
        <f t="shared" ref="P47:Z47" ca="1" si="50">P34*(1-EXP(-P37*(MIN(P39,INT(P35+1))-P35)))/P37*$B$83</f>
        <v>148.68383083271536</v>
      </c>
      <c r="Q47" s="591">
        <f t="shared" ca="1" si="50"/>
        <v>148.68383083271536</v>
      </c>
      <c r="R47" s="591">
        <f t="shared" ca="1" si="50"/>
        <v>148.68383083271536</v>
      </c>
      <c r="S47" s="591">
        <f t="shared" ca="1" si="50"/>
        <v>148.68383083271536</v>
      </c>
      <c r="T47" s="591">
        <f t="shared" ca="1" si="50"/>
        <v>148.68383083271536</v>
      </c>
      <c r="U47" s="591">
        <f t="shared" ca="1" si="50"/>
        <v>148.68383083271536</v>
      </c>
      <c r="V47" s="591">
        <f t="shared" ca="1" si="50"/>
        <v>148.68383083271536</v>
      </c>
      <c r="W47" s="591">
        <f t="shared" ca="1" si="50"/>
        <v>148.68383083271536</v>
      </c>
      <c r="X47" s="591">
        <f t="shared" ca="1" si="50"/>
        <v>148.68383083271536</v>
      </c>
      <c r="Y47" s="591">
        <f t="shared" ca="1" si="50"/>
        <v>148.68383083271536</v>
      </c>
      <c r="Z47" s="591">
        <f t="shared" ca="1" si="50"/>
        <v>148.68383083271536</v>
      </c>
    </row>
    <row r="48" spans="1:26">
      <c r="A48" s="349" t="s">
        <v>106</v>
      </c>
      <c r="B48" s="231" t="s">
        <v>26</v>
      </c>
      <c r="C48" s="231" t="s">
        <v>107</v>
      </c>
      <c r="E48"/>
      <c r="F48" s="591">
        <f t="shared" ref="F48:U48" ca="1" si="51">F46+F47</f>
        <v>258.80782703982982</v>
      </c>
      <c r="G48" s="591">
        <f ca="1">G46+G47</f>
        <v>258.80782703982982</v>
      </c>
      <c r="H48" s="591">
        <f t="shared" ca="1" si="51"/>
        <v>258.80782703982982</v>
      </c>
      <c r="I48" s="591">
        <f t="shared" ca="1" si="51"/>
        <v>258.80782703982982</v>
      </c>
      <c r="J48" s="591">
        <f t="shared" ca="1" si="51"/>
        <v>258.80782703983004</v>
      </c>
      <c r="K48" s="591">
        <f t="shared" ca="1" si="51"/>
        <v>258.80782703983004</v>
      </c>
      <c r="L48" s="591">
        <f t="shared" ca="1" si="51"/>
        <v>258.80782703983004</v>
      </c>
      <c r="M48" s="591">
        <f t="shared" ca="1" si="51"/>
        <v>258.80782703983004</v>
      </c>
      <c r="N48" s="591">
        <f t="shared" ca="1" si="51"/>
        <v>258.80782703983004</v>
      </c>
      <c r="O48" s="591">
        <f t="shared" ca="1" si="51"/>
        <v>258.80782703983004</v>
      </c>
      <c r="P48" s="591">
        <f t="shared" ca="1" si="51"/>
        <v>258.80782703983004</v>
      </c>
      <c r="Q48" s="591">
        <f t="shared" ca="1" si="51"/>
        <v>258.80782703983004</v>
      </c>
      <c r="R48" s="591">
        <f t="shared" ca="1" si="51"/>
        <v>258.80782703983004</v>
      </c>
      <c r="S48" s="591">
        <f t="shared" ca="1" si="51"/>
        <v>258.80782703983004</v>
      </c>
      <c r="T48" s="591">
        <f t="shared" ca="1" si="51"/>
        <v>258.80782703983004</v>
      </c>
      <c r="U48" s="591">
        <f t="shared" ca="1" si="51"/>
        <v>258.80782703983004</v>
      </c>
      <c r="V48" s="591">
        <f ca="1">V46+V47</f>
        <v>258.80782703983004</v>
      </c>
      <c r="W48" s="591">
        <f ca="1">W46+W47</f>
        <v>258.80782703983004</v>
      </c>
      <c r="X48" s="591">
        <f ca="1">X46+X47</f>
        <v>258.80782703983004</v>
      </c>
      <c r="Y48" s="591">
        <f ca="1">Y46+Y47</f>
        <v>258.80782703983004</v>
      </c>
      <c r="Z48" s="591">
        <f ca="1">Z46+Z47</f>
        <v>258.80782703983004</v>
      </c>
    </row>
    <row r="49" spans="1:27">
      <c r="A49" s="231" t="s">
        <v>108</v>
      </c>
      <c r="B49" s="231" t="s">
        <v>26</v>
      </c>
      <c r="C49" s="231" t="s">
        <v>109</v>
      </c>
      <c r="E49"/>
      <c r="F49" s="591">
        <f t="shared" ref="F49:O49" ca="1" si="52">F23*(EXP(F37*(F39-INT(F39)))-1)/F37*$B$83</f>
        <v>3.1515771509395312</v>
      </c>
      <c r="G49" s="591">
        <f t="shared" ca="1" si="52"/>
        <v>3.1515771509395312</v>
      </c>
      <c r="H49" s="591">
        <f t="shared" ca="1" si="52"/>
        <v>3.1515771509395312</v>
      </c>
      <c r="I49" s="678">
        <f t="shared" ca="1" si="52"/>
        <v>3.1515771509395312</v>
      </c>
      <c r="J49" s="591">
        <f t="shared" ca="1" si="52"/>
        <v>3.1515771509395312</v>
      </c>
      <c r="K49" s="591">
        <f t="shared" ca="1" si="52"/>
        <v>3.1515771509395312</v>
      </c>
      <c r="L49" s="591">
        <f t="shared" ca="1" si="52"/>
        <v>3.1515771509395312</v>
      </c>
      <c r="M49" s="591">
        <f t="shared" ca="1" si="52"/>
        <v>3.1515771509395312</v>
      </c>
      <c r="N49" s="591">
        <f t="shared" ca="1" si="52"/>
        <v>3.1515771509395312</v>
      </c>
      <c r="O49" s="591">
        <f t="shared" ca="1" si="52"/>
        <v>3.1515771509395312</v>
      </c>
      <c r="P49" s="591">
        <f t="shared" ref="P49:Z49" ca="1" si="53">P23*(EXP(P37*(P39-INT(P39)))-1)/P37*$B$83</f>
        <v>3.1515771509395312</v>
      </c>
      <c r="Q49" s="591">
        <f t="shared" ca="1" si="53"/>
        <v>3.1515771509395143</v>
      </c>
      <c r="R49" s="591">
        <f t="shared" ca="1" si="53"/>
        <v>3.1515771509395143</v>
      </c>
      <c r="S49" s="591">
        <f t="shared" ca="1" si="53"/>
        <v>3.1515771509395143</v>
      </c>
      <c r="T49" s="591">
        <f t="shared" ca="1" si="53"/>
        <v>3.1515771509395143</v>
      </c>
      <c r="U49" s="591">
        <f t="shared" ca="1" si="53"/>
        <v>3.1515771509395143</v>
      </c>
      <c r="V49" s="591">
        <f t="shared" ca="1" si="53"/>
        <v>3.1515771509395143</v>
      </c>
      <c r="W49" s="591">
        <f t="shared" ca="1" si="53"/>
        <v>3.1515771509395143</v>
      </c>
      <c r="X49" s="591">
        <f t="shared" ca="1" si="53"/>
        <v>3.1515771509395143</v>
      </c>
      <c r="Y49" s="591">
        <f t="shared" ca="1" si="53"/>
        <v>3.1515771509395143</v>
      </c>
      <c r="Z49" s="591">
        <f t="shared" ca="1" si="53"/>
        <v>3.1515771509395143</v>
      </c>
    </row>
    <row r="50" spans="1:27">
      <c r="A50" s="231" t="s">
        <v>110</v>
      </c>
      <c r="C50" s="231" t="s">
        <v>111</v>
      </c>
      <c r="E50"/>
      <c r="F50" s="591">
        <f t="shared" ref="F50:O50" ca="1" si="54">F9*(1-EXP(-F17))/F17*$B$83</f>
        <v>277.71961814419109</v>
      </c>
      <c r="G50" s="591">
        <f t="shared" ca="1" si="54"/>
        <v>277.71961814419109</v>
      </c>
      <c r="H50" s="591">
        <f t="shared" ca="1" si="54"/>
        <v>277.71961814419109</v>
      </c>
      <c r="I50" s="591">
        <f t="shared" ca="1" si="54"/>
        <v>277.71961814419109</v>
      </c>
      <c r="J50" s="591">
        <f t="shared" ca="1" si="54"/>
        <v>277.71961814419109</v>
      </c>
      <c r="K50" s="591">
        <f t="shared" ca="1" si="54"/>
        <v>277.71961814419109</v>
      </c>
      <c r="L50" s="591">
        <f t="shared" ca="1" si="54"/>
        <v>277.71961814419109</v>
      </c>
      <c r="M50" s="591">
        <f t="shared" ca="1" si="54"/>
        <v>277.71961814419109</v>
      </c>
      <c r="N50" s="591">
        <f t="shared" ca="1" si="54"/>
        <v>277.71961814419109</v>
      </c>
      <c r="O50" s="591">
        <f t="shared" ca="1" si="54"/>
        <v>277.71961814419109</v>
      </c>
      <c r="P50" s="591">
        <f t="shared" ref="P50:Z50" ca="1" si="55">P9*(1-EXP(-P17))/P17*$B$83</f>
        <v>277.71961814419109</v>
      </c>
      <c r="Q50" s="591">
        <f t="shared" ca="1" si="55"/>
        <v>277.71961814419109</v>
      </c>
      <c r="R50" s="591">
        <f t="shared" ca="1" si="55"/>
        <v>277.71961814419109</v>
      </c>
      <c r="S50" s="591">
        <f t="shared" ca="1" si="55"/>
        <v>277.71961814419109</v>
      </c>
      <c r="T50" s="591">
        <f t="shared" ca="1" si="55"/>
        <v>277.71961814419109</v>
      </c>
      <c r="U50" s="591">
        <f t="shared" ca="1" si="55"/>
        <v>277.71961814419109</v>
      </c>
      <c r="V50" s="591">
        <f t="shared" ca="1" si="55"/>
        <v>277.71961814419109</v>
      </c>
      <c r="W50" s="591">
        <f t="shared" ca="1" si="55"/>
        <v>277.71961814419109</v>
      </c>
      <c r="X50" s="591">
        <f t="shared" ca="1" si="55"/>
        <v>277.71961814419109</v>
      </c>
      <c r="Y50" s="591">
        <f t="shared" ca="1" si="55"/>
        <v>277.71961814419109</v>
      </c>
      <c r="Z50" s="591">
        <f t="shared" ca="1" si="55"/>
        <v>277.71961814419109</v>
      </c>
    </row>
    <row r="51" spans="1:27">
      <c r="A51" s="231" t="s">
        <v>112</v>
      </c>
      <c r="C51" s="231" t="s">
        <v>113</v>
      </c>
      <c r="E51"/>
      <c r="F51" s="591">
        <f t="shared" ref="F51:O51" ca="1" si="56">F34*(1-EXP(-F37))/F37*$B$83</f>
        <v>238.95296388007094</v>
      </c>
      <c r="G51" s="591">
        <f t="shared" ca="1" si="56"/>
        <v>238.95296388007094</v>
      </c>
      <c r="H51" s="591">
        <f t="shared" ca="1" si="56"/>
        <v>238.95296388007094</v>
      </c>
      <c r="I51" s="591">
        <f t="shared" ca="1" si="56"/>
        <v>238.95296388007094</v>
      </c>
      <c r="J51" s="591">
        <f t="shared" ca="1" si="56"/>
        <v>238.95296388007094</v>
      </c>
      <c r="K51" s="591">
        <f t="shared" ca="1" si="56"/>
        <v>238.95296388007094</v>
      </c>
      <c r="L51" s="591">
        <f t="shared" ca="1" si="56"/>
        <v>238.95296388007094</v>
      </c>
      <c r="M51" s="591">
        <f t="shared" ca="1" si="56"/>
        <v>238.95296388007094</v>
      </c>
      <c r="N51" s="591">
        <f t="shared" ca="1" si="56"/>
        <v>238.95296388007094</v>
      </c>
      <c r="O51" s="591">
        <f t="shared" ca="1" si="56"/>
        <v>238.95296388007094</v>
      </c>
      <c r="P51" s="591">
        <f t="shared" ref="P51:Z51" ca="1" si="57">P34*(1-EXP(-P37))/P37*$B$83</f>
        <v>238.95296388007094</v>
      </c>
      <c r="Q51" s="591">
        <f t="shared" ca="1" si="57"/>
        <v>238.95296388007094</v>
      </c>
      <c r="R51" s="591">
        <f t="shared" ca="1" si="57"/>
        <v>238.95296388007094</v>
      </c>
      <c r="S51" s="591">
        <f t="shared" ca="1" si="57"/>
        <v>238.95296388007094</v>
      </c>
      <c r="T51" s="591">
        <f t="shared" ca="1" si="57"/>
        <v>238.95296388007094</v>
      </c>
      <c r="U51" s="591">
        <f t="shared" ca="1" si="57"/>
        <v>238.95296388007094</v>
      </c>
      <c r="V51" s="591">
        <f t="shared" ca="1" si="57"/>
        <v>238.95296388007094</v>
      </c>
      <c r="W51" s="591">
        <f t="shared" ca="1" si="57"/>
        <v>238.95296388007094</v>
      </c>
      <c r="X51" s="591">
        <f t="shared" ca="1" si="57"/>
        <v>238.95296388007094</v>
      </c>
      <c r="Y51" s="591">
        <f t="shared" ca="1" si="57"/>
        <v>238.95296388007094</v>
      </c>
      <c r="Z51" s="591">
        <f t="shared" ca="1" si="57"/>
        <v>238.95296388007094</v>
      </c>
    </row>
    <row r="52" spans="1:27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7">
      <c r="A53" s="231">
        <f ca="1">1/F37*LN(F34/F23)+F35</f>
        <v>21.7824879333096</v>
      </c>
      <c r="H53" s="591"/>
    </row>
    <row r="54" spans="1:27">
      <c r="E54" s="593" t="s">
        <v>114</v>
      </c>
      <c r="F54" s="594" t="s">
        <v>115</v>
      </c>
      <c r="G54" s="594" t="s">
        <v>116</v>
      </c>
      <c r="H54" s="594" t="s">
        <v>117</v>
      </c>
      <c r="I54" s="594" t="s">
        <v>118</v>
      </c>
      <c r="J54" s="594" t="s">
        <v>119</v>
      </c>
      <c r="K54" s="594" t="s">
        <v>120</v>
      </c>
      <c r="L54" s="594" t="s">
        <v>121</v>
      </c>
      <c r="M54" s="594" t="s">
        <v>122</v>
      </c>
      <c r="N54" s="594" t="s">
        <v>123</v>
      </c>
      <c r="O54" s="594" t="s">
        <v>124</v>
      </c>
      <c r="P54" s="594" t="s">
        <v>125</v>
      </c>
      <c r="Q54" s="594" t="s">
        <v>126</v>
      </c>
      <c r="R54" s="594" t="s">
        <v>127</v>
      </c>
      <c r="S54" s="594" t="s">
        <v>128</v>
      </c>
      <c r="T54" s="594" t="s">
        <v>129</v>
      </c>
      <c r="U54" s="594" t="s">
        <v>130</v>
      </c>
      <c r="V54" s="594" t="s">
        <v>131</v>
      </c>
      <c r="W54" s="594" t="s">
        <v>132</v>
      </c>
      <c r="X54" s="594" t="s">
        <v>133</v>
      </c>
      <c r="Y54" s="594" t="s">
        <v>134</v>
      </c>
      <c r="Z54" s="594" t="s">
        <v>135</v>
      </c>
    </row>
    <row r="55" spans="1:27" ht="10.9" customHeight="1">
      <c r="A55"/>
      <c r="B55"/>
      <c r="D55" s="761">
        <f>+D56-1</f>
        <v>1999</v>
      </c>
      <c r="E55" s="231">
        <f ca="1">IF(GC!H375=0,0,1)</f>
        <v>1</v>
      </c>
      <c r="F55" s="595">
        <f t="shared" ref="F55:F94" ca="1" si="58">(IF(OR($E55&lt;=F$29,F$39&lt;=F$22),0,IF(AND($E55=F$29+1,$E55&lt;F$30+1),F$32,IF($E55&lt;=F$30,0.5*F$9*$B$83*(2*$E55-2*F$21-1)/(F$22-F$21),IF($E55=F$30+1,F$45,IF($E55&lt;=F$36,F$50*F$31^($E55-F$22-1),IF($E55=F$36+1,F$48,IF($E55&lt;=F$40,F$51*F$38^($E55-F$35-1),IF($E55=F$40+1,F$49,0)))))))))</f>
        <v>139.55526528060378</v>
      </c>
      <c r="G55" s="595">
        <f t="shared" ref="G55:P64" ca="1" si="59">IF(OR($E55&lt;=G$29,G$39&lt;=G$22),0,IF(AND($E55=G$29+1,$E55&lt;G$30+1),G$32,IF($E55&lt;=G$30,0.5*G$9*$B$83*(2*$E55-2*G$21-1)/(G$22-G$21),IF($E55=G$30+1,G$45,IF($E55&lt;=G$36,G$50*G$31^($E55-G$22-1),IF($E55=G$36+1,G$48,IF($E55&lt;=G$40,G$51*G$38^($E55-G$35-1),IF($E55=G$40+1,G$49,0))))))))</f>
        <v>0</v>
      </c>
      <c r="H55" s="595">
        <f t="shared" ca="1" si="59"/>
        <v>0</v>
      </c>
      <c r="I55" s="595">
        <f t="shared" ca="1" si="59"/>
        <v>0</v>
      </c>
      <c r="J55" s="595">
        <f t="shared" ca="1" si="59"/>
        <v>0</v>
      </c>
      <c r="K55" s="595">
        <f t="shared" ca="1" si="59"/>
        <v>0</v>
      </c>
      <c r="L55" s="595">
        <f t="shared" ca="1" si="59"/>
        <v>0</v>
      </c>
      <c r="M55" s="595">
        <f t="shared" ca="1" si="59"/>
        <v>0</v>
      </c>
      <c r="N55" s="595">
        <f t="shared" ca="1" si="59"/>
        <v>0</v>
      </c>
      <c r="O55" s="595">
        <f t="shared" ca="1" si="59"/>
        <v>0</v>
      </c>
      <c r="P55" s="595">
        <f t="shared" ca="1" si="59"/>
        <v>0</v>
      </c>
      <c r="Q55" s="595">
        <f t="shared" ref="Q55:Z64" ca="1" si="60">IF(OR($E55&lt;=Q$29,Q$39&lt;=Q$22),0,IF(AND($E55=Q$29+1,$E55&lt;Q$30+1),Q$32,IF($E55&lt;=Q$30,0.5*Q$9*$B$83*(2*$E55-2*Q$21-1)/(Q$22-Q$21),IF($E55=Q$30+1,Q$45,IF($E55&lt;=Q$36,Q$50*Q$31^($E55-Q$22-1),IF($E55=Q$36+1,Q$48,IF($E55&lt;=Q$40,Q$51*Q$38^($E55-Q$35-1),IF($E55=Q$40+1,Q$49,0))))))))</f>
        <v>0</v>
      </c>
      <c r="R55" s="595">
        <f t="shared" ca="1" si="60"/>
        <v>0</v>
      </c>
      <c r="S55" s="595">
        <f t="shared" ca="1" si="60"/>
        <v>0</v>
      </c>
      <c r="T55" s="595">
        <f t="shared" ca="1" si="60"/>
        <v>0</v>
      </c>
      <c r="U55" s="595">
        <f t="shared" ca="1" si="60"/>
        <v>0</v>
      </c>
      <c r="V55" s="595">
        <f t="shared" ca="1" si="60"/>
        <v>0</v>
      </c>
      <c r="W55" s="595">
        <f t="shared" ca="1" si="60"/>
        <v>0</v>
      </c>
      <c r="X55" s="595">
        <f t="shared" ca="1" si="60"/>
        <v>0</v>
      </c>
      <c r="Y55" s="595">
        <f t="shared" ca="1" si="60"/>
        <v>0</v>
      </c>
      <c r="Z55" s="595">
        <f t="shared" ca="1" si="60"/>
        <v>0</v>
      </c>
      <c r="AA55" s="591">
        <f ca="1">SUM(F55:Z55)</f>
        <v>139.55526528060378</v>
      </c>
    </row>
    <row r="56" spans="1:27">
      <c r="A56"/>
      <c r="B56"/>
      <c r="D56" s="760">
        <f>+G3</f>
        <v>2000</v>
      </c>
      <c r="E56" s="231">
        <f t="shared" ref="E56:E94" ca="1" si="61">+E55+1</f>
        <v>2</v>
      </c>
      <c r="F56" s="595">
        <f t="shared" ca="1" si="58"/>
        <v>277.71961814419114</v>
      </c>
      <c r="G56" s="595">
        <f t="shared" ca="1" si="59"/>
        <v>139.55526528060378</v>
      </c>
      <c r="H56" s="595">
        <f t="shared" ca="1" si="59"/>
        <v>0</v>
      </c>
      <c r="I56" s="595">
        <f t="shared" ca="1" si="59"/>
        <v>0</v>
      </c>
      <c r="J56" s="595">
        <f t="shared" ca="1" si="59"/>
        <v>0</v>
      </c>
      <c r="K56" s="595">
        <f t="shared" ca="1" si="59"/>
        <v>0</v>
      </c>
      <c r="L56" s="595">
        <f t="shared" ca="1" si="59"/>
        <v>0</v>
      </c>
      <c r="M56" s="595">
        <f t="shared" ca="1" si="59"/>
        <v>0</v>
      </c>
      <c r="N56" s="595">
        <f t="shared" ca="1" si="59"/>
        <v>0</v>
      </c>
      <c r="O56" s="595">
        <f t="shared" ca="1" si="59"/>
        <v>0</v>
      </c>
      <c r="P56" s="595">
        <f t="shared" ca="1" si="59"/>
        <v>0</v>
      </c>
      <c r="Q56" s="595">
        <f t="shared" ca="1" si="60"/>
        <v>0</v>
      </c>
      <c r="R56" s="595">
        <f t="shared" ca="1" si="60"/>
        <v>0</v>
      </c>
      <c r="S56" s="595">
        <f t="shared" ca="1" si="60"/>
        <v>0</v>
      </c>
      <c r="T56" s="595">
        <f t="shared" ca="1" si="60"/>
        <v>0</v>
      </c>
      <c r="U56" s="595">
        <f t="shared" ca="1" si="60"/>
        <v>0</v>
      </c>
      <c r="V56" s="595">
        <f t="shared" ca="1" si="60"/>
        <v>0</v>
      </c>
      <c r="W56" s="595">
        <f t="shared" ca="1" si="60"/>
        <v>0</v>
      </c>
      <c r="X56" s="595">
        <f t="shared" ca="1" si="60"/>
        <v>0</v>
      </c>
      <c r="Y56" s="595">
        <f t="shared" ca="1" si="60"/>
        <v>0</v>
      </c>
      <c r="Z56" s="595">
        <f t="shared" ca="1" si="60"/>
        <v>0</v>
      </c>
      <c r="AA56" s="591">
        <f t="shared" ref="AA56:AA71" ca="1" si="62">SUM(F56:Z56)</f>
        <v>417.27488342479489</v>
      </c>
    </row>
    <row r="57" spans="1:27">
      <c r="A57"/>
      <c r="B57"/>
      <c r="D57" s="760">
        <f>+H3</f>
        <v>2001</v>
      </c>
      <c r="E57" s="231">
        <f t="shared" ca="1" si="61"/>
        <v>3</v>
      </c>
      <c r="F57" s="595">
        <f t="shared" ca="1" si="58"/>
        <v>274.95626177253882</v>
      </c>
      <c r="G57" s="595">
        <f t="shared" ca="1" si="59"/>
        <v>277.71961814419114</v>
      </c>
      <c r="H57" s="595">
        <f t="shared" ca="1" si="59"/>
        <v>139.55526528060378</v>
      </c>
      <c r="I57" s="595">
        <f t="shared" ca="1" si="59"/>
        <v>0</v>
      </c>
      <c r="J57" s="595">
        <f t="shared" ca="1" si="59"/>
        <v>0</v>
      </c>
      <c r="K57" s="595">
        <f t="shared" ca="1" si="59"/>
        <v>0</v>
      </c>
      <c r="L57" s="595">
        <f t="shared" ca="1" si="59"/>
        <v>0</v>
      </c>
      <c r="M57" s="595">
        <f t="shared" ca="1" si="59"/>
        <v>0</v>
      </c>
      <c r="N57" s="595">
        <f t="shared" ca="1" si="59"/>
        <v>0</v>
      </c>
      <c r="O57" s="595">
        <f t="shared" ca="1" si="59"/>
        <v>0</v>
      </c>
      <c r="P57" s="595">
        <f t="shared" ca="1" si="59"/>
        <v>0</v>
      </c>
      <c r="Q57" s="595">
        <f t="shared" ca="1" si="60"/>
        <v>0</v>
      </c>
      <c r="R57" s="595">
        <f t="shared" ca="1" si="60"/>
        <v>0</v>
      </c>
      <c r="S57" s="595">
        <f t="shared" ca="1" si="60"/>
        <v>0</v>
      </c>
      <c r="T57" s="595">
        <f t="shared" ca="1" si="60"/>
        <v>0</v>
      </c>
      <c r="U57" s="595">
        <f t="shared" ca="1" si="60"/>
        <v>0</v>
      </c>
      <c r="V57" s="595">
        <f t="shared" ca="1" si="60"/>
        <v>0</v>
      </c>
      <c r="W57" s="595">
        <f t="shared" ca="1" si="60"/>
        <v>0</v>
      </c>
      <c r="X57" s="595">
        <f t="shared" ca="1" si="60"/>
        <v>0</v>
      </c>
      <c r="Y57" s="595">
        <f t="shared" ca="1" si="60"/>
        <v>0</v>
      </c>
      <c r="Z57" s="595">
        <f t="shared" ca="1" si="60"/>
        <v>0</v>
      </c>
      <c r="AA57" s="591">
        <f t="shared" ca="1" si="62"/>
        <v>692.23114519733372</v>
      </c>
    </row>
    <row r="58" spans="1:27">
      <c r="A58"/>
      <c r="B58"/>
      <c r="D58" s="760">
        <f>+I3</f>
        <v>2002</v>
      </c>
      <c r="E58" s="231">
        <f t="shared" ca="1" si="61"/>
        <v>4</v>
      </c>
      <c r="F58" s="595">
        <f t="shared" ca="1" si="58"/>
        <v>272.2204012561948</v>
      </c>
      <c r="G58" s="595">
        <f t="shared" ca="1" si="59"/>
        <v>274.95626177253882</v>
      </c>
      <c r="H58" s="595">
        <f t="shared" ca="1" si="59"/>
        <v>277.71961814419114</v>
      </c>
      <c r="I58" s="595">
        <f t="shared" ca="1" si="59"/>
        <v>139.55526528060378</v>
      </c>
      <c r="J58" s="595">
        <f t="shared" ca="1" si="59"/>
        <v>0</v>
      </c>
      <c r="K58" s="595">
        <f t="shared" ca="1" si="59"/>
        <v>0</v>
      </c>
      <c r="L58" s="595">
        <f t="shared" ca="1" si="59"/>
        <v>0</v>
      </c>
      <c r="M58" s="595">
        <f t="shared" ca="1" si="59"/>
        <v>0</v>
      </c>
      <c r="N58" s="595">
        <f t="shared" ca="1" si="59"/>
        <v>0</v>
      </c>
      <c r="O58" s="595">
        <f t="shared" ca="1" si="59"/>
        <v>0</v>
      </c>
      <c r="P58" s="595">
        <f t="shared" ca="1" si="59"/>
        <v>0</v>
      </c>
      <c r="Q58" s="595">
        <f t="shared" ca="1" si="60"/>
        <v>0</v>
      </c>
      <c r="R58" s="595">
        <f t="shared" ca="1" si="60"/>
        <v>0</v>
      </c>
      <c r="S58" s="595">
        <f t="shared" ca="1" si="60"/>
        <v>0</v>
      </c>
      <c r="T58" s="595">
        <f t="shared" ca="1" si="60"/>
        <v>0</v>
      </c>
      <c r="U58" s="595">
        <f t="shared" ca="1" si="60"/>
        <v>0</v>
      </c>
      <c r="V58" s="595">
        <f t="shared" ca="1" si="60"/>
        <v>0</v>
      </c>
      <c r="W58" s="595">
        <f t="shared" ca="1" si="60"/>
        <v>0</v>
      </c>
      <c r="X58" s="595">
        <f t="shared" ca="1" si="60"/>
        <v>0</v>
      </c>
      <c r="Y58" s="595">
        <f t="shared" ca="1" si="60"/>
        <v>0</v>
      </c>
      <c r="Z58" s="595">
        <f t="shared" ca="1" si="60"/>
        <v>0</v>
      </c>
      <c r="AA58" s="591">
        <f t="shared" ca="1" si="62"/>
        <v>964.45154645352852</v>
      </c>
    </row>
    <row r="59" spans="1:27">
      <c r="A59"/>
      <c r="B59"/>
      <c r="D59" s="760">
        <f>+J3</f>
        <v>2003</v>
      </c>
      <c r="E59" s="231">
        <f t="shared" ca="1" si="61"/>
        <v>5</v>
      </c>
      <c r="F59" s="595">
        <f t="shared" ca="1" si="58"/>
        <v>258.80782703982982</v>
      </c>
      <c r="G59" s="595">
        <f t="shared" ca="1" si="59"/>
        <v>272.2204012561948</v>
      </c>
      <c r="H59" s="595">
        <f t="shared" ca="1" si="59"/>
        <v>274.95626177253882</v>
      </c>
      <c r="I59" s="595">
        <f t="shared" ca="1" si="59"/>
        <v>277.71961814419114</v>
      </c>
      <c r="J59" s="595">
        <f t="shared" ca="1" si="59"/>
        <v>139.55526528060378</v>
      </c>
      <c r="K59" s="595">
        <f t="shared" ca="1" si="59"/>
        <v>0</v>
      </c>
      <c r="L59" s="595">
        <f t="shared" ca="1" si="59"/>
        <v>0</v>
      </c>
      <c r="M59" s="595">
        <f t="shared" ca="1" si="59"/>
        <v>0</v>
      </c>
      <c r="N59" s="595">
        <f t="shared" ca="1" si="59"/>
        <v>0</v>
      </c>
      <c r="O59" s="595">
        <f t="shared" ca="1" si="59"/>
        <v>0</v>
      </c>
      <c r="P59" s="595">
        <f t="shared" ca="1" si="59"/>
        <v>0</v>
      </c>
      <c r="Q59" s="595">
        <f t="shared" ca="1" si="60"/>
        <v>0</v>
      </c>
      <c r="R59" s="595">
        <f t="shared" ca="1" si="60"/>
        <v>0</v>
      </c>
      <c r="S59" s="595">
        <f t="shared" ca="1" si="60"/>
        <v>0</v>
      </c>
      <c r="T59" s="595">
        <f t="shared" ca="1" si="60"/>
        <v>0</v>
      </c>
      <c r="U59" s="595">
        <f t="shared" ca="1" si="60"/>
        <v>0</v>
      </c>
      <c r="V59" s="595">
        <f t="shared" ca="1" si="60"/>
        <v>0</v>
      </c>
      <c r="W59" s="595">
        <f t="shared" ca="1" si="60"/>
        <v>0</v>
      </c>
      <c r="X59" s="595">
        <f t="shared" ca="1" si="60"/>
        <v>0</v>
      </c>
      <c r="Y59" s="595">
        <f t="shared" ca="1" si="60"/>
        <v>0</v>
      </c>
      <c r="Z59" s="595">
        <f t="shared" ca="1" si="60"/>
        <v>0</v>
      </c>
      <c r="AA59" s="591">
        <f t="shared" ca="1" si="62"/>
        <v>1223.2593734933585</v>
      </c>
    </row>
    <row r="60" spans="1:27">
      <c r="A60"/>
      <c r="B60"/>
      <c r="D60" s="760">
        <f>+K3</f>
        <v>2004</v>
      </c>
      <c r="E60" s="231">
        <f t="shared" ca="1" si="61"/>
        <v>6</v>
      </c>
      <c r="F60" s="595">
        <f t="shared" ca="1" si="58"/>
        <v>206.33755245166429</v>
      </c>
      <c r="G60" s="595">
        <f t="shared" ca="1" si="59"/>
        <v>258.80782703982982</v>
      </c>
      <c r="H60" s="595">
        <f t="shared" ca="1" si="59"/>
        <v>272.2204012561948</v>
      </c>
      <c r="I60" s="595">
        <f t="shared" ca="1" si="59"/>
        <v>274.95626177253882</v>
      </c>
      <c r="J60" s="595">
        <f t="shared" ca="1" si="59"/>
        <v>277.71961814419114</v>
      </c>
      <c r="K60" s="595">
        <f t="shared" ca="1" si="59"/>
        <v>139.55526528060378</v>
      </c>
      <c r="L60" s="595">
        <f t="shared" ca="1" si="59"/>
        <v>0</v>
      </c>
      <c r="M60" s="595">
        <f t="shared" ca="1" si="59"/>
        <v>0</v>
      </c>
      <c r="N60" s="595">
        <f t="shared" ca="1" si="59"/>
        <v>0</v>
      </c>
      <c r="O60" s="595">
        <f t="shared" ca="1" si="59"/>
        <v>0</v>
      </c>
      <c r="P60" s="595">
        <f t="shared" ca="1" si="59"/>
        <v>0</v>
      </c>
      <c r="Q60" s="595">
        <f t="shared" ca="1" si="60"/>
        <v>0</v>
      </c>
      <c r="R60" s="595">
        <f t="shared" ca="1" si="60"/>
        <v>0</v>
      </c>
      <c r="S60" s="595">
        <f t="shared" ca="1" si="60"/>
        <v>0</v>
      </c>
      <c r="T60" s="595">
        <f t="shared" ca="1" si="60"/>
        <v>0</v>
      </c>
      <c r="U60" s="595">
        <f t="shared" ca="1" si="60"/>
        <v>0</v>
      </c>
      <c r="V60" s="595">
        <f t="shared" ca="1" si="60"/>
        <v>0</v>
      </c>
      <c r="W60" s="595">
        <f t="shared" ca="1" si="60"/>
        <v>0</v>
      </c>
      <c r="X60" s="595">
        <f t="shared" ca="1" si="60"/>
        <v>0</v>
      </c>
      <c r="Y60" s="595">
        <f t="shared" ca="1" si="60"/>
        <v>0</v>
      </c>
      <c r="Z60" s="595">
        <f t="shared" ca="1" si="60"/>
        <v>0</v>
      </c>
      <c r="AA60" s="591">
        <f t="shared" ca="1" si="62"/>
        <v>1429.5969259450228</v>
      </c>
    </row>
    <row r="61" spans="1:27">
      <c r="A61"/>
      <c r="B61"/>
      <c r="D61" s="760">
        <f>+L3</f>
        <v>2005</v>
      </c>
      <c r="E61" s="231">
        <f t="shared" ca="1" si="61"/>
        <v>7</v>
      </c>
      <c r="F61" s="595">
        <f t="shared" ca="1" si="58"/>
        <v>161.0751716759552</v>
      </c>
      <c r="G61" s="595">
        <f t="shared" ca="1" si="59"/>
        <v>206.33755245166429</v>
      </c>
      <c r="H61" s="595">
        <f t="shared" ca="1" si="59"/>
        <v>258.80782703982982</v>
      </c>
      <c r="I61" s="595">
        <f t="shared" ca="1" si="59"/>
        <v>272.2204012561948</v>
      </c>
      <c r="J61" s="595">
        <f t="shared" ca="1" si="59"/>
        <v>274.95626177253882</v>
      </c>
      <c r="K61" s="595">
        <f t="shared" ca="1" si="59"/>
        <v>277.71961814419114</v>
      </c>
      <c r="L61" s="595">
        <f t="shared" ca="1" si="59"/>
        <v>139.55526528060378</v>
      </c>
      <c r="M61" s="595">
        <f t="shared" ca="1" si="59"/>
        <v>0</v>
      </c>
      <c r="N61" s="595">
        <f t="shared" ca="1" si="59"/>
        <v>0</v>
      </c>
      <c r="O61" s="595">
        <f t="shared" ca="1" si="59"/>
        <v>0</v>
      </c>
      <c r="P61" s="595">
        <f t="shared" ca="1" si="59"/>
        <v>0</v>
      </c>
      <c r="Q61" s="595">
        <f t="shared" ca="1" si="60"/>
        <v>0</v>
      </c>
      <c r="R61" s="595">
        <f t="shared" ca="1" si="60"/>
        <v>0</v>
      </c>
      <c r="S61" s="595">
        <f t="shared" ca="1" si="60"/>
        <v>0</v>
      </c>
      <c r="T61" s="595">
        <f t="shared" ca="1" si="60"/>
        <v>0</v>
      </c>
      <c r="U61" s="595">
        <f t="shared" ca="1" si="60"/>
        <v>0</v>
      </c>
      <c r="V61" s="595">
        <f t="shared" ca="1" si="60"/>
        <v>0</v>
      </c>
      <c r="W61" s="595">
        <f t="shared" ca="1" si="60"/>
        <v>0</v>
      </c>
      <c r="X61" s="595">
        <f t="shared" ca="1" si="60"/>
        <v>0</v>
      </c>
      <c r="Y61" s="595">
        <f t="shared" ca="1" si="60"/>
        <v>0</v>
      </c>
      <c r="Z61" s="595">
        <f t="shared" ca="1" si="60"/>
        <v>0</v>
      </c>
      <c r="AA61" s="591">
        <f t="shared" ca="1" si="62"/>
        <v>1590.6720976209781</v>
      </c>
    </row>
    <row r="62" spans="1:27">
      <c r="A62"/>
      <c r="B62"/>
      <c r="D62" s="760">
        <f>+M3</f>
        <v>2006</v>
      </c>
      <c r="E62" s="231">
        <f t="shared" ca="1" si="61"/>
        <v>8</v>
      </c>
      <c r="F62" s="595">
        <f t="shared" ca="1" si="58"/>
        <v>125.74158519456248</v>
      </c>
      <c r="G62" s="595">
        <f t="shared" ca="1" si="59"/>
        <v>161.0751716759552</v>
      </c>
      <c r="H62" s="595">
        <f t="shared" ca="1" si="59"/>
        <v>206.33755245166429</v>
      </c>
      <c r="I62" s="595">
        <f t="shared" ca="1" si="59"/>
        <v>258.80782703982982</v>
      </c>
      <c r="J62" s="595">
        <f t="shared" ca="1" si="59"/>
        <v>272.2204012561948</v>
      </c>
      <c r="K62" s="595">
        <f t="shared" ca="1" si="59"/>
        <v>274.95626177253882</v>
      </c>
      <c r="L62" s="595">
        <f t="shared" ca="1" si="59"/>
        <v>277.71961814419114</v>
      </c>
      <c r="M62" s="595">
        <f t="shared" ca="1" si="59"/>
        <v>139.55526528060378</v>
      </c>
      <c r="N62" s="595">
        <f t="shared" ca="1" si="59"/>
        <v>0</v>
      </c>
      <c r="O62" s="595">
        <f t="shared" ca="1" si="59"/>
        <v>0</v>
      </c>
      <c r="P62" s="595">
        <f t="shared" ca="1" si="59"/>
        <v>0</v>
      </c>
      <c r="Q62" s="595">
        <f t="shared" ca="1" si="60"/>
        <v>0</v>
      </c>
      <c r="R62" s="595">
        <f t="shared" ca="1" si="60"/>
        <v>0</v>
      </c>
      <c r="S62" s="595">
        <f t="shared" ca="1" si="60"/>
        <v>0</v>
      </c>
      <c r="T62" s="595">
        <f t="shared" ca="1" si="60"/>
        <v>0</v>
      </c>
      <c r="U62" s="595">
        <f t="shared" ca="1" si="60"/>
        <v>0</v>
      </c>
      <c r="V62" s="595">
        <f t="shared" ca="1" si="60"/>
        <v>0</v>
      </c>
      <c r="W62" s="595">
        <f t="shared" ca="1" si="60"/>
        <v>0</v>
      </c>
      <c r="X62" s="595">
        <f t="shared" ca="1" si="60"/>
        <v>0</v>
      </c>
      <c r="Y62" s="595">
        <f t="shared" ca="1" si="60"/>
        <v>0</v>
      </c>
      <c r="Z62" s="595">
        <f t="shared" ca="1" si="60"/>
        <v>0</v>
      </c>
      <c r="AA62" s="591">
        <f t="shared" ca="1" si="62"/>
        <v>1716.4136828155401</v>
      </c>
    </row>
    <row r="63" spans="1:27">
      <c r="A63"/>
      <c r="B63"/>
      <c r="D63" s="760">
        <f>+N3</f>
        <v>2007</v>
      </c>
      <c r="E63" s="231">
        <f t="shared" ca="1" si="61"/>
        <v>9</v>
      </c>
      <c r="F63" s="595">
        <f t="shared" ca="1" si="58"/>
        <v>98.15880425723995</v>
      </c>
      <c r="G63" s="595">
        <f t="shared" ca="1" si="59"/>
        <v>125.74158519456248</v>
      </c>
      <c r="H63" s="595">
        <f t="shared" ca="1" si="59"/>
        <v>161.0751716759552</v>
      </c>
      <c r="I63" s="595">
        <f t="shared" ca="1" si="59"/>
        <v>206.33755245166429</v>
      </c>
      <c r="J63" s="595">
        <f t="shared" ca="1" si="59"/>
        <v>258.80782703983004</v>
      </c>
      <c r="K63" s="595">
        <f t="shared" ca="1" si="59"/>
        <v>272.2204012561948</v>
      </c>
      <c r="L63" s="595">
        <f t="shared" ca="1" si="59"/>
        <v>274.95626177253882</v>
      </c>
      <c r="M63" s="595">
        <f t="shared" ca="1" si="59"/>
        <v>277.71961814419114</v>
      </c>
      <c r="N63" s="595">
        <f t="shared" ca="1" si="59"/>
        <v>139.55526528060378</v>
      </c>
      <c r="O63" s="595">
        <f t="shared" ca="1" si="59"/>
        <v>0</v>
      </c>
      <c r="P63" s="595">
        <f t="shared" ca="1" si="59"/>
        <v>0</v>
      </c>
      <c r="Q63" s="595">
        <f t="shared" ca="1" si="60"/>
        <v>0</v>
      </c>
      <c r="R63" s="595">
        <f t="shared" ca="1" si="60"/>
        <v>0</v>
      </c>
      <c r="S63" s="595">
        <f t="shared" ca="1" si="60"/>
        <v>0</v>
      </c>
      <c r="T63" s="595">
        <f t="shared" ca="1" si="60"/>
        <v>0</v>
      </c>
      <c r="U63" s="595">
        <f t="shared" ca="1" si="60"/>
        <v>0</v>
      </c>
      <c r="V63" s="595">
        <f t="shared" ca="1" si="60"/>
        <v>0</v>
      </c>
      <c r="W63" s="595">
        <f t="shared" ca="1" si="60"/>
        <v>0</v>
      </c>
      <c r="X63" s="595">
        <f t="shared" ca="1" si="60"/>
        <v>0</v>
      </c>
      <c r="Y63" s="595">
        <f t="shared" ca="1" si="60"/>
        <v>0</v>
      </c>
      <c r="Z63" s="595">
        <f t="shared" ca="1" si="60"/>
        <v>0</v>
      </c>
      <c r="AA63" s="591">
        <f t="shared" ca="1" si="62"/>
        <v>1814.5724870727804</v>
      </c>
    </row>
    <row r="64" spans="1:27">
      <c r="A64"/>
      <c r="B64"/>
      <c r="D64" s="760">
        <f>+O3</f>
        <v>2008</v>
      </c>
      <c r="E64" s="231">
        <f t="shared" ca="1" si="61"/>
        <v>10</v>
      </c>
      <c r="F64" s="595">
        <f t="shared" ca="1" si="58"/>
        <v>76.626605576050977</v>
      </c>
      <c r="G64" s="595">
        <f t="shared" ca="1" si="59"/>
        <v>98.15880425723995</v>
      </c>
      <c r="H64" s="595">
        <f t="shared" ca="1" si="59"/>
        <v>125.74158519456248</v>
      </c>
      <c r="I64" s="595">
        <f t="shared" ca="1" si="59"/>
        <v>161.0751716759552</v>
      </c>
      <c r="J64" s="595">
        <f t="shared" ca="1" si="59"/>
        <v>206.33755245166427</v>
      </c>
      <c r="K64" s="595">
        <f t="shared" ca="1" si="59"/>
        <v>258.80782703983004</v>
      </c>
      <c r="L64" s="595">
        <f t="shared" ca="1" si="59"/>
        <v>272.2204012561948</v>
      </c>
      <c r="M64" s="595">
        <f t="shared" ca="1" si="59"/>
        <v>274.95626177253882</v>
      </c>
      <c r="N64" s="595">
        <f t="shared" ca="1" si="59"/>
        <v>277.71961814419114</v>
      </c>
      <c r="O64" s="595">
        <f t="shared" ca="1" si="59"/>
        <v>139.55526528060378</v>
      </c>
      <c r="P64" s="595">
        <f t="shared" ca="1" si="59"/>
        <v>0</v>
      </c>
      <c r="Q64" s="595">
        <f t="shared" ca="1" si="60"/>
        <v>0</v>
      </c>
      <c r="R64" s="595">
        <f t="shared" ca="1" si="60"/>
        <v>0</v>
      </c>
      <c r="S64" s="595">
        <f t="shared" ca="1" si="60"/>
        <v>0</v>
      </c>
      <c r="T64" s="595">
        <f t="shared" ca="1" si="60"/>
        <v>0</v>
      </c>
      <c r="U64" s="595">
        <f t="shared" ca="1" si="60"/>
        <v>0</v>
      </c>
      <c r="V64" s="595">
        <f t="shared" ca="1" si="60"/>
        <v>0</v>
      </c>
      <c r="W64" s="595">
        <f t="shared" ca="1" si="60"/>
        <v>0</v>
      </c>
      <c r="X64" s="595">
        <f t="shared" ca="1" si="60"/>
        <v>0</v>
      </c>
      <c r="Y64" s="595">
        <f t="shared" ca="1" si="60"/>
        <v>0</v>
      </c>
      <c r="Z64" s="595">
        <f t="shared" ca="1" si="60"/>
        <v>0</v>
      </c>
      <c r="AA64" s="591">
        <f t="shared" ca="1" si="62"/>
        <v>1891.1990926488315</v>
      </c>
    </row>
    <row r="65" spans="1:27">
      <c r="A65"/>
      <c r="B65"/>
      <c r="D65" s="760">
        <f>+P3</f>
        <v>2009</v>
      </c>
      <c r="E65" s="231">
        <f t="shared" ca="1" si="61"/>
        <v>11</v>
      </c>
      <c r="F65" s="595">
        <f t="shared" ca="1" si="58"/>
        <v>59.817728287726233</v>
      </c>
      <c r="G65" s="595">
        <f t="shared" ref="G65:P74" ca="1" si="63">IF(OR($E65&lt;=G$29,G$39&lt;=G$22),0,IF(AND($E65=G$29+1,$E65&lt;G$30+1),G$32,IF($E65&lt;=G$30,0.5*G$9*$B$83*(2*$E65-2*G$21-1)/(G$22-G$21),IF($E65=G$30+1,G$45,IF($E65&lt;=G$36,G$50*G$31^($E65-G$22-1),IF($E65=G$36+1,G$48,IF($E65&lt;=G$40,G$51*G$38^($E65-G$35-1),IF($E65=G$40+1,G$49,0))))))))</f>
        <v>76.626605576050977</v>
      </c>
      <c r="H65" s="595">
        <f t="shared" ca="1" si="63"/>
        <v>98.15880425723995</v>
      </c>
      <c r="I65" s="595">
        <f t="shared" ca="1" si="63"/>
        <v>125.74158519456248</v>
      </c>
      <c r="J65" s="595">
        <f t="shared" ca="1" si="63"/>
        <v>161.07517167595518</v>
      </c>
      <c r="K65" s="595">
        <f t="shared" ca="1" si="63"/>
        <v>206.33755245166427</v>
      </c>
      <c r="L65" s="595">
        <f t="shared" ca="1" si="63"/>
        <v>258.80782703983004</v>
      </c>
      <c r="M65" s="595">
        <f t="shared" ca="1" si="63"/>
        <v>272.2204012561948</v>
      </c>
      <c r="N65" s="595">
        <f t="shared" ca="1" si="63"/>
        <v>274.95626177253882</v>
      </c>
      <c r="O65" s="595">
        <f t="shared" ca="1" si="63"/>
        <v>277.71961814419114</v>
      </c>
      <c r="P65" s="595">
        <f t="shared" ca="1" si="63"/>
        <v>139.55526528060378</v>
      </c>
      <c r="Q65" s="595">
        <f t="shared" ref="Q65:Z74" ca="1" si="64">IF(OR($E65&lt;=Q$29,Q$39&lt;=Q$22),0,IF(AND($E65=Q$29+1,$E65&lt;Q$30+1),Q$32,IF($E65&lt;=Q$30,0.5*Q$9*$B$83*(2*$E65-2*Q$21-1)/(Q$22-Q$21),IF($E65=Q$30+1,Q$45,IF($E65&lt;=Q$36,Q$50*Q$31^($E65-Q$22-1),IF($E65=Q$36+1,Q$48,IF($E65&lt;=Q$40,Q$51*Q$38^($E65-Q$35-1),IF($E65=Q$40+1,Q$49,0))))))))</f>
        <v>0</v>
      </c>
      <c r="R65" s="595">
        <f t="shared" ca="1" si="64"/>
        <v>0</v>
      </c>
      <c r="S65" s="595">
        <f t="shared" ca="1" si="64"/>
        <v>0</v>
      </c>
      <c r="T65" s="595">
        <f t="shared" ca="1" si="64"/>
        <v>0</v>
      </c>
      <c r="U65" s="595">
        <f t="shared" ca="1" si="64"/>
        <v>0</v>
      </c>
      <c r="V65" s="595">
        <f t="shared" ca="1" si="64"/>
        <v>0</v>
      </c>
      <c r="W65" s="595">
        <f t="shared" ca="1" si="64"/>
        <v>0</v>
      </c>
      <c r="X65" s="595">
        <f t="shared" ca="1" si="64"/>
        <v>0</v>
      </c>
      <c r="Y65" s="595">
        <f t="shared" ca="1" si="64"/>
        <v>0</v>
      </c>
      <c r="Z65" s="595">
        <f t="shared" ca="1" si="64"/>
        <v>0</v>
      </c>
      <c r="AA65" s="591">
        <f t="shared" ca="1" si="62"/>
        <v>1951.0168209365579</v>
      </c>
    </row>
    <row r="66" spans="1:27">
      <c r="A66"/>
      <c r="B66"/>
      <c r="D66" s="760">
        <f>+Q3</f>
        <v>2010</v>
      </c>
      <c r="E66" s="231">
        <f t="shared" ca="1" si="61"/>
        <v>12</v>
      </c>
      <c r="F66" s="595">
        <f t="shared" ca="1" si="58"/>
        <v>46.696060599382328</v>
      </c>
      <c r="G66" s="595">
        <f t="shared" ca="1" si="63"/>
        <v>59.817728287726233</v>
      </c>
      <c r="H66" s="595">
        <f t="shared" ca="1" si="63"/>
        <v>76.626605576050977</v>
      </c>
      <c r="I66" s="595">
        <f t="shared" ca="1" si="63"/>
        <v>98.15880425723995</v>
      </c>
      <c r="J66" s="595">
        <f t="shared" ca="1" si="63"/>
        <v>125.74158519456245</v>
      </c>
      <c r="K66" s="595">
        <f t="shared" ca="1" si="63"/>
        <v>161.07517167595518</v>
      </c>
      <c r="L66" s="595">
        <f t="shared" ca="1" si="63"/>
        <v>206.33755245166427</v>
      </c>
      <c r="M66" s="595">
        <f t="shared" ca="1" si="63"/>
        <v>258.80782703983004</v>
      </c>
      <c r="N66" s="595">
        <f t="shared" ca="1" si="63"/>
        <v>272.2204012561948</v>
      </c>
      <c r="O66" s="595">
        <f t="shared" ca="1" si="63"/>
        <v>274.95626177253882</v>
      </c>
      <c r="P66" s="595">
        <f t="shared" ca="1" si="63"/>
        <v>277.71961814419114</v>
      </c>
      <c r="Q66" s="595">
        <f t="shared" ca="1" si="64"/>
        <v>139.55526528060378</v>
      </c>
      <c r="R66" s="595">
        <f t="shared" ca="1" si="64"/>
        <v>0</v>
      </c>
      <c r="S66" s="595">
        <f t="shared" ca="1" si="64"/>
        <v>0</v>
      </c>
      <c r="T66" s="595">
        <f t="shared" ca="1" si="64"/>
        <v>0</v>
      </c>
      <c r="U66" s="595">
        <f t="shared" ca="1" si="64"/>
        <v>0</v>
      </c>
      <c r="V66" s="595">
        <f t="shared" ca="1" si="64"/>
        <v>0</v>
      </c>
      <c r="W66" s="595">
        <f t="shared" ca="1" si="64"/>
        <v>0</v>
      </c>
      <c r="X66" s="595">
        <f t="shared" ca="1" si="64"/>
        <v>0</v>
      </c>
      <c r="Y66" s="595">
        <f t="shared" ca="1" si="64"/>
        <v>0</v>
      </c>
      <c r="Z66" s="595">
        <f t="shared" ca="1" si="64"/>
        <v>0</v>
      </c>
      <c r="AA66" s="591">
        <f t="shared" ca="1" si="62"/>
        <v>1997.7128815359397</v>
      </c>
    </row>
    <row r="67" spans="1:27">
      <c r="A67"/>
      <c r="B67"/>
      <c r="D67" s="760">
        <f>+R3</f>
        <v>2011</v>
      </c>
      <c r="E67" s="231">
        <f t="shared" ca="1" si="61"/>
        <v>13</v>
      </c>
      <c r="F67" s="595">
        <f t="shared" ca="1" si="58"/>
        <v>36.452773081130182</v>
      </c>
      <c r="G67" s="595">
        <f t="shared" ca="1" si="63"/>
        <v>46.696060599382328</v>
      </c>
      <c r="H67" s="595">
        <f t="shared" ca="1" si="63"/>
        <v>59.817728287726233</v>
      </c>
      <c r="I67" s="595">
        <f t="shared" ca="1" si="63"/>
        <v>76.626605576050977</v>
      </c>
      <c r="J67" s="595">
        <f t="shared" ca="1" si="63"/>
        <v>98.158804257239922</v>
      </c>
      <c r="K67" s="595">
        <f t="shared" ca="1" si="63"/>
        <v>125.74158519456245</v>
      </c>
      <c r="L67" s="595">
        <f t="shared" ca="1" si="63"/>
        <v>161.07517167595518</v>
      </c>
      <c r="M67" s="595">
        <f t="shared" ca="1" si="63"/>
        <v>206.33755245166427</v>
      </c>
      <c r="N67" s="595">
        <f t="shared" ca="1" si="63"/>
        <v>258.80782703983004</v>
      </c>
      <c r="O67" s="595">
        <f t="shared" ca="1" si="63"/>
        <v>272.2204012561948</v>
      </c>
      <c r="P67" s="595">
        <f t="shared" ca="1" si="63"/>
        <v>274.95626177253882</v>
      </c>
      <c r="Q67" s="595">
        <f t="shared" ca="1" si="64"/>
        <v>277.71961814419114</v>
      </c>
      <c r="R67" s="595">
        <f t="shared" ca="1" si="64"/>
        <v>139.55526528060378</v>
      </c>
      <c r="S67" s="595">
        <f t="shared" ca="1" si="64"/>
        <v>0</v>
      </c>
      <c r="T67" s="595">
        <f t="shared" ca="1" si="64"/>
        <v>0</v>
      </c>
      <c r="U67" s="595">
        <f t="shared" ca="1" si="64"/>
        <v>0</v>
      </c>
      <c r="V67" s="595">
        <f t="shared" ca="1" si="64"/>
        <v>0</v>
      </c>
      <c r="W67" s="595">
        <f t="shared" ca="1" si="64"/>
        <v>0</v>
      </c>
      <c r="X67" s="595">
        <f t="shared" ca="1" si="64"/>
        <v>0</v>
      </c>
      <c r="Y67" s="595">
        <f t="shared" ca="1" si="64"/>
        <v>0</v>
      </c>
      <c r="Z67" s="595">
        <f t="shared" ca="1" si="64"/>
        <v>0</v>
      </c>
      <c r="AA67" s="591">
        <f t="shared" ca="1" si="62"/>
        <v>2034.1656546170698</v>
      </c>
    </row>
    <row r="68" spans="1:27">
      <c r="A68"/>
      <c r="B68"/>
      <c r="D68" s="760">
        <f>+S3</f>
        <v>2012</v>
      </c>
      <c r="E68" s="231">
        <f t="shared" ca="1" si="61"/>
        <v>14</v>
      </c>
      <c r="F68" s="595">
        <f t="shared" ca="1" si="58"/>
        <v>28.45646181386758</v>
      </c>
      <c r="G68" s="595">
        <f t="shared" ca="1" si="63"/>
        <v>36.452773081130182</v>
      </c>
      <c r="H68" s="595">
        <f t="shared" ca="1" si="63"/>
        <v>46.696060599382328</v>
      </c>
      <c r="I68" s="595">
        <f t="shared" ca="1" si="63"/>
        <v>59.817728287726233</v>
      </c>
      <c r="J68" s="595">
        <f t="shared" ca="1" si="63"/>
        <v>76.626605576050963</v>
      </c>
      <c r="K68" s="595">
        <f t="shared" ca="1" si="63"/>
        <v>98.158804257239922</v>
      </c>
      <c r="L68" s="595">
        <f t="shared" ca="1" si="63"/>
        <v>125.74158519456245</v>
      </c>
      <c r="M68" s="595">
        <f t="shared" ca="1" si="63"/>
        <v>161.07517167595518</v>
      </c>
      <c r="N68" s="595">
        <f t="shared" ca="1" si="63"/>
        <v>206.33755245166427</v>
      </c>
      <c r="O68" s="595">
        <f t="shared" ca="1" si="63"/>
        <v>258.80782703983004</v>
      </c>
      <c r="P68" s="595">
        <f t="shared" ca="1" si="63"/>
        <v>272.2204012561948</v>
      </c>
      <c r="Q68" s="595">
        <f t="shared" ca="1" si="64"/>
        <v>274.95626177253882</v>
      </c>
      <c r="R68" s="595">
        <f t="shared" ca="1" si="64"/>
        <v>277.71961814419114</v>
      </c>
      <c r="S68" s="595">
        <f t="shared" ca="1" si="64"/>
        <v>139.55526528060378</v>
      </c>
      <c r="T68" s="595">
        <f t="shared" ca="1" si="64"/>
        <v>0</v>
      </c>
      <c r="U68" s="595">
        <f t="shared" ca="1" si="64"/>
        <v>0</v>
      </c>
      <c r="V68" s="595">
        <f t="shared" ca="1" si="64"/>
        <v>0</v>
      </c>
      <c r="W68" s="595">
        <f t="shared" ca="1" si="64"/>
        <v>0</v>
      </c>
      <c r="X68" s="595">
        <f t="shared" ca="1" si="64"/>
        <v>0</v>
      </c>
      <c r="Y68" s="595">
        <f t="shared" ca="1" si="64"/>
        <v>0</v>
      </c>
      <c r="Z68" s="595">
        <f t="shared" ca="1" si="64"/>
        <v>0</v>
      </c>
      <c r="AA68" s="591">
        <f t="shared" ca="1" si="62"/>
        <v>2062.6221164309377</v>
      </c>
    </row>
    <row r="69" spans="1:27">
      <c r="A69"/>
      <c r="B69"/>
      <c r="D69" s="760">
        <f>+T3</f>
        <v>2013</v>
      </c>
      <c r="E69" s="231">
        <f t="shared" ca="1" si="61"/>
        <v>15</v>
      </c>
      <c r="F69" s="595">
        <f t="shared" ca="1" si="58"/>
        <v>22.214228178521818</v>
      </c>
      <c r="G69" s="595">
        <f t="shared" ca="1" si="63"/>
        <v>28.45646181386758</v>
      </c>
      <c r="H69" s="595">
        <f t="shared" ca="1" si="63"/>
        <v>36.452773081130182</v>
      </c>
      <c r="I69" s="595">
        <f t="shared" ca="1" si="63"/>
        <v>46.696060599382328</v>
      </c>
      <c r="J69" s="595">
        <f t="shared" ca="1" si="63"/>
        <v>59.817728287726219</v>
      </c>
      <c r="K69" s="595">
        <f t="shared" ca="1" si="63"/>
        <v>76.626605576050963</v>
      </c>
      <c r="L69" s="595">
        <f t="shared" ca="1" si="63"/>
        <v>98.158804257239922</v>
      </c>
      <c r="M69" s="595">
        <f t="shared" ca="1" si="63"/>
        <v>125.74158519456245</v>
      </c>
      <c r="N69" s="595">
        <f t="shared" ca="1" si="63"/>
        <v>161.07517167595518</v>
      </c>
      <c r="O69" s="595">
        <f t="shared" ca="1" si="63"/>
        <v>206.33755245166427</v>
      </c>
      <c r="P69" s="595">
        <f t="shared" ca="1" si="63"/>
        <v>258.80782703983004</v>
      </c>
      <c r="Q69" s="595">
        <f t="shared" ca="1" si="64"/>
        <v>272.2204012561948</v>
      </c>
      <c r="R69" s="595">
        <f t="shared" ca="1" si="64"/>
        <v>274.95626177253882</v>
      </c>
      <c r="S69" s="595">
        <f t="shared" ca="1" si="64"/>
        <v>277.71961814419114</v>
      </c>
      <c r="T69" s="595">
        <f t="shared" ca="1" si="64"/>
        <v>139.55526528060378</v>
      </c>
      <c r="U69" s="595">
        <f t="shared" ca="1" si="64"/>
        <v>0</v>
      </c>
      <c r="V69" s="595">
        <f t="shared" ca="1" si="64"/>
        <v>0</v>
      </c>
      <c r="W69" s="595">
        <f t="shared" ca="1" si="64"/>
        <v>0</v>
      </c>
      <c r="X69" s="595">
        <f t="shared" ca="1" si="64"/>
        <v>0</v>
      </c>
      <c r="Y69" s="595">
        <f t="shared" ca="1" si="64"/>
        <v>0</v>
      </c>
      <c r="Z69" s="595">
        <f t="shared" ca="1" si="64"/>
        <v>0</v>
      </c>
      <c r="AA69" s="591">
        <f t="shared" ca="1" si="62"/>
        <v>2084.8363446094595</v>
      </c>
    </row>
    <row r="70" spans="1:27">
      <c r="A70"/>
      <c r="B70"/>
      <c r="D70" s="760">
        <f>+U3</f>
        <v>2014</v>
      </c>
      <c r="E70" s="231">
        <f t="shared" ca="1" si="61"/>
        <v>16</v>
      </c>
      <c r="F70" s="595">
        <f t="shared" ca="1" si="58"/>
        <v>17.341296215784318</v>
      </c>
      <c r="G70" s="595">
        <f t="shared" ca="1" si="63"/>
        <v>22.214228178521818</v>
      </c>
      <c r="H70" s="595">
        <f t="shared" ca="1" si="63"/>
        <v>28.45646181386758</v>
      </c>
      <c r="I70" s="595">
        <f t="shared" ca="1" si="63"/>
        <v>36.452773081130182</v>
      </c>
      <c r="J70" s="595">
        <f t="shared" ca="1" si="63"/>
        <v>46.696060599382328</v>
      </c>
      <c r="K70" s="595">
        <f t="shared" ca="1" si="63"/>
        <v>59.817728287726219</v>
      </c>
      <c r="L70" s="595">
        <f t="shared" ca="1" si="63"/>
        <v>76.626605576050963</v>
      </c>
      <c r="M70" s="595">
        <f t="shared" ca="1" si="63"/>
        <v>98.158804257239922</v>
      </c>
      <c r="N70" s="595">
        <f t="shared" ca="1" si="63"/>
        <v>125.74158519456245</v>
      </c>
      <c r="O70" s="595">
        <f t="shared" ca="1" si="63"/>
        <v>161.07517167595518</v>
      </c>
      <c r="P70" s="595">
        <f t="shared" ca="1" si="63"/>
        <v>206.33755245166427</v>
      </c>
      <c r="Q70" s="595">
        <f t="shared" ca="1" si="64"/>
        <v>258.80782703983004</v>
      </c>
      <c r="R70" s="595">
        <f t="shared" ca="1" si="64"/>
        <v>272.2204012561948</v>
      </c>
      <c r="S70" s="595">
        <f t="shared" ca="1" si="64"/>
        <v>274.95626177253882</v>
      </c>
      <c r="T70" s="595">
        <f t="shared" ca="1" si="64"/>
        <v>277.71961814419114</v>
      </c>
      <c r="U70" s="595">
        <f t="shared" ca="1" si="64"/>
        <v>139.55526528060378</v>
      </c>
      <c r="V70" s="595">
        <f t="shared" ca="1" si="64"/>
        <v>0</v>
      </c>
      <c r="W70" s="595">
        <f t="shared" ca="1" si="64"/>
        <v>0</v>
      </c>
      <c r="X70" s="595">
        <f t="shared" ca="1" si="64"/>
        <v>0</v>
      </c>
      <c r="Y70" s="595">
        <f t="shared" ca="1" si="64"/>
        <v>0</v>
      </c>
      <c r="Z70" s="595">
        <f t="shared" ca="1" si="64"/>
        <v>0</v>
      </c>
      <c r="AA70" s="591">
        <f t="shared" ca="1" si="62"/>
        <v>2102.1776408252435</v>
      </c>
    </row>
    <row r="71" spans="1:27">
      <c r="A71"/>
      <c r="B71"/>
      <c r="D71" s="760">
        <f>+V3</f>
        <v>2015</v>
      </c>
      <c r="E71" s="231">
        <f t="shared" ca="1" si="61"/>
        <v>17</v>
      </c>
      <c r="F71" s="595">
        <f t="shared" ca="1" si="58"/>
        <v>13.537294747621793</v>
      </c>
      <c r="G71" s="595">
        <f t="shared" ca="1" si="63"/>
        <v>17.341296215784318</v>
      </c>
      <c r="H71" s="595">
        <f t="shared" ca="1" si="63"/>
        <v>22.214228178521818</v>
      </c>
      <c r="I71" s="595">
        <f t="shared" ca="1" si="63"/>
        <v>28.45646181386758</v>
      </c>
      <c r="J71" s="595">
        <f t="shared" ca="1" si="63"/>
        <v>36.452773081130182</v>
      </c>
      <c r="K71" s="595">
        <f t="shared" ca="1" si="63"/>
        <v>46.696060599382328</v>
      </c>
      <c r="L71" s="595">
        <f t="shared" ca="1" si="63"/>
        <v>59.817728287726219</v>
      </c>
      <c r="M71" s="595">
        <f t="shared" ca="1" si="63"/>
        <v>76.626605576050963</v>
      </c>
      <c r="N71" s="595">
        <f t="shared" ca="1" si="63"/>
        <v>98.158804257239922</v>
      </c>
      <c r="O71" s="595">
        <f t="shared" ca="1" si="63"/>
        <v>125.74158519456245</v>
      </c>
      <c r="P71" s="595">
        <f t="shared" ca="1" si="63"/>
        <v>161.07517167595518</v>
      </c>
      <c r="Q71" s="595">
        <f t="shared" ca="1" si="64"/>
        <v>206.33755245166427</v>
      </c>
      <c r="R71" s="595">
        <f t="shared" ca="1" si="64"/>
        <v>258.80782703983004</v>
      </c>
      <c r="S71" s="595">
        <f t="shared" ca="1" si="64"/>
        <v>272.2204012561948</v>
      </c>
      <c r="T71" s="595">
        <f t="shared" ca="1" si="64"/>
        <v>274.95626177253882</v>
      </c>
      <c r="U71" s="595">
        <f t="shared" ca="1" si="64"/>
        <v>277.71961814419114</v>
      </c>
      <c r="V71" s="595">
        <f t="shared" ca="1" si="64"/>
        <v>139.55526528060378</v>
      </c>
      <c r="W71" s="595">
        <f t="shared" ca="1" si="64"/>
        <v>0</v>
      </c>
      <c r="X71" s="595">
        <f t="shared" ca="1" si="64"/>
        <v>0</v>
      </c>
      <c r="Y71" s="595">
        <f t="shared" ca="1" si="64"/>
        <v>0</v>
      </c>
      <c r="Z71" s="595">
        <f t="shared" ca="1" si="64"/>
        <v>0</v>
      </c>
      <c r="AA71" s="591">
        <f t="shared" ca="1" si="62"/>
        <v>2115.7149355728657</v>
      </c>
    </row>
    <row r="72" spans="1:27">
      <c r="A72"/>
      <c r="B72"/>
      <c r="D72" s="760">
        <f>+W3</f>
        <v>2016</v>
      </c>
      <c r="E72" s="231">
        <f t="shared" ca="1" si="61"/>
        <v>18</v>
      </c>
      <c r="F72" s="595">
        <f t="shared" ca="1" si="58"/>
        <v>10.567742272759519</v>
      </c>
      <c r="G72" s="595">
        <f t="shared" ca="1" si="63"/>
        <v>13.537294747621793</v>
      </c>
      <c r="H72" s="595">
        <f t="shared" ca="1" si="63"/>
        <v>17.341296215784318</v>
      </c>
      <c r="I72" s="595">
        <f t="shared" ca="1" si="63"/>
        <v>22.214228178521818</v>
      </c>
      <c r="J72" s="595">
        <f t="shared" ca="1" si="63"/>
        <v>28.45646181386758</v>
      </c>
      <c r="K72" s="595">
        <f t="shared" ca="1" si="63"/>
        <v>36.452773081130182</v>
      </c>
      <c r="L72" s="595">
        <f t="shared" ca="1" si="63"/>
        <v>46.696060599382328</v>
      </c>
      <c r="M72" s="595">
        <f t="shared" ca="1" si="63"/>
        <v>59.817728287726219</v>
      </c>
      <c r="N72" s="595">
        <f t="shared" ca="1" si="63"/>
        <v>76.626605576050963</v>
      </c>
      <c r="O72" s="595">
        <f t="shared" ca="1" si="63"/>
        <v>98.158804257239922</v>
      </c>
      <c r="P72" s="595">
        <f t="shared" ca="1" si="63"/>
        <v>125.74158519456245</v>
      </c>
      <c r="Q72" s="595">
        <f t="shared" ca="1" si="64"/>
        <v>161.07517167595518</v>
      </c>
      <c r="R72" s="595">
        <f t="shared" ca="1" si="64"/>
        <v>206.33755245166427</v>
      </c>
      <c r="S72" s="595">
        <f t="shared" ca="1" si="64"/>
        <v>258.80782703983004</v>
      </c>
      <c r="T72" s="595">
        <f t="shared" ca="1" si="64"/>
        <v>272.2204012561948</v>
      </c>
      <c r="U72" s="595">
        <f t="shared" ca="1" si="64"/>
        <v>274.95626177253882</v>
      </c>
      <c r="V72" s="595">
        <f t="shared" ca="1" si="64"/>
        <v>277.71961814419114</v>
      </c>
      <c r="W72" s="595">
        <f t="shared" ca="1" si="64"/>
        <v>139.55526528060378</v>
      </c>
      <c r="X72" s="595">
        <f t="shared" ca="1" si="64"/>
        <v>0</v>
      </c>
      <c r="Y72" s="595">
        <f t="shared" ca="1" si="64"/>
        <v>0</v>
      </c>
      <c r="Z72" s="595">
        <f t="shared" ca="1" si="64"/>
        <v>0</v>
      </c>
      <c r="AA72" s="591">
        <f t="shared" ref="AA72:AA87" ca="1" si="65">SUM(F72:Z72)</f>
        <v>2126.2826778456251</v>
      </c>
    </row>
    <row r="73" spans="1:27">
      <c r="A73"/>
      <c r="B73"/>
      <c r="D73" s="760">
        <f>+X3</f>
        <v>2017</v>
      </c>
      <c r="E73" s="231">
        <f t="shared" ca="1" si="61"/>
        <v>19</v>
      </c>
      <c r="F73" s="595">
        <f t="shared" ca="1" si="58"/>
        <v>8.2495933512186959</v>
      </c>
      <c r="G73" s="595">
        <f t="shared" ca="1" si="63"/>
        <v>10.567742272759519</v>
      </c>
      <c r="H73" s="595">
        <f t="shared" ca="1" si="63"/>
        <v>13.537294747621793</v>
      </c>
      <c r="I73" s="595">
        <f t="shared" ca="1" si="63"/>
        <v>17.341296215784318</v>
      </c>
      <c r="J73" s="595">
        <f t="shared" ca="1" si="63"/>
        <v>22.214228178521818</v>
      </c>
      <c r="K73" s="595">
        <f t="shared" ca="1" si="63"/>
        <v>28.45646181386758</v>
      </c>
      <c r="L73" s="595">
        <f t="shared" ca="1" si="63"/>
        <v>36.452773081130182</v>
      </c>
      <c r="M73" s="595">
        <f t="shared" ca="1" si="63"/>
        <v>46.696060599382328</v>
      </c>
      <c r="N73" s="595">
        <f t="shared" ca="1" si="63"/>
        <v>59.817728287726219</v>
      </c>
      <c r="O73" s="595">
        <f t="shared" ca="1" si="63"/>
        <v>76.626605576050963</v>
      </c>
      <c r="P73" s="595">
        <f t="shared" ca="1" si="63"/>
        <v>98.158804257239922</v>
      </c>
      <c r="Q73" s="595">
        <f t="shared" ca="1" si="64"/>
        <v>125.74158519456245</v>
      </c>
      <c r="R73" s="595">
        <f t="shared" ca="1" si="64"/>
        <v>161.07517167595518</v>
      </c>
      <c r="S73" s="595">
        <f t="shared" ca="1" si="64"/>
        <v>206.33755245166427</v>
      </c>
      <c r="T73" s="595">
        <f t="shared" ca="1" si="64"/>
        <v>258.80782703983004</v>
      </c>
      <c r="U73" s="595">
        <f t="shared" ca="1" si="64"/>
        <v>272.2204012561948</v>
      </c>
      <c r="V73" s="595">
        <f t="shared" ca="1" si="64"/>
        <v>274.95626177253882</v>
      </c>
      <c r="W73" s="595">
        <f t="shared" ca="1" si="64"/>
        <v>277.71961814419114</v>
      </c>
      <c r="X73" s="595">
        <f t="shared" ca="1" si="64"/>
        <v>139.55526528060378</v>
      </c>
      <c r="Y73" s="595">
        <f t="shared" ca="1" si="64"/>
        <v>0</v>
      </c>
      <c r="Z73" s="595">
        <f t="shared" ca="1" si="64"/>
        <v>0</v>
      </c>
      <c r="AA73" s="591">
        <f t="shared" ca="1" si="65"/>
        <v>2134.5322711968438</v>
      </c>
    </row>
    <row r="74" spans="1:27">
      <c r="A74"/>
      <c r="B74"/>
      <c r="D74" s="760">
        <f>+Y3</f>
        <v>2018</v>
      </c>
      <c r="E74" s="231">
        <f t="shared" ca="1" si="61"/>
        <v>20</v>
      </c>
      <c r="F74" s="595">
        <f t="shared" ca="1" si="58"/>
        <v>6.4399555462191014</v>
      </c>
      <c r="G74" s="595">
        <f t="shared" ca="1" si="63"/>
        <v>8.2495933512186959</v>
      </c>
      <c r="H74" s="595">
        <f t="shared" ca="1" si="63"/>
        <v>10.567742272759519</v>
      </c>
      <c r="I74" s="595">
        <f t="shared" ca="1" si="63"/>
        <v>13.537294747621793</v>
      </c>
      <c r="J74" s="595">
        <f t="shared" ca="1" si="63"/>
        <v>17.341296215784318</v>
      </c>
      <c r="K74" s="595">
        <f t="shared" ca="1" si="63"/>
        <v>22.214228178521818</v>
      </c>
      <c r="L74" s="595">
        <f t="shared" ca="1" si="63"/>
        <v>28.45646181386758</v>
      </c>
      <c r="M74" s="595">
        <f t="shared" ca="1" si="63"/>
        <v>36.452773081130182</v>
      </c>
      <c r="N74" s="595">
        <f t="shared" ca="1" si="63"/>
        <v>46.696060599382328</v>
      </c>
      <c r="O74" s="595">
        <f t="shared" ca="1" si="63"/>
        <v>59.817728287726219</v>
      </c>
      <c r="P74" s="595">
        <f t="shared" ca="1" si="63"/>
        <v>76.626605576050963</v>
      </c>
      <c r="Q74" s="595">
        <f t="shared" ca="1" si="64"/>
        <v>98.158804257239922</v>
      </c>
      <c r="R74" s="595">
        <f t="shared" ca="1" si="64"/>
        <v>125.74158519456245</v>
      </c>
      <c r="S74" s="595">
        <f t="shared" ca="1" si="64"/>
        <v>161.07517167595518</v>
      </c>
      <c r="T74" s="595">
        <f t="shared" ca="1" si="64"/>
        <v>206.33755245166427</v>
      </c>
      <c r="U74" s="595">
        <f t="shared" ca="1" si="64"/>
        <v>258.80782703983004</v>
      </c>
      <c r="V74" s="595">
        <f t="shared" ca="1" si="64"/>
        <v>272.2204012561948</v>
      </c>
      <c r="W74" s="595">
        <f t="shared" ca="1" si="64"/>
        <v>274.95626177253882</v>
      </c>
      <c r="X74" s="595">
        <f t="shared" ca="1" si="64"/>
        <v>277.71961814419114</v>
      </c>
      <c r="Y74" s="595">
        <f t="shared" ca="1" si="64"/>
        <v>139.55526528060378</v>
      </c>
      <c r="Z74" s="595">
        <f t="shared" ca="1" si="64"/>
        <v>0</v>
      </c>
      <c r="AA74" s="591">
        <f t="shared" ca="1" si="65"/>
        <v>2140.9722267430629</v>
      </c>
    </row>
    <row r="75" spans="1:27" ht="12" thickBot="1">
      <c r="A75"/>
      <c r="B75"/>
      <c r="D75" s="760">
        <f>+Z3</f>
        <v>2019</v>
      </c>
      <c r="E75" s="596">
        <f t="shared" ca="1" si="61"/>
        <v>21</v>
      </c>
      <c r="F75" s="597">
        <f t="shared" ca="1" si="58"/>
        <v>5.0272814272901627</v>
      </c>
      <c r="G75" s="597">
        <f t="shared" ref="G75:P84" ca="1" si="66">IF(OR($E75&lt;=G$29,G$39&lt;=G$22),0,IF(AND($E75=G$29+1,$E75&lt;G$30+1),G$32,IF($E75&lt;=G$30,0.5*G$9*$B$83*(2*$E75-2*G$21-1)/(G$22-G$21),IF($E75=G$30+1,G$45,IF($E75&lt;=G$36,G$50*G$31^($E75-G$22-1),IF($E75=G$36+1,G$48,IF($E75&lt;=G$40,G$51*G$38^($E75-G$35-1),IF($E75=G$40+1,G$49,0))))))))</f>
        <v>6.4399555462191014</v>
      </c>
      <c r="H75" s="597">
        <f t="shared" ca="1" si="66"/>
        <v>8.2495933512186959</v>
      </c>
      <c r="I75" s="597">
        <f t="shared" ca="1" si="66"/>
        <v>10.567742272759519</v>
      </c>
      <c r="J75" s="597">
        <f t="shared" ca="1" si="66"/>
        <v>13.537294747621793</v>
      </c>
      <c r="K75" s="597">
        <f t="shared" ca="1" si="66"/>
        <v>17.341296215784318</v>
      </c>
      <c r="L75" s="597">
        <f t="shared" ca="1" si="66"/>
        <v>22.214228178521818</v>
      </c>
      <c r="M75" s="597">
        <f t="shared" ca="1" si="66"/>
        <v>28.45646181386758</v>
      </c>
      <c r="N75" s="597">
        <f t="shared" ca="1" si="66"/>
        <v>36.452773081130182</v>
      </c>
      <c r="O75" s="597">
        <f t="shared" ca="1" si="66"/>
        <v>46.696060599382328</v>
      </c>
      <c r="P75" s="597">
        <f t="shared" ca="1" si="66"/>
        <v>59.817728287726219</v>
      </c>
      <c r="Q75" s="597">
        <f t="shared" ref="Q75:Z84" ca="1" si="67">IF(OR($E75&lt;=Q$29,Q$39&lt;=Q$22),0,IF(AND($E75=Q$29+1,$E75&lt;Q$30+1),Q$32,IF($E75&lt;=Q$30,0.5*Q$9*$B$83*(2*$E75-2*Q$21-1)/(Q$22-Q$21),IF($E75=Q$30+1,Q$45,IF($E75&lt;=Q$36,Q$50*Q$31^($E75-Q$22-1),IF($E75=Q$36+1,Q$48,IF($E75&lt;=Q$40,Q$51*Q$38^($E75-Q$35-1),IF($E75=Q$40+1,Q$49,0))))))))</f>
        <v>76.626605576050963</v>
      </c>
      <c r="R75" s="597">
        <f t="shared" ca="1" si="67"/>
        <v>98.158804257239922</v>
      </c>
      <c r="S75" s="597">
        <f t="shared" ca="1" si="67"/>
        <v>125.74158519456245</v>
      </c>
      <c r="T75" s="597">
        <f t="shared" ca="1" si="67"/>
        <v>161.07517167595518</v>
      </c>
      <c r="U75" s="597">
        <f t="shared" ca="1" si="67"/>
        <v>206.33755245166427</v>
      </c>
      <c r="V75" s="597">
        <f t="shared" ca="1" si="67"/>
        <v>258.80782703983004</v>
      </c>
      <c r="W75" s="597">
        <f t="shared" ca="1" si="67"/>
        <v>272.2204012561948</v>
      </c>
      <c r="X75" s="597">
        <f t="shared" ca="1" si="67"/>
        <v>274.95626177253882</v>
      </c>
      <c r="Y75" s="597">
        <f t="shared" ca="1" si="67"/>
        <v>277.71961814419114</v>
      </c>
      <c r="Z75" s="597">
        <f t="shared" ca="1" si="67"/>
        <v>139.55526528060378</v>
      </c>
      <c r="AA75" s="598">
        <f t="shared" ca="1" si="65"/>
        <v>2145.9995081703528</v>
      </c>
    </row>
    <row r="76" spans="1:27">
      <c r="A76"/>
      <c r="B76"/>
      <c r="C76"/>
      <c r="D76"/>
      <c r="E76" s="231">
        <f t="shared" ca="1" si="61"/>
        <v>22</v>
      </c>
      <c r="F76" s="595">
        <f t="shared" ca="1" si="58"/>
        <v>3.1515771509395312</v>
      </c>
      <c r="G76" s="595">
        <f t="shared" ca="1" si="66"/>
        <v>5.0272814272901627</v>
      </c>
      <c r="H76" s="595">
        <f t="shared" ca="1" si="66"/>
        <v>6.4399555462191014</v>
      </c>
      <c r="I76" s="595">
        <f t="shared" ca="1" si="66"/>
        <v>8.2495933512186959</v>
      </c>
      <c r="J76" s="595">
        <f t="shared" ca="1" si="66"/>
        <v>10.567742272759519</v>
      </c>
      <c r="K76" s="595">
        <f t="shared" ca="1" si="66"/>
        <v>13.537294747621793</v>
      </c>
      <c r="L76" s="595">
        <f t="shared" ca="1" si="66"/>
        <v>17.341296215784318</v>
      </c>
      <c r="M76" s="595">
        <f t="shared" ca="1" si="66"/>
        <v>22.214228178521818</v>
      </c>
      <c r="N76" s="595">
        <f t="shared" ca="1" si="66"/>
        <v>28.45646181386758</v>
      </c>
      <c r="O76" s="595">
        <f t="shared" ca="1" si="66"/>
        <v>36.452773081130182</v>
      </c>
      <c r="P76" s="595">
        <f t="shared" ca="1" si="66"/>
        <v>46.696060599382328</v>
      </c>
      <c r="Q76" s="595">
        <f t="shared" ca="1" si="67"/>
        <v>59.817728287726219</v>
      </c>
      <c r="R76" s="595">
        <f t="shared" ca="1" si="67"/>
        <v>76.626605576050963</v>
      </c>
      <c r="S76" s="595">
        <f t="shared" ca="1" si="67"/>
        <v>98.158804257239922</v>
      </c>
      <c r="T76" s="595">
        <f t="shared" ca="1" si="67"/>
        <v>125.74158519456245</v>
      </c>
      <c r="U76" s="595">
        <f t="shared" ca="1" si="67"/>
        <v>161.07517167595518</v>
      </c>
      <c r="V76" s="595">
        <f t="shared" ca="1" si="67"/>
        <v>206.33755245166427</v>
      </c>
      <c r="W76" s="595">
        <f t="shared" ca="1" si="67"/>
        <v>258.80782703983004</v>
      </c>
      <c r="X76" s="595">
        <f t="shared" ca="1" si="67"/>
        <v>272.2204012561948</v>
      </c>
      <c r="Y76" s="595">
        <f t="shared" ca="1" si="67"/>
        <v>274.95626177253882</v>
      </c>
      <c r="Z76" s="595">
        <f t="shared" ca="1" si="67"/>
        <v>277.71961814419114</v>
      </c>
      <c r="AA76" s="591">
        <f t="shared" ca="1" si="65"/>
        <v>2009.5958200406887</v>
      </c>
    </row>
    <row r="77" spans="1:27">
      <c r="A77"/>
      <c r="B77"/>
      <c r="C77"/>
      <c r="D77"/>
      <c r="E77" s="231">
        <f t="shared" ca="1" si="61"/>
        <v>23</v>
      </c>
      <c r="F77" s="595">
        <f t="shared" ca="1" si="58"/>
        <v>0</v>
      </c>
      <c r="G77" s="595">
        <f t="shared" ca="1" si="66"/>
        <v>3.1515771509395312</v>
      </c>
      <c r="H77" s="595">
        <f t="shared" ca="1" si="66"/>
        <v>5.0272814272901627</v>
      </c>
      <c r="I77" s="595">
        <f t="shared" ca="1" si="66"/>
        <v>6.4399555462191014</v>
      </c>
      <c r="J77" s="595">
        <f t="shared" ca="1" si="66"/>
        <v>8.2495933512186959</v>
      </c>
      <c r="K77" s="595">
        <f t="shared" ca="1" si="66"/>
        <v>10.567742272759519</v>
      </c>
      <c r="L77" s="595">
        <f t="shared" ca="1" si="66"/>
        <v>13.537294747621793</v>
      </c>
      <c r="M77" s="595">
        <f t="shared" ca="1" si="66"/>
        <v>17.341296215784318</v>
      </c>
      <c r="N77" s="595">
        <f t="shared" ca="1" si="66"/>
        <v>22.214228178521818</v>
      </c>
      <c r="O77" s="595">
        <f t="shared" ca="1" si="66"/>
        <v>28.45646181386758</v>
      </c>
      <c r="P77" s="595">
        <f t="shared" ca="1" si="66"/>
        <v>36.452773081130182</v>
      </c>
      <c r="Q77" s="595">
        <f t="shared" ca="1" si="67"/>
        <v>46.696060599382328</v>
      </c>
      <c r="R77" s="595">
        <f t="shared" ca="1" si="67"/>
        <v>59.817728287726219</v>
      </c>
      <c r="S77" s="595">
        <f t="shared" ca="1" si="67"/>
        <v>76.626605576050963</v>
      </c>
      <c r="T77" s="595">
        <f t="shared" ca="1" si="67"/>
        <v>98.158804257239922</v>
      </c>
      <c r="U77" s="595">
        <f t="shared" ca="1" si="67"/>
        <v>125.74158519456245</v>
      </c>
      <c r="V77" s="595">
        <f t="shared" ca="1" si="67"/>
        <v>161.07517167595518</v>
      </c>
      <c r="W77" s="595">
        <f t="shared" ca="1" si="67"/>
        <v>206.33755245166427</v>
      </c>
      <c r="X77" s="595">
        <f t="shared" ca="1" si="67"/>
        <v>258.80782703983004</v>
      </c>
      <c r="Y77" s="595">
        <f t="shared" ca="1" si="67"/>
        <v>272.2204012561948</v>
      </c>
      <c r="Z77" s="595">
        <f t="shared" ca="1" si="67"/>
        <v>274.95626177253882</v>
      </c>
      <c r="AA77" s="591">
        <f t="shared" ca="1" si="65"/>
        <v>1731.8762018964976</v>
      </c>
    </row>
    <row r="78" spans="1:27">
      <c r="A78"/>
      <c r="B78"/>
      <c r="C78"/>
      <c r="D78"/>
      <c r="E78" s="231">
        <f t="shared" ca="1" si="61"/>
        <v>24</v>
      </c>
      <c r="F78" s="595">
        <f t="shared" ca="1" si="58"/>
        <v>0</v>
      </c>
      <c r="G78" s="595">
        <f t="shared" ca="1" si="66"/>
        <v>0</v>
      </c>
      <c r="H78" s="595">
        <f t="shared" ca="1" si="66"/>
        <v>3.1515771509395312</v>
      </c>
      <c r="I78" s="595">
        <f t="shared" ca="1" si="66"/>
        <v>5.0272814272901627</v>
      </c>
      <c r="J78" s="595">
        <f t="shared" ca="1" si="66"/>
        <v>6.4399555462191014</v>
      </c>
      <c r="K78" s="595">
        <f t="shared" ca="1" si="66"/>
        <v>8.2495933512186959</v>
      </c>
      <c r="L78" s="595">
        <f t="shared" ca="1" si="66"/>
        <v>10.567742272759519</v>
      </c>
      <c r="M78" s="595">
        <f t="shared" ca="1" si="66"/>
        <v>13.537294747621793</v>
      </c>
      <c r="N78" s="595">
        <f t="shared" ca="1" si="66"/>
        <v>17.341296215784318</v>
      </c>
      <c r="O78" s="595">
        <f t="shared" ca="1" si="66"/>
        <v>22.214228178521818</v>
      </c>
      <c r="P78" s="595">
        <f t="shared" ca="1" si="66"/>
        <v>28.45646181386758</v>
      </c>
      <c r="Q78" s="595">
        <f t="shared" ca="1" si="67"/>
        <v>36.452773081130182</v>
      </c>
      <c r="R78" s="595">
        <f t="shared" ca="1" si="67"/>
        <v>46.696060599382328</v>
      </c>
      <c r="S78" s="595">
        <f t="shared" ca="1" si="67"/>
        <v>59.817728287726219</v>
      </c>
      <c r="T78" s="595">
        <f t="shared" ca="1" si="67"/>
        <v>76.626605576050963</v>
      </c>
      <c r="U78" s="595">
        <f t="shared" ca="1" si="67"/>
        <v>98.158804257239922</v>
      </c>
      <c r="V78" s="595">
        <f t="shared" ca="1" si="67"/>
        <v>125.74158519456245</v>
      </c>
      <c r="W78" s="595">
        <f t="shared" ca="1" si="67"/>
        <v>161.07517167595518</v>
      </c>
      <c r="X78" s="595">
        <f t="shared" ca="1" si="67"/>
        <v>206.33755245166427</v>
      </c>
      <c r="Y78" s="595">
        <f t="shared" ca="1" si="67"/>
        <v>258.80782703983004</v>
      </c>
      <c r="Z78" s="595">
        <f t="shared" ca="1" si="67"/>
        <v>272.2204012561948</v>
      </c>
      <c r="AA78" s="591">
        <f t="shared" ca="1" si="65"/>
        <v>1456.9199401239589</v>
      </c>
    </row>
    <row r="79" spans="1:27">
      <c r="A79"/>
      <c r="B79"/>
      <c r="C79"/>
      <c r="D79"/>
      <c r="E79" s="231">
        <f t="shared" ca="1" si="61"/>
        <v>25</v>
      </c>
      <c r="F79" s="595">
        <f t="shared" ca="1" si="58"/>
        <v>0</v>
      </c>
      <c r="G79" s="595">
        <f t="shared" ca="1" si="66"/>
        <v>0</v>
      </c>
      <c r="H79" s="595">
        <f t="shared" ca="1" si="66"/>
        <v>0</v>
      </c>
      <c r="I79" s="595">
        <f t="shared" ca="1" si="66"/>
        <v>3.1515771509395312</v>
      </c>
      <c r="J79" s="595">
        <f t="shared" ca="1" si="66"/>
        <v>5.0272814272901627</v>
      </c>
      <c r="K79" s="595">
        <f t="shared" ca="1" si="66"/>
        <v>6.4399555462191014</v>
      </c>
      <c r="L79" s="595">
        <f t="shared" ca="1" si="66"/>
        <v>8.2495933512186959</v>
      </c>
      <c r="M79" s="595">
        <f t="shared" ca="1" si="66"/>
        <v>10.567742272759519</v>
      </c>
      <c r="N79" s="595">
        <f t="shared" ca="1" si="66"/>
        <v>13.537294747621793</v>
      </c>
      <c r="O79" s="595">
        <f t="shared" ca="1" si="66"/>
        <v>17.341296215784318</v>
      </c>
      <c r="P79" s="595">
        <f t="shared" ca="1" si="66"/>
        <v>22.214228178521818</v>
      </c>
      <c r="Q79" s="595">
        <f t="shared" ca="1" si="67"/>
        <v>28.45646181386758</v>
      </c>
      <c r="R79" s="595">
        <f t="shared" ca="1" si="67"/>
        <v>36.452773081130182</v>
      </c>
      <c r="S79" s="595">
        <f t="shared" ca="1" si="67"/>
        <v>46.696060599382328</v>
      </c>
      <c r="T79" s="595">
        <f t="shared" ca="1" si="67"/>
        <v>59.817728287726219</v>
      </c>
      <c r="U79" s="595">
        <f t="shared" ca="1" si="67"/>
        <v>76.626605576050963</v>
      </c>
      <c r="V79" s="595">
        <f t="shared" ca="1" si="67"/>
        <v>98.158804257239922</v>
      </c>
      <c r="W79" s="595">
        <f t="shared" ca="1" si="67"/>
        <v>125.74158519456245</v>
      </c>
      <c r="X79" s="595">
        <f t="shared" ca="1" si="67"/>
        <v>161.07517167595518</v>
      </c>
      <c r="Y79" s="595">
        <f t="shared" ca="1" si="67"/>
        <v>206.33755245166427</v>
      </c>
      <c r="Z79" s="595">
        <f t="shared" ca="1" si="67"/>
        <v>258.80782703983004</v>
      </c>
      <c r="AA79" s="591">
        <f t="shared" ca="1" si="65"/>
        <v>1184.699538867764</v>
      </c>
    </row>
    <row r="80" spans="1:27">
      <c r="A80"/>
      <c r="B80"/>
      <c r="C80"/>
      <c r="D80"/>
      <c r="E80" s="231">
        <f t="shared" ca="1" si="61"/>
        <v>26</v>
      </c>
      <c r="F80" s="595">
        <f t="shared" ca="1" si="58"/>
        <v>0</v>
      </c>
      <c r="G80" s="595">
        <f t="shared" ca="1" si="66"/>
        <v>0</v>
      </c>
      <c r="H80" s="595">
        <f t="shared" ca="1" si="66"/>
        <v>0</v>
      </c>
      <c r="I80" s="595">
        <f t="shared" ca="1" si="66"/>
        <v>0</v>
      </c>
      <c r="J80" s="595">
        <f t="shared" ca="1" si="66"/>
        <v>3.1515771509395312</v>
      </c>
      <c r="K80" s="595">
        <f t="shared" ca="1" si="66"/>
        <v>5.0272814272901627</v>
      </c>
      <c r="L80" s="595">
        <f t="shared" ca="1" si="66"/>
        <v>6.4399555462191014</v>
      </c>
      <c r="M80" s="595">
        <f t="shared" ca="1" si="66"/>
        <v>8.2495933512186959</v>
      </c>
      <c r="N80" s="595">
        <f t="shared" ca="1" si="66"/>
        <v>10.567742272759519</v>
      </c>
      <c r="O80" s="595">
        <f t="shared" ca="1" si="66"/>
        <v>13.537294747621793</v>
      </c>
      <c r="P80" s="595">
        <f t="shared" ca="1" si="66"/>
        <v>17.341296215784318</v>
      </c>
      <c r="Q80" s="595">
        <f t="shared" ca="1" si="67"/>
        <v>22.214228178521818</v>
      </c>
      <c r="R80" s="595">
        <f t="shared" ca="1" si="67"/>
        <v>28.45646181386758</v>
      </c>
      <c r="S80" s="595">
        <f t="shared" ca="1" si="67"/>
        <v>36.452773081130182</v>
      </c>
      <c r="T80" s="595">
        <f t="shared" ca="1" si="67"/>
        <v>46.696060599382328</v>
      </c>
      <c r="U80" s="595">
        <f t="shared" ca="1" si="67"/>
        <v>59.817728287726219</v>
      </c>
      <c r="V80" s="595">
        <f t="shared" ca="1" si="67"/>
        <v>76.626605576050963</v>
      </c>
      <c r="W80" s="595">
        <f t="shared" ca="1" si="67"/>
        <v>98.158804257239922</v>
      </c>
      <c r="X80" s="595">
        <f t="shared" ca="1" si="67"/>
        <v>125.74158519456245</v>
      </c>
      <c r="Y80" s="595">
        <f t="shared" ca="1" si="67"/>
        <v>161.07517167595518</v>
      </c>
      <c r="Z80" s="595">
        <f t="shared" ca="1" si="67"/>
        <v>206.33755245166427</v>
      </c>
      <c r="AA80" s="591">
        <f t="shared" ca="1" si="65"/>
        <v>925.89171182793393</v>
      </c>
    </row>
    <row r="81" spans="1:28">
      <c r="A81" s="231" t="s">
        <v>136</v>
      </c>
      <c r="B81" s="758">
        <v>1.0000000000000001E-5</v>
      </c>
      <c r="C81"/>
      <c r="D81"/>
      <c r="E81" s="231">
        <f t="shared" ca="1" si="61"/>
        <v>27</v>
      </c>
      <c r="F81" s="595">
        <f t="shared" ca="1" si="58"/>
        <v>0</v>
      </c>
      <c r="G81" s="595">
        <f t="shared" ca="1" si="66"/>
        <v>0</v>
      </c>
      <c r="H81" s="595">
        <f t="shared" ca="1" si="66"/>
        <v>0</v>
      </c>
      <c r="I81" s="595">
        <f t="shared" ca="1" si="66"/>
        <v>0</v>
      </c>
      <c r="J81" s="595">
        <f t="shared" ca="1" si="66"/>
        <v>0</v>
      </c>
      <c r="K81" s="595">
        <f t="shared" ca="1" si="66"/>
        <v>3.1515771509395312</v>
      </c>
      <c r="L81" s="595">
        <f t="shared" ca="1" si="66"/>
        <v>5.0272814272901627</v>
      </c>
      <c r="M81" s="595">
        <f t="shared" ca="1" si="66"/>
        <v>6.4399555462191014</v>
      </c>
      <c r="N81" s="595">
        <f t="shared" ca="1" si="66"/>
        <v>8.2495933512186959</v>
      </c>
      <c r="O81" s="595">
        <f t="shared" ca="1" si="66"/>
        <v>10.567742272759519</v>
      </c>
      <c r="P81" s="595">
        <f t="shared" ca="1" si="66"/>
        <v>13.537294747621793</v>
      </c>
      <c r="Q81" s="595">
        <f t="shared" ca="1" si="67"/>
        <v>17.341296215784318</v>
      </c>
      <c r="R81" s="595">
        <f t="shared" ca="1" si="67"/>
        <v>22.214228178521818</v>
      </c>
      <c r="S81" s="595">
        <f t="shared" ca="1" si="67"/>
        <v>28.45646181386758</v>
      </c>
      <c r="T81" s="595">
        <f t="shared" ca="1" si="67"/>
        <v>36.452773081130182</v>
      </c>
      <c r="U81" s="595">
        <f t="shared" ca="1" si="67"/>
        <v>46.696060599382328</v>
      </c>
      <c r="V81" s="595">
        <f t="shared" ca="1" si="67"/>
        <v>59.817728287726219</v>
      </c>
      <c r="W81" s="595">
        <f t="shared" ca="1" si="67"/>
        <v>76.626605576050963</v>
      </c>
      <c r="X81" s="595">
        <f t="shared" ca="1" si="67"/>
        <v>98.158804257239922</v>
      </c>
      <c r="Y81" s="595">
        <f t="shared" ca="1" si="67"/>
        <v>125.74158519456245</v>
      </c>
      <c r="Z81" s="595">
        <f t="shared" ca="1" si="67"/>
        <v>161.07517167595518</v>
      </c>
      <c r="AA81" s="591">
        <f t="shared" ca="1" si="65"/>
        <v>719.55415937626969</v>
      </c>
    </row>
    <row r="82" spans="1:28">
      <c r="A82" s="349" t="s">
        <v>137</v>
      </c>
      <c r="B82" s="757">
        <v>3</v>
      </c>
      <c r="C82"/>
      <c r="D82"/>
      <c r="E82" s="231">
        <f t="shared" ca="1" si="61"/>
        <v>28</v>
      </c>
      <c r="F82" s="595">
        <f t="shared" ca="1" si="58"/>
        <v>0</v>
      </c>
      <c r="G82" s="595">
        <f t="shared" ca="1" si="66"/>
        <v>0</v>
      </c>
      <c r="H82" s="595">
        <f t="shared" ca="1" si="66"/>
        <v>0</v>
      </c>
      <c r="I82" s="595">
        <f t="shared" ca="1" si="66"/>
        <v>0</v>
      </c>
      <c r="J82" s="595">
        <f t="shared" ca="1" si="66"/>
        <v>0</v>
      </c>
      <c r="K82" s="595">
        <f t="shared" ca="1" si="66"/>
        <v>0</v>
      </c>
      <c r="L82" s="595">
        <f t="shared" ca="1" si="66"/>
        <v>3.1515771509395312</v>
      </c>
      <c r="M82" s="595">
        <f t="shared" ca="1" si="66"/>
        <v>5.0272814272901627</v>
      </c>
      <c r="N82" s="595">
        <f t="shared" ca="1" si="66"/>
        <v>6.4399555462191014</v>
      </c>
      <c r="O82" s="595">
        <f t="shared" ca="1" si="66"/>
        <v>8.2495933512186959</v>
      </c>
      <c r="P82" s="595">
        <f t="shared" ca="1" si="66"/>
        <v>10.567742272759519</v>
      </c>
      <c r="Q82" s="595">
        <f t="shared" ca="1" si="67"/>
        <v>13.537294747621793</v>
      </c>
      <c r="R82" s="595">
        <f t="shared" ca="1" si="67"/>
        <v>17.341296215784318</v>
      </c>
      <c r="S82" s="595">
        <f t="shared" ca="1" si="67"/>
        <v>22.214228178521818</v>
      </c>
      <c r="T82" s="595">
        <f t="shared" ca="1" si="67"/>
        <v>28.45646181386758</v>
      </c>
      <c r="U82" s="595">
        <f t="shared" ca="1" si="67"/>
        <v>36.452773081130182</v>
      </c>
      <c r="V82" s="595">
        <f t="shared" ca="1" si="67"/>
        <v>46.696060599382328</v>
      </c>
      <c r="W82" s="595">
        <f t="shared" ca="1" si="67"/>
        <v>59.817728287726219</v>
      </c>
      <c r="X82" s="595">
        <f t="shared" ca="1" si="67"/>
        <v>76.626605576050963</v>
      </c>
      <c r="Y82" s="595">
        <f t="shared" ca="1" si="67"/>
        <v>98.158804257239922</v>
      </c>
      <c r="Z82" s="595">
        <f t="shared" ca="1" si="67"/>
        <v>125.74158519456245</v>
      </c>
      <c r="AA82" s="591">
        <f t="shared" ca="1" si="65"/>
        <v>558.47898770031452</v>
      </c>
    </row>
    <row r="83" spans="1:28">
      <c r="A83" s="231" t="s">
        <v>138</v>
      </c>
      <c r="B83" s="318">
        <f>CHOOSE(B82,30.4,365/4,365)/1000</f>
        <v>0.36499999999999999</v>
      </c>
      <c r="C83"/>
      <c r="D83"/>
      <c r="E83" s="231">
        <f t="shared" ca="1" si="61"/>
        <v>29</v>
      </c>
      <c r="F83" s="595">
        <f t="shared" ca="1" si="58"/>
        <v>0</v>
      </c>
      <c r="G83" s="595">
        <f t="shared" ca="1" si="66"/>
        <v>0</v>
      </c>
      <c r="H83" s="595">
        <f t="shared" ca="1" si="66"/>
        <v>0</v>
      </c>
      <c r="I83" s="595">
        <f t="shared" ca="1" si="66"/>
        <v>0</v>
      </c>
      <c r="J83" s="595">
        <f t="shared" ca="1" si="66"/>
        <v>0</v>
      </c>
      <c r="K83" s="595">
        <f t="shared" ca="1" si="66"/>
        <v>0</v>
      </c>
      <c r="L83" s="595">
        <f t="shared" ca="1" si="66"/>
        <v>0</v>
      </c>
      <c r="M83" s="595">
        <f t="shared" ca="1" si="66"/>
        <v>3.1515771509395312</v>
      </c>
      <c r="N83" s="595">
        <f t="shared" ca="1" si="66"/>
        <v>5.0272814272901627</v>
      </c>
      <c r="O83" s="595">
        <f t="shared" ca="1" si="66"/>
        <v>6.4399555462191014</v>
      </c>
      <c r="P83" s="595">
        <f t="shared" ca="1" si="66"/>
        <v>8.2495933512186959</v>
      </c>
      <c r="Q83" s="595">
        <f t="shared" ca="1" si="67"/>
        <v>10.567742272759519</v>
      </c>
      <c r="R83" s="595">
        <f t="shared" ca="1" si="67"/>
        <v>13.537294747621793</v>
      </c>
      <c r="S83" s="595">
        <f t="shared" ca="1" si="67"/>
        <v>17.341296215784318</v>
      </c>
      <c r="T83" s="595">
        <f t="shared" ca="1" si="67"/>
        <v>22.214228178521818</v>
      </c>
      <c r="U83" s="595">
        <f t="shared" ca="1" si="67"/>
        <v>28.45646181386758</v>
      </c>
      <c r="V83" s="595">
        <f t="shared" ca="1" si="67"/>
        <v>36.452773081130182</v>
      </c>
      <c r="W83" s="595">
        <f t="shared" ca="1" si="67"/>
        <v>46.696060599382328</v>
      </c>
      <c r="X83" s="595">
        <f t="shared" ca="1" si="67"/>
        <v>59.817728287726219</v>
      </c>
      <c r="Y83" s="595">
        <f t="shared" ca="1" si="67"/>
        <v>76.626605576050963</v>
      </c>
      <c r="Z83" s="595">
        <f t="shared" ca="1" si="67"/>
        <v>98.158804257239922</v>
      </c>
      <c r="AA83" s="591">
        <f t="shared" ca="1" si="65"/>
        <v>432.73740250575213</v>
      </c>
    </row>
    <row r="84" spans="1:28">
      <c r="A84"/>
      <c r="B84"/>
      <c r="C84"/>
      <c r="D84"/>
      <c r="E84" s="231">
        <f t="shared" ca="1" si="61"/>
        <v>30</v>
      </c>
      <c r="F84" s="595">
        <f t="shared" ca="1" si="58"/>
        <v>0</v>
      </c>
      <c r="G84" s="595">
        <f t="shared" ca="1" si="66"/>
        <v>0</v>
      </c>
      <c r="H84" s="595">
        <f t="shared" ca="1" si="66"/>
        <v>0</v>
      </c>
      <c r="I84" s="595">
        <f t="shared" ca="1" si="66"/>
        <v>0</v>
      </c>
      <c r="J84" s="595">
        <f t="shared" ca="1" si="66"/>
        <v>0</v>
      </c>
      <c r="K84" s="595">
        <f t="shared" ca="1" si="66"/>
        <v>0</v>
      </c>
      <c r="L84" s="595">
        <f t="shared" ca="1" si="66"/>
        <v>0</v>
      </c>
      <c r="M84" s="595">
        <f t="shared" ca="1" si="66"/>
        <v>0</v>
      </c>
      <c r="N84" s="595">
        <f t="shared" ca="1" si="66"/>
        <v>3.1515771509395312</v>
      </c>
      <c r="O84" s="595">
        <f t="shared" ca="1" si="66"/>
        <v>5.0272814272901627</v>
      </c>
      <c r="P84" s="595">
        <f t="shared" ca="1" si="66"/>
        <v>6.4399555462191014</v>
      </c>
      <c r="Q84" s="595">
        <f t="shared" ca="1" si="67"/>
        <v>8.2495933512186959</v>
      </c>
      <c r="R84" s="595">
        <f t="shared" ca="1" si="67"/>
        <v>10.567742272759519</v>
      </c>
      <c r="S84" s="595">
        <f t="shared" ca="1" si="67"/>
        <v>13.537294747621793</v>
      </c>
      <c r="T84" s="595">
        <f t="shared" ca="1" si="67"/>
        <v>17.341296215784318</v>
      </c>
      <c r="U84" s="595">
        <f t="shared" ca="1" si="67"/>
        <v>22.214228178521818</v>
      </c>
      <c r="V84" s="595">
        <f t="shared" ca="1" si="67"/>
        <v>28.45646181386758</v>
      </c>
      <c r="W84" s="595">
        <f t="shared" ca="1" si="67"/>
        <v>36.452773081130182</v>
      </c>
      <c r="X84" s="595">
        <f t="shared" ca="1" si="67"/>
        <v>46.696060599382328</v>
      </c>
      <c r="Y84" s="595">
        <f t="shared" ca="1" si="67"/>
        <v>59.817728287726219</v>
      </c>
      <c r="Z84" s="595">
        <f t="shared" ca="1" si="67"/>
        <v>76.626605576050963</v>
      </c>
      <c r="AA84" s="591">
        <f t="shared" ca="1" si="65"/>
        <v>334.57859824851221</v>
      </c>
    </row>
    <row r="85" spans="1:28">
      <c r="A85" s="231" t="s">
        <v>139</v>
      </c>
      <c r="B85"/>
      <c r="C85"/>
      <c r="D85"/>
      <c r="E85" s="231">
        <f t="shared" ca="1" si="61"/>
        <v>31</v>
      </c>
      <c r="F85" s="595">
        <f t="shared" ca="1" si="58"/>
        <v>0</v>
      </c>
      <c r="G85" s="595">
        <f t="shared" ref="G85:P94" ca="1" si="68">IF(OR($E85&lt;=G$29,G$39&lt;=G$22),0,IF(AND($E85=G$29+1,$E85&lt;G$30+1),G$32,IF($E85&lt;=G$30,0.5*G$9*$B$83*(2*$E85-2*G$21-1)/(G$22-G$21),IF($E85=G$30+1,G$45,IF($E85&lt;=G$36,G$50*G$31^($E85-G$22-1),IF($E85=G$36+1,G$48,IF($E85&lt;=G$40,G$51*G$38^($E85-G$35-1),IF($E85=G$40+1,G$49,0))))))))</f>
        <v>0</v>
      </c>
      <c r="H85" s="595">
        <f t="shared" ca="1" si="68"/>
        <v>0</v>
      </c>
      <c r="I85" s="595">
        <f t="shared" ca="1" si="68"/>
        <v>0</v>
      </c>
      <c r="J85" s="595">
        <f t="shared" ca="1" si="68"/>
        <v>0</v>
      </c>
      <c r="K85" s="595">
        <f t="shared" ca="1" si="68"/>
        <v>0</v>
      </c>
      <c r="L85" s="595">
        <f t="shared" ca="1" si="68"/>
        <v>0</v>
      </c>
      <c r="M85" s="595">
        <f t="shared" ca="1" si="68"/>
        <v>0</v>
      </c>
      <c r="N85" s="595">
        <f t="shared" ca="1" si="68"/>
        <v>0</v>
      </c>
      <c r="O85" s="595">
        <f t="shared" ca="1" si="68"/>
        <v>3.1515771509395312</v>
      </c>
      <c r="P85" s="595">
        <f t="shared" ca="1" si="68"/>
        <v>5.0272814272901627</v>
      </c>
      <c r="Q85" s="595">
        <f t="shared" ref="Q85:Z94" ca="1" si="69">IF(OR($E85&lt;=Q$29,Q$39&lt;=Q$22),0,IF(AND($E85=Q$29+1,$E85&lt;Q$30+1),Q$32,IF($E85&lt;=Q$30,0.5*Q$9*$B$83*(2*$E85-2*Q$21-1)/(Q$22-Q$21),IF($E85=Q$30+1,Q$45,IF($E85&lt;=Q$36,Q$50*Q$31^($E85-Q$22-1),IF($E85=Q$36+1,Q$48,IF($E85&lt;=Q$40,Q$51*Q$38^($E85-Q$35-1),IF($E85=Q$40+1,Q$49,0))))))))</f>
        <v>6.4399555462191014</v>
      </c>
      <c r="R85" s="595">
        <f t="shared" ca="1" si="69"/>
        <v>8.2495933512186959</v>
      </c>
      <c r="S85" s="595">
        <f t="shared" ca="1" si="69"/>
        <v>10.567742272759519</v>
      </c>
      <c r="T85" s="595">
        <f t="shared" ca="1" si="69"/>
        <v>13.537294747621793</v>
      </c>
      <c r="U85" s="595">
        <f t="shared" ca="1" si="69"/>
        <v>17.341296215784318</v>
      </c>
      <c r="V85" s="595">
        <f t="shared" ca="1" si="69"/>
        <v>22.214228178521818</v>
      </c>
      <c r="W85" s="595">
        <f t="shared" ca="1" si="69"/>
        <v>28.45646181386758</v>
      </c>
      <c r="X85" s="595">
        <f t="shared" ca="1" si="69"/>
        <v>36.452773081130182</v>
      </c>
      <c r="Y85" s="595">
        <f t="shared" ca="1" si="69"/>
        <v>46.696060599382328</v>
      </c>
      <c r="Z85" s="595">
        <f t="shared" ca="1" si="69"/>
        <v>59.817728287726219</v>
      </c>
      <c r="AA85" s="591">
        <f t="shared" ca="1" si="65"/>
        <v>257.95199267246124</v>
      </c>
    </row>
    <row r="86" spans="1:28">
      <c r="A86" s="231" t="s">
        <v>140</v>
      </c>
      <c r="B86"/>
      <c r="C86"/>
      <c r="D86"/>
      <c r="E86" s="231">
        <f t="shared" ca="1" si="61"/>
        <v>32</v>
      </c>
      <c r="F86" s="595">
        <f t="shared" ca="1" si="58"/>
        <v>0</v>
      </c>
      <c r="G86" s="595">
        <f t="shared" ca="1" si="68"/>
        <v>0</v>
      </c>
      <c r="H86" s="595">
        <f t="shared" ca="1" si="68"/>
        <v>0</v>
      </c>
      <c r="I86" s="595">
        <f t="shared" ca="1" si="68"/>
        <v>0</v>
      </c>
      <c r="J86" s="595">
        <f t="shared" ca="1" si="68"/>
        <v>0</v>
      </c>
      <c r="K86" s="595">
        <f t="shared" ca="1" si="68"/>
        <v>0</v>
      </c>
      <c r="L86" s="595">
        <f t="shared" ca="1" si="68"/>
        <v>0</v>
      </c>
      <c r="M86" s="595">
        <f t="shared" ca="1" si="68"/>
        <v>0</v>
      </c>
      <c r="N86" s="595">
        <f t="shared" ca="1" si="68"/>
        <v>0</v>
      </c>
      <c r="O86" s="595">
        <f t="shared" ca="1" si="68"/>
        <v>0</v>
      </c>
      <c r="P86" s="595">
        <f t="shared" ca="1" si="68"/>
        <v>3.1515771509395312</v>
      </c>
      <c r="Q86" s="595">
        <f t="shared" ca="1" si="69"/>
        <v>5.0272814272901627</v>
      </c>
      <c r="R86" s="595">
        <f t="shared" ca="1" si="69"/>
        <v>6.4399555462191014</v>
      </c>
      <c r="S86" s="595">
        <f t="shared" ca="1" si="69"/>
        <v>8.2495933512186959</v>
      </c>
      <c r="T86" s="595">
        <f t="shared" ca="1" si="69"/>
        <v>10.567742272759519</v>
      </c>
      <c r="U86" s="595">
        <f t="shared" ca="1" si="69"/>
        <v>13.537294747621793</v>
      </c>
      <c r="V86" s="595">
        <f t="shared" ca="1" si="69"/>
        <v>17.341296215784318</v>
      </c>
      <c r="W86" s="595">
        <f t="shared" ca="1" si="69"/>
        <v>22.214228178521818</v>
      </c>
      <c r="X86" s="595">
        <f t="shared" ca="1" si="69"/>
        <v>28.45646181386758</v>
      </c>
      <c r="Y86" s="595">
        <f t="shared" ca="1" si="69"/>
        <v>36.452773081130182</v>
      </c>
      <c r="Z86" s="595">
        <f t="shared" ca="1" si="69"/>
        <v>46.696060599382328</v>
      </c>
      <c r="AA86" s="591">
        <f t="shared" ca="1" si="65"/>
        <v>198.13426438473502</v>
      </c>
    </row>
    <row r="87" spans="1:28">
      <c r="A87"/>
      <c r="B87"/>
      <c r="C87"/>
      <c r="D87"/>
      <c r="E87" s="231">
        <f t="shared" ca="1" si="61"/>
        <v>33</v>
      </c>
      <c r="F87" s="595">
        <f t="shared" ca="1" si="58"/>
        <v>0</v>
      </c>
      <c r="G87" s="595">
        <f t="shared" ca="1" si="68"/>
        <v>0</v>
      </c>
      <c r="H87" s="595">
        <f t="shared" ca="1" si="68"/>
        <v>0</v>
      </c>
      <c r="I87" s="595">
        <f t="shared" ca="1" si="68"/>
        <v>0</v>
      </c>
      <c r="J87" s="595">
        <f t="shared" ca="1" si="68"/>
        <v>0</v>
      </c>
      <c r="K87" s="595">
        <f t="shared" ca="1" si="68"/>
        <v>0</v>
      </c>
      <c r="L87" s="595">
        <f t="shared" ca="1" si="68"/>
        <v>0</v>
      </c>
      <c r="M87" s="595">
        <f t="shared" ca="1" si="68"/>
        <v>0</v>
      </c>
      <c r="N87" s="595">
        <f t="shared" ca="1" si="68"/>
        <v>0</v>
      </c>
      <c r="O87" s="595">
        <f t="shared" ca="1" si="68"/>
        <v>0</v>
      </c>
      <c r="P87" s="595">
        <f t="shared" ca="1" si="68"/>
        <v>0</v>
      </c>
      <c r="Q87" s="595">
        <f t="shared" ca="1" si="69"/>
        <v>3.1515771509395143</v>
      </c>
      <c r="R87" s="595">
        <f t="shared" ca="1" si="69"/>
        <v>5.0272814272901627</v>
      </c>
      <c r="S87" s="595">
        <f t="shared" ca="1" si="69"/>
        <v>6.4399555462191014</v>
      </c>
      <c r="T87" s="595">
        <f t="shared" ca="1" si="69"/>
        <v>8.2495933512186959</v>
      </c>
      <c r="U87" s="595">
        <f t="shared" ca="1" si="69"/>
        <v>10.567742272759519</v>
      </c>
      <c r="V87" s="595">
        <f t="shared" ca="1" si="69"/>
        <v>13.537294747621793</v>
      </c>
      <c r="W87" s="595">
        <f t="shared" ca="1" si="69"/>
        <v>17.341296215784318</v>
      </c>
      <c r="X87" s="595">
        <f t="shared" ca="1" si="69"/>
        <v>22.214228178521818</v>
      </c>
      <c r="Y87" s="595">
        <f t="shared" ca="1" si="69"/>
        <v>28.45646181386758</v>
      </c>
      <c r="Z87" s="595">
        <f t="shared" ca="1" si="69"/>
        <v>36.452773081130182</v>
      </c>
      <c r="AA87" s="591">
        <f t="shared" ca="1" si="65"/>
        <v>151.4382037853527</v>
      </c>
    </row>
    <row r="88" spans="1:28">
      <c r="A88"/>
      <c r="B88"/>
      <c r="C88"/>
      <c r="D88"/>
      <c r="E88" s="231">
        <f t="shared" ca="1" si="61"/>
        <v>34</v>
      </c>
      <c r="F88" s="595">
        <f t="shared" ca="1" si="58"/>
        <v>0</v>
      </c>
      <c r="G88" s="595">
        <f t="shared" ca="1" si="68"/>
        <v>0</v>
      </c>
      <c r="H88" s="595">
        <f t="shared" ca="1" si="68"/>
        <v>0</v>
      </c>
      <c r="I88" s="595">
        <f t="shared" ca="1" si="68"/>
        <v>0</v>
      </c>
      <c r="J88" s="595">
        <f t="shared" ca="1" si="68"/>
        <v>0</v>
      </c>
      <c r="K88" s="595">
        <f t="shared" ca="1" si="68"/>
        <v>0</v>
      </c>
      <c r="L88" s="595">
        <f t="shared" ca="1" si="68"/>
        <v>0</v>
      </c>
      <c r="M88" s="595">
        <f t="shared" ca="1" si="68"/>
        <v>0</v>
      </c>
      <c r="N88" s="595">
        <f t="shared" ca="1" si="68"/>
        <v>0</v>
      </c>
      <c r="O88" s="595">
        <f t="shared" ca="1" si="68"/>
        <v>0</v>
      </c>
      <c r="P88" s="595">
        <f t="shared" ca="1" si="68"/>
        <v>0</v>
      </c>
      <c r="Q88" s="595">
        <f t="shared" ca="1" si="69"/>
        <v>0</v>
      </c>
      <c r="R88" s="595">
        <f t="shared" ca="1" si="69"/>
        <v>3.1515771509395143</v>
      </c>
      <c r="S88" s="595">
        <f t="shared" ca="1" si="69"/>
        <v>5.0272814272901627</v>
      </c>
      <c r="T88" s="595">
        <f t="shared" ca="1" si="69"/>
        <v>6.4399555462191014</v>
      </c>
      <c r="U88" s="595">
        <f t="shared" ca="1" si="69"/>
        <v>8.2495933512186959</v>
      </c>
      <c r="V88" s="595">
        <f t="shared" ca="1" si="69"/>
        <v>10.567742272759519</v>
      </c>
      <c r="W88" s="595">
        <f t="shared" ca="1" si="69"/>
        <v>13.537294747621793</v>
      </c>
      <c r="X88" s="595">
        <f t="shared" ca="1" si="69"/>
        <v>17.341296215784318</v>
      </c>
      <c r="Y88" s="595">
        <f t="shared" ca="1" si="69"/>
        <v>22.214228178521818</v>
      </c>
      <c r="Z88" s="595">
        <f t="shared" ca="1" si="69"/>
        <v>28.45646181386758</v>
      </c>
      <c r="AA88" s="591">
        <f t="shared" ref="AA88:AA94" ca="1" si="70">SUM(F88:Z88)</f>
        <v>114.98543070422251</v>
      </c>
    </row>
    <row r="89" spans="1:28">
      <c r="A89"/>
      <c r="B89"/>
      <c r="C89"/>
      <c r="D89"/>
      <c r="E89" s="231">
        <f t="shared" ca="1" si="61"/>
        <v>35</v>
      </c>
      <c r="F89" s="595">
        <f t="shared" ca="1" si="58"/>
        <v>0</v>
      </c>
      <c r="G89" s="595">
        <f t="shared" ca="1" si="68"/>
        <v>0</v>
      </c>
      <c r="H89" s="595">
        <f t="shared" ca="1" si="68"/>
        <v>0</v>
      </c>
      <c r="I89" s="595">
        <f t="shared" ca="1" si="68"/>
        <v>0</v>
      </c>
      <c r="J89" s="595">
        <f t="shared" ca="1" si="68"/>
        <v>0</v>
      </c>
      <c r="K89" s="595">
        <f t="shared" ca="1" si="68"/>
        <v>0</v>
      </c>
      <c r="L89" s="595">
        <f t="shared" ca="1" si="68"/>
        <v>0</v>
      </c>
      <c r="M89" s="595">
        <f t="shared" ca="1" si="68"/>
        <v>0</v>
      </c>
      <c r="N89" s="595">
        <f t="shared" ca="1" si="68"/>
        <v>0</v>
      </c>
      <c r="O89" s="595">
        <f t="shared" ca="1" si="68"/>
        <v>0</v>
      </c>
      <c r="P89" s="595">
        <f t="shared" ca="1" si="68"/>
        <v>0</v>
      </c>
      <c r="Q89" s="595">
        <f t="shared" ca="1" si="69"/>
        <v>0</v>
      </c>
      <c r="R89" s="595">
        <f t="shared" ca="1" si="69"/>
        <v>0</v>
      </c>
      <c r="S89" s="595">
        <f t="shared" ca="1" si="69"/>
        <v>3.1515771509395143</v>
      </c>
      <c r="T89" s="595">
        <f t="shared" ca="1" si="69"/>
        <v>5.0272814272901627</v>
      </c>
      <c r="U89" s="595">
        <f t="shared" ca="1" si="69"/>
        <v>6.4399555462191014</v>
      </c>
      <c r="V89" s="595">
        <f t="shared" ca="1" si="69"/>
        <v>8.2495933512186959</v>
      </c>
      <c r="W89" s="595">
        <f t="shared" ca="1" si="69"/>
        <v>10.567742272759519</v>
      </c>
      <c r="X89" s="595">
        <f t="shared" ca="1" si="69"/>
        <v>13.537294747621793</v>
      </c>
      <c r="Y89" s="595">
        <f t="shared" ca="1" si="69"/>
        <v>17.341296215784318</v>
      </c>
      <c r="Z89" s="595">
        <f t="shared" ca="1" si="69"/>
        <v>22.214228178521818</v>
      </c>
      <c r="AA89" s="591">
        <f t="shared" ca="1" si="70"/>
        <v>86.528968890354932</v>
      </c>
    </row>
    <row r="90" spans="1:28">
      <c r="A90"/>
      <c r="B90"/>
      <c r="C90"/>
      <c r="D90"/>
      <c r="E90" s="231">
        <f t="shared" ca="1" si="61"/>
        <v>36</v>
      </c>
      <c r="F90" s="595">
        <f t="shared" ca="1" si="58"/>
        <v>0</v>
      </c>
      <c r="G90" s="595">
        <f t="shared" ca="1" si="68"/>
        <v>0</v>
      </c>
      <c r="H90" s="595">
        <f t="shared" ca="1" si="68"/>
        <v>0</v>
      </c>
      <c r="I90" s="595">
        <f t="shared" ca="1" si="68"/>
        <v>0</v>
      </c>
      <c r="J90" s="595">
        <f t="shared" ca="1" si="68"/>
        <v>0</v>
      </c>
      <c r="K90" s="595">
        <f t="shared" ca="1" si="68"/>
        <v>0</v>
      </c>
      <c r="L90" s="595">
        <f t="shared" ca="1" si="68"/>
        <v>0</v>
      </c>
      <c r="M90" s="595">
        <f t="shared" ca="1" si="68"/>
        <v>0</v>
      </c>
      <c r="N90" s="595">
        <f t="shared" ca="1" si="68"/>
        <v>0</v>
      </c>
      <c r="O90" s="595">
        <f t="shared" ca="1" si="68"/>
        <v>0</v>
      </c>
      <c r="P90" s="595">
        <f t="shared" ca="1" si="68"/>
        <v>0</v>
      </c>
      <c r="Q90" s="595">
        <f t="shared" ca="1" si="69"/>
        <v>0</v>
      </c>
      <c r="R90" s="595">
        <f t="shared" ca="1" si="69"/>
        <v>0</v>
      </c>
      <c r="S90" s="595">
        <f t="shared" ca="1" si="69"/>
        <v>0</v>
      </c>
      <c r="T90" s="595">
        <f t="shared" ca="1" si="69"/>
        <v>3.1515771509395143</v>
      </c>
      <c r="U90" s="595">
        <f t="shared" ca="1" si="69"/>
        <v>5.0272814272901627</v>
      </c>
      <c r="V90" s="595">
        <f t="shared" ca="1" si="69"/>
        <v>6.4399555462191014</v>
      </c>
      <c r="W90" s="595">
        <f t="shared" ca="1" si="69"/>
        <v>8.2495933512186959</v>
      </c>
      <c r="X90" s="595">
        <f t="shared" ca="1" si="69"/>
        <v>10.567742272759519</v>
      </c>
      <c r="Y90" s="595">
        <f t="shared" ca="1" si="69"/>
        <v>13.537294747621793</v>
      </c>
      <c r="Z90" s="595">
        <f t="shared" ca="1" si="69"/>
        <v>17.341296215784318</v>
      </c>
      <c r="AA90" s="591">
        <f t="shared" ca="1" si="70"/>
        <v>64.31474071183311</v>
      </c>
    </row>
    <row r="91" spans="1:28">
      <c r="A91"/>
      <c r="B91"/>
      <c r="C91"/>
      <c r="D91"/>
      <c r="E91" s="231">
        <f t="shared" ca="1" si="61"/>
        <v>37</v>
      </c>
      <c r="F91" s="595">
        <f t="shared" ca="1" si="58"/>
        <v>0</v>
      </c>
      <c r="G91" s="595">
        <f t="shared" ca="1" si="68"/>
        <v>0</v>
      </c>
      <c r="H91" s="595">
        <f t="shared" ca="1" si="68"/>
        <v>0</v>
      </c>
      <c r="I91" s="595">
        <f t="shared" ca="1" si="68"/>
        <v>0</v>
      </c>
      <c r="J91" s="595">
        <f t="shared" ca="1" si="68"/>
        <v>0</v>
      </c>
      <c r="K91" s="595">
        <f t="shared" ca="1" si="68"/>
        <v>0</v>
      </c>
      <c r="L91" s="595">
        <f t="shared" ca="1" si="68"/>
        <v>0</v>
      </c>
      <c r="M91" s="595">
        <f t="shared" ca="1" si="68"/>
        <v>0</v>
      </c>
      <c r="N91" s="595">
        <f t="shared" ca="1" si="68"/>
        <v>0</v>
      </c>
      <c r="O91" s="595">
        <f t="shared" ca="1" si="68"/>
        <v>0</v>
      </c>
      <c r="P91" s="595">
        <f t="shared" ca="1" si="68"/>
        <v>0</v>
      </c>
      <c r="Q91" s="595">
        <f t="shared" ca="1" si="69"/>
        <v>0</v>
      </c>
      <c r="R91" s="595">
        <f t="shared" ca="1" si="69"/>
        <v>0</v>
      </c>
      <c r="S91" s="595">
        <f t="shared" ca="1" si="69"/>
        <v>0</v>
      </c>
      <c r="T91" s="595">
        <f t="shared" ca="1" si="69"/>
        <v>0</v>
      </c>
      <c r="U91" s="595">
        <f t="shared" ca="1" si="69"/>
        <v>3.1515771509395143</v>
      </c>
      <c r="V91" s="595">
        <f t="shared" ca="1" si="69"/>
        <v>5.0272814272901627</v>
      </c>
      <c r="W91" s="595">
        <f t="shared" ca="1" si="69"/>
        <v>6.4399555462191014</v>
      </c>
      <c r="X91" s="595">
        <f t="shared" ca="1" si="69"/>
        <v>8.2495933512186959</v>
      </c>
      <c r="Y91" s="595">
        <f t="shared" ca="1" si="69"/>
        <v>10.567742272759519</v>
      </c>
      <c r="Z91" s="595">
        <f t="shared" ca="1" si="69"/>
        <v>13.537294747621793</v>
      </c>
      <c r="AA91" s="591">
        <f t="shared" ca="1" si="70"/>
        <v>46.973444496048785</v>
      </c>
    </row>
    <row r="92" spans="1:28">
      <c r="A92"/>
      <c r="B92"/>
      <c r="C92"/>
      <c r="D92"/>
      <c r="E92" s="231">
        <f t="shared" ca="1" si="61"/>
        <v>38</v>
      </c>
      <c r="F92" s="595">
        <f t="shared" ca="1" si="58"/>
        <v>0</v>
      </c>
      <c r="G92" s="595">
        <f t="shared" ca="1" si="68"/>
        <v>0</v>
      </c>
      <c r="H92" s="595">
        <f t="shared" ca="1" si="68"/>
        <v>0</v>
      </c>
      <c r="I92" s="595">
        <f t="shared" ca="1" si="68"/>
        <v>0</v>
      </c>
      <c r="J92" s="595">
        <f t="shared" ca="1" si="68"/>
        <v>0</v>
      </c>
      <c r="K92" s="595">
        <f t="shared" ca="1" si="68"/>
        <v>0</v>
      </c>
      <c r="L92" s="595">
        <f t="shared" ca="1" si="68"/>
        <v>0</v>
      </c>
      <c r="M92" s="595">
        <f t="shared" ca="1" si="68"/>
        <v>0</v>
      </c>
      <c r="N92" s="595">
        <f t="shared" ca="1" si="68"/>
        <v>0</v>
      </c>
      <c r="O92" s="595">
        <f t="shared" ca="1" si="68"/>
        <v>0</v>
      </c>
      <c r="P92" s="595">
        <f t="shared" ca="1" si="68"/>
        <v>0</v>
      </c>
      <c r="Q92" s="595">
        <f t="shared" ca="1" si="69"/>
        <v>0</v>
      </c>
      <c r="R92" s="595">
        <f t="shared" ca="1" si="69"/>
        <v>0</v>
      </c>
      <c r="S92" s="595">
        <f t="shared" ca="1" si="69"/>
        <v>0</v>
      </c>
      <c r="T92" s="595">
        <f t="shared" ca="1" si="69"/>
        <v>0</v>
      </c>
      <c r="U92" s="595">
        <f t="shared" ca="1" si="69"/>
        <v>0</v>
      </c>
      <c r="V92" s="595">
        <f t="shared" ca="1" si="69"/>
        <v>3.1515771509395143</v>
      </c>
      <c r="W92" s="595">
        <f t="shared" ca="1" si="69"/>
        <v>5.0272814272901627</v>
      </c>
      <c r="X92" s="595">
        <f t="shared" ca="1" si="69"/>
        <v>6.4399555462191014</v>
      </c>
      <c r="Y92" s="595">
        <f t="shared" ca="1" si="69"/>
        <v>8.2495933512186959</v>
      </c>
      <c r="Z92" s="595">
        <f t="shared" ca="1" si="69"/>
        <v>10.567742272759519</v>
      </c>
      <c r="AA92" s="591">
        <f t="shared" ca="1" si="70"/>
        <v>33.436149748426992</v>
      </c>
    </row>
    <row r="93" spans="1:28">
      <c r="A93"/>
      <c r="B93"/>
      <c r="C93"/>
      <c r="D93"/>
      <c r="E93" s="231">
        <f t="shared" ca="1" si="61"/>
        <v>39</v>
      </c>
      <c r="F93" s="595">
        <f t="shared" ca="1" si="58"/>
        <v>0</v>
      </c>
      <c r="G93" s="595">
        <f t="shared" ca="1" si="68"/>
        <v>0</v>
      </c>
      <c r="H93" s="595">
        <f t="shared" ca="1" si="68"/>
        <v>0</v>
      </c>
      <c r="I93" s="595">
        <f t="shared" ca="1" si="68"/>
        <v>0</v>
      </c>
      <c r="J93" s="595">
        <f t="shared" ca="1" si="68"/>
        <v>0</v>
      </c>
      <c r="K93" s="595">
        <f t="shared" ca="1" si="68"/>
        <v>0</v>
      </c>
      <c r="L93" s="595">
        <f t="shared" ca="1" si="68"/>
        <v>0</v>
      </c>
      <c r="M93" s="595">
        <f t="shared" ca="1" si="68"/>
        <v>0</v>
      </c>
      <c r="N93" s="595">
        <f t="shared" ca="1" si="68"/>
        <v>0</v>
      </c>
      <c r="O93" s="595">
        <f t="shared" ca="1" si="68"/>
        <v>0</v>
      </c>
      <c r="P93" s="595">
        <f t="shared" ca="1" si="68"/>
        <v>0</v>
      </c>
      <c r="Q93" s="595">
        <f t="shared" ca="1" si="69"/>
        <v>0</v>
      </c>
      <c r="R93" s="595">
        <f t="shared" ca="1" si="69"/>
        <v>0</v>
      </c>
      <c r="S93" s="595">
        <f t="shared" ca="1" si="69"/>
        <v>0</v>
      </c>
      <c r="T93" s="595">
        <f t="shared" ca="1" si="69"/>
        <v>0</v>
      </c>
      <c r="U93" s="595">
        <f t="shared" ca="1" si="69"/>
        <v>0</v>
      </c>
      <c r="V93" s="595">
        <f t="shared" ca="1" si="69"/>
        <v>0</v>
      </c>
      <c r="W93" s="595">
        <f t="shared" ca="1" si="69"/>
        <v>3.1515771509395143</v>
      </c>
      <c r="X93" s="595">
        <f t="shared" ca="1" si="69"/>
        <v>5.0272814272901627</v>
      </c>
      <c r="Y93" s="595">
        <f t="shared" ca="1" si="69"/>
        <v>6.4399555462191014</v>
      </c>
      <c r="Z93" s="595">
        <f t="shared" ca="1" si="69"/>
        <v>8.2495933512186959</v>
      </c>
      <c r="AA93" s="591">
        <f t="shared" ca="1" si="70"/>
        <v>22.868407475667475</v>
      </c>
    </row>
    <row r="94" spans="1:28">
      <c r="A94"/>
      <c r="B94"/>
      <c r="C94"/>
      <c r="D94"/>
      <c r="E94" s="231">
        <f t="shared" ca="1" si="61"/>
        <v>40</v>
      </c>
      <c r="F94" s="595">
        <f t="shared" ca="1" si="58"/>
        <v>0</v>
      </c>
      <c r="G94" s="595">
        <f t="shared" ca="1" si="68"/>
        <v>0</v>
      </c>
      <c r="H94" s="595">
        <f t="shared" ca="1" si="68"/>
        <v>0</v>
      </c>
      <c r="I94" s="595">
        <f t="shared" ca="1" si="68"/>
        <v>0</v>
      </c>
      <c r="J94" s="595">
        <f t="shared" ca="1" si="68"/>
        <v>0</v>
      </c>
      <c r="K94" s="595">
        <f t="shared" ca="1" si="68"/>
        <v>0</v>
      </c>
      <c r="L94" s="595">
        <f t="shared" ca="1" si="68"/>
        <v>0</v>
      </c>
      <c r="M94" s="595">
        <f t="shared" ca="1" si="68"/>
        <v>0</v>
      </c>
      <c r="N94" s="595">
        <f t="shared" ca="1" si="68"/>
        <v>0</v>
      </c>
      <c r="O94" s="595">
        <f t="shared" ca="1" si="68"/>
        <v>0</v>
      </c>
      <c r="P94" s="595">
        <f t="shared" ca="1" si="68"/>
        <v>0</v>
      </c>
      <c r="Q94" s="595">
        <f t="shared" ca="1" si="69"/>
        <v>0</v>
      </c>
      <c r="R94" s="595">
        <f t="shared" ca="1" si="69"/>
        <v>0</v>
      </c>
      <c r="S94" s="595">
        <f t="shared" ca="1" si="69"/>
        <v>0</v>
      </c>
      <c r="T94" s="595">
        <f t="shared" ca="1" si="69"/>
        <v>0</v>
      </c>
      <c r="U94" s="595">
        <f t="shared" ca="1" si="69"/>
        <v>0</v>
      </c>
      <c r="V94" s="595">
        <f t="shared" ca="1" si="69"/>
        <v>0</v>
      </c>
      <c r="W94" s="595">
        <f t="shared" ca="1" si="69"/>
        <v>0</v>
      </c>
      <c r="X94" s="595">
        <f t="shared" ca="1" si="69"/>
        <v>3.1515771509395143</v>
      </c>
      <c r="Y94" s="595">
        <f t="shared" ca="1" si="69"/>
        <v>5.0272814272901627</v>
      </c>
      <c r="Z94" s="595">
        <f t="shared" ca="1" si="69"/>
        <v>6.4399555462191014</v>
      </c>
      <c r="AA94" s="591">
        <f t="shared" ca="1" si="70"/>
        <v>14.618814124448779</v>
      </c>
    </row>
    <row r="95" spans="1:28">
      <c r="A95"/>
      <c r="B95"/>
      <c r="C95"/>
      <c r="D95"/>
      <c r="E95" s="341" t="s">
        <v>141</v>
      </c>
      <c r="F95">
        <f ca="1">SUM(F55:F94)</f>
        <v>2149.1510853212926</v>
      </c>
      <c r="G95">
        <f t="shared" ref="G95:V95" ca="1" si="71">SUM(G55:G94)</f>
        <v>2149.1510853212926</v>
      </c>
      <c r="H95">
        <f t="shared" ca="1" si="71"/>
        <v>2149.1510853212926</v>
      </c>
      <c r="I95">
        <f t="shared" ca="1" si="71"/>
        <v>2149.1510853212926</v>
      </c>
      <c r="J95">
        <f t="shared" ca="1" si="71"/>
        <v>2149.1510853212922</v>
      </c>
      <c r="K95">
        <f t="shared" ca="1" si="71"/>
        <v>2149.1510853212922</v>
      </c>
      <c r="L95">
        <f t="shared" ca="1" si="71"/>
        <v>2149.1510853212922</v>
      </c>
      <c r="M95">
        <f t="shared" ca="1" si="71"/>
        <v>2149.1510853212922</v>
      </c>
      <c r="N95">
        <f t="shared" ca="1" si="71"/>
        <v>2149.1510853212922</v>
      </c>
      <c r="O95">
        <f t="shared" ca="1" si="71"/>
        <v>2149.1510853212922</v>
      </c>
      <c r="P95">
        <f t="shared" ca="1" si="71"/>
        <v>2149.1510853212922</v>
      </c>
      <c r="Q95">
        <f t="shared" ca="1" si="71"/>
        <v>2149.1510853212922</v>
      </c>
      <c r="R95">
        <f t="shared" ca="1" si="71"/>
        <v>2149.1510853212922</v>
      </c>
      <c r="S95">
        <f t="shared" ca="1" si="71"/>
        <v>2149.1510853212922</v>
      </c>
      <c r="T95">
        <f t="shared" ca="1" si="71"/>
        <v>2149.1510853212922</v>
      </c>
      <c r="U95">
        <f t="shared" ca="1" si="71"/>
        <v>2149.1510853212922</v>
      </c>
      <c r="V95">
        <f t="shared" ca="1" si="71"/>
        <v>2149.1510853212922</v>
      </c>
      <c r="W95">
        <f ca="1">SUM(W55:W94)</f>
        <v>2149.1510853212922</v>
      </c>
      <c r="X95">
        <f ca="1">SUM(X55:X94)</f>
        <v>2149.1510853212922</v>
      </c>
      <c r="Y95">
        <f ca="1">SUM(Y55:Y94)</f>
        <v>2145.9995081703528</v>
      </c>
      <c r="Z95">
        <f ca="1">SUM(Z55:Z94)</f>
        <v>2140.9722267430625</v>
      </c>
      <c r="AA95">
        <f ca="1">SUM(AA55:AA94)</f>
        <v>45120.842356017973</v>
      </c>
      <c r="AB95" t="s">
        <v>142</v>
      </c>
    </row>
    <row r="96" spans="1:28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8">
      <c r="A97"/>
      <c r="B97"/>
      <c r="C97"/>
      <c r="D97" s="754" t="s">
        <v>143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8">
      <c r="A98"/>
      <c r="B98"/>
      <c r="C98"/>
      <c r="D98"/>
      <c r="E98"/>
      <c r="F98" s="339" t="s">
        <v>144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8">
      <c r="A99"/>
      <c r="B99"/>
      <c r="C99"/>
      <c r="D99"/>
      <c r="E99"/>
      <c r="F99" s="756">
        <f>+G99-1</f>
        <v>1999</v>
      </c>
      <c r="G99" s="756">
        <f>+G3</f>
        <v>2000</v>
      </c>
      <c r="H99" s="756">
        <f t="shared" ref="H99:W99" si="72">+H3</f>
        <v>2001</v>
      </c>
      <c r="I99" s="756">
        <f t="shared" si="72"/>
        <v>2002</v>
      </c>
      <c r="J99" s="756">
        <f t="shared" si="72"/>
        <v>2003</v>
      </c>
      <c r="K99" s="756">
        <f t="shared" si="72"/>
        <v>2004</v>
      </c>
      <c r="L99" s="756">
        <f t="shared" si="72"/>
        <v>2005</v>
      </c>
      <c r="M99" s="756">
        <f t="shared" si="72"/>
        <v>2006</v>
      </c>
      <c r="N99" s="756">
        <f t="shared" si="72"/>
        <v>2007</v>
      </c>
      <c r="O99" s="756">
        <f t="shared" si="72"/>
        <v>2008</v>
      </c>
      <c r="P99" s="756">
        <f t="shared" si="72"/>
        <v>2009</v>
      </c>
      <c r="Q99" s="756">
        <f t="shared" si="72"/>
        <v>2010</v>
      </c>
      <c r="R99" s="756">
        <f t="shared" si="72"/>
        <v>2011</v>
      </c>
      <c r="S99" s="756">
        <f t="shared" si="72"/>
        <v>2012</v>
      </c>
      <c r="T99" s="756">
        <f t="shared" si="72"/>
        <v>2013</v>
      </c>
      <c r="U99" s="756">
        <f t="shared" si="72"/>
        <v>2014</v>
      </c>
      <c r="V99" s="756">
        <f t="shared" si="72"/>
        <v>2015</v>
      </c>
      <c r="W99" s="756">
        <f t="shared" si="72"/>
        <v>2016</v>
      </c>
      <c r="X99" s="756">
        <f>+X3</f>
        <v>2017</v>
      </c>
      <c r="Y99" s="756">
        <f>+Y3</f>
        <v>2018</v>
      </c>
      <c r="Z99" s="756">
        <f>+Z3</f>
        <v>2019</v>
      </c>
      <c r="AA99"/>
      <c r="AB99"/>
    </row>
    <row r="100" spans="1:28">
      <c r="A100"/>
      <c r="B100"/>
      <c r="C100"/>
      <c r="D100" s="6" t="s">
        <v>145</v>
      </c>
      <c r="E100" s="731">
        <f>+G3-1</f>
        <v>1999</v>
      </c>
      <c r="F100">
        <f t="array" aca="1" ref="F100:Z100" ca="1">TRANSPOSE(F55:F94)</f>
        <v>139.55526528060378</v>
      </c>
      <c r="G100">
        <f ca="1"/>
        <v>277.71961814419114</v>
      </c>
      <c r="H100">
        <f ca="1"/>
        <v>274.95626177253882</v>
      </c>
      <c r="I100">
        <f ca="1"/>
        <v>272.2204012561948</v>
      </c>
      <c r="J100">
        <f ca="1"/>
        <v>258.80782703982982</v>
      </c>
      <c r="K100">
        <f ca="1"/>
        <v>206.33755245166429</v>
      </c>
      <c r="L100">
        <f ca="1"/>
        <v>161.0751716759552</v>
      </c>
      <c r="M100">
        <f ca="1"/>
        <v>125.74158519456248</v>
      </c>
      <c r="N100">
        <f ca="1"/>
        <v>98.15880425723995</v>
      </c>
      <c r="O100">
        <f ca="1"/>
        <v>76.626605576050977</v>
      </c>
      <c r="P100">
        <f ca="1"/>
        <v>59.817728287726233</v>
      </c>
      <c r="Q100">
        <f ca="1"/>
        <v>46.696060599382328</v>
      </c>
      <c r="R100">
        <f ca="1"/>
        <v>36.452773081130182</v>
      </c>
      <c r="S100">
        <f ca="1"/>
        <v>28.45646181386758</v>
      </c>
      <c r="T100">
        <f ca="1"/>
        <v>22.214228178521818</v>
      </c>
      <c r="U100">
        <f ca="1"/>
        <v>17.341296215784318</v>
      </c>
      <c r="V100">
        <f ca="1"/>
        <v>13.537294747621793</v>
      </c>
      <c r="W100">
        <f ca="1"/>
        <v>10.567742272759519</v>
      </c>
      <c r="X100">
        <f ca="1"/>
        <v>8.2495933512186959</v>
      </c>
      <c r="Y100">
        <f ca="1"/>
        <v>6.4399555462191014</v>
      </c>
      <c r="Z100">
        <f ca="1"/>
        <v>5.0272814272901627</v>
      </c>
      <c r="AB100"/>
    </row>
    <row r="101" spans="1:28">
      <c r="A101"/>
      <c r="B101"/>
      <c r="C101"/>
      <c r="D101"/>
      <c r="E101" s="731">
        <f t="shared" ref="E101:E120" si="73">E100+1</f>
        <v>2000</v>
      </c>
      <c r="F101">
        <f t="array" aca="1" ref="F101:Z101" ca="1">TRANSPOSE(G55:G94)</f>
        <v>0</v>
      </c>
      <c r="G101">
        <f ca="1"/>
        <v>139.55526528060378</v>
      </c>
      <c r="H101">
        <f ca="1"/>
        <v>277.71961814419114</v>
      </c>
      <c r="I101">
        <f ca="1"/>
        <v>274.95626177253882</v>
      </c>
      <c r="J101">
        <f ca="1"/>
        <v>272.2204012561948</v>
      </c>
      <c r="K101">
        <f ca="1"/>
        <v>258.80782703982982</v>
      </c>
      <c r="L101">
        <f ca="1"/>
        <v>206.33755245166429</v>
      </c>
      <c r="M101">
        <f ca="1"/>
        <v>161.0751716759552</v>
      </c>
      <c r="N101">
        <f ca="1"/>
        <v>125.74158519456248</v>
      </c>
      <c r="O101">
        <f ca="1"/>
        <v>98.15880425723995</v>
      </c>
      <c r="P101">
        <f ca="1"/>
        <v>76.626605576050977</v>
      </c>
      <c r="Q101">
        <f ca="1"/>
        <v>59.817728287726233</v>
      </c>
      <c r="R101">
        <f ca="1"/>
        <v>46.696060599382328</v>
      </c>
      <c r="S101">
        <f ca="1"/>
        <v>36.452773081130182</v>
      </c>
      <c r="T101">
        <f ca="1"/>
        <v>28.45646181386758</v>
      </c>
      <c r="U101">
        <f ca="1"/>
        <v>22.214228178521818</v>
      </c>
      <c r="V101">
        <f ca="1"/>
        <v>17.341296215784318</v>
      </c>
      <c r="W101">
        <f ca="1"/>
        <v>13.537294747621793</v>
      </c>
      <c r="X101">
        <f ca="1"/>
        <v>10.567742272759519</v>
      </c>
      <c r="Y101">
        <f ca="1"/>
        <v>8.2495933512186959</v>
      </c>
      <c r="Z101">
        <f ca="1"/>
        <v>6.4399555462191014</v>
      </c>
      <c r="AB101"/>
    </row>
    <row r="102" spans="1:28">
      <c r="A102"/>
      <c r="B102"/>
      <c r="C102"/>
      <c r="D102"/>
      <c r="E102" s="731">
        <f t="shared" si="73"/>
        <v>2001</v>
      </c>
      <c r="F102">
        <f t="array" aca="1" ref="F102:Z102" ca="1">TRANSPOSE(H55:H94)</f>
        <v>0</v>
      </c>
      <c r="G102">
        <f ca="1"/>
        <v>0</v>
      </c>
      <c r="H102">
        <f ca="1"/>
        <v>139.55526528060378</v>
      </c>
      <c r="I102">
        <f ca="1"/>
        <v>277.71961814419114</v>
      </c>
      <c r="J102">
        <f ca="1"/>
        <v>274.95626177253882</v>
      </c>
      <c r="K102">
        <f ca="1"/>
        <v>272.2204012561948</v>
      </c>
      <c r="L102">
        <f ca="1"/>
        <v>258.80782703982982</v>
      </c>
      <c r="M102">
        <f ca="1"/>
        <v>206.33755245166429</v>
      </c>
      <c r="N102">
        <f ca="1"/>
        <v>161.0751716759552</v>
      </c>
      <c r="O102">
        <f ca="1"/>
        <v>125.74158519456248</v>
      </c>
      <c r="P102">
        <f ca="1"/>
        <v>98.15880425723995</v>
      </c>
      <c r="Q102">
        <f ca="1"/>
        <v>76.626605576050977</v>
      </c>
      <c r="R102">
        <f ca="1"/>
        <v>59.817728287726233</v>
      </c>
      <c r="S102">
        <f ca="1"/>
        <v>46.696060599382328</v>
      </c>
      <c r="T102">
        <f ca="1"/>
        <v>36.452773081130182</v>
      </c>
      <c r="U102">
        <f ca="1"/>
        <v>28.45646181386758</v>
      </c>
      <c r="V102">
        <f ca="1"/>
        <v>22.214228178521818</v>
      </c>
      <c r="W102">
        <f ca="1"/>
        <v>17.341296215784318</v>
      </c>
      <c r="X102">
        <f ca="1"/>
        <v>13.537294747621793</v>
      </c>
      <c r="Y102">
        <f ca="1"/>
        <v>10.567742272759519</v>
      </c>
      <c r="Z102">
        <f ca="1"/>
        <v>8.2495933512186959</v>
      </c>
      <c r="AB102"/>
    </row>
    <row r="103" spans="1:28">
      <c r="A103"/>
      <c r="B103"/>
      <c r="C103"/>
      <c r="D103"/>
      <c r="E103" s="731">
        <f t="shared" si="73"/>
        <v>2002</v>
      </c>
      <c r="F103">
        <f t="array" aca="1" ref="F103:Z103" ca="1">TRANSPOSE(I55:I94)</f>
        <v>0</v>
      </c>
      <c r="G103">
        <f ca="1"/>
        <v>0</v>
      </c>
      <c r="H103">
        <f ca="1"/>
        <v>0</v>
      </c>
      <c r="I103">
        <f ca="1"/>
        <v>139.55526528060378</v>
      </c>
      <c r="J103">
        <f ca="1"/>
        <v>277.71961814419114</v>
      </c>
      <c r="K103">
        <f ca="1"/>
        <v>274.95626177253882</v>
      </c>
      <c r="L103">
        <f ca="1"/>
        <v>272.2204012561948</v>
      </c>
      <c r="M103">
        <f ca="1"/>
        <v>258.80782703982982</v>
      </c>
      <c r="N103">
        <f ca="1"/>
        <v>206.33755245166429</v>
      </c>
      <c r="O103">
        <f ca="1"/>
        <v>161.0751716759552</v>
      </c>
      <c r="P103">
        <f ca="1"/>
        <v>125.74158519456248</v>
      </c>
      <c r="Q103">
        <f ca="1"/>
        <v>98.15880425723995</v>
      </c>
      <c r="R103">
        <f ca="1"/>
        <v>76.626605576050977</v>
      </c>
      <c r="S103">
        <f ca="1"/>
        <v>59.817728287726233</v>
      </c>
      <c r="T103">
        <f ca="1"/>
        <v>46.696060599382328</v>
      </c>
      <c r="U103">
        <f ca="1"/>
        <v>36.452773081130182</v>
      </c>
      <c r="V103">
        <f ca="1"/>
        <v>28.45646181386758</v>
      </c>
      <c r="W103">
        <f ca="1"/>
        <v>22.214228178521818</v>
      </c>
      <c r="X103">
        <f ca="1"/>
        <v>17.341296215784318</v>
      </c>
      <c r="Y103">
        <f ca="1"/>
        <v>13.537294747621793</v>
      </c>
      <c r="Z103">
        <f ca="1"/>
        <v>10.567742272759519</v>
      </c>
      <c r="AB103"/>
    </row>
    <row r="104" spans="1:28">
      <c r="A104"/>
      <c r="B104"/>
      <c r="C104"/>
      <c r="D104"/>
      <c r="E104" s="731">
        <f t="shared" si="73"/>
        <v>2003</v>
      </c>
      <c r="F104">
        <f t="array" aca="1" ref="F104:Z104" ca="1">TRANSPOSE(J55:J94)</f>
        <v>0</v>
      </c>
      <c r="G104">
        <f ca="1"/>
        <v>0</v>
      </c>
      <c r="H104">
        <f ca="1"/>
        <v>0</v>
      </c>
      <c r="I104">
        <f ca="1"/>
        <v>0</v>
      </c>
      <c r="J104">
        <f ca="1"/>
        <v>139.55526528060378</v>
      </c>
      <c r="K104">
        <f ca="1"/>
        <v>277.71961814419114</v>
      </c>
      <c r="L104">
        <f ca="1"/>
        <v>274.95626177253882</v>
      </c>
      <c r="M104">
        <f ca="1"/>
        <v>272.2204012561948</v>
      </c>
      <c r="N104">
        <f ca="1"/>
        <v>258.80782703983004</v>
      </c>
      <c r="O104">
        <f ca="1"/>
        <v>206.33755245166427</v>
      </c>
      <c r="P104">
        <f ca="1"/>
        <v>161.07517167595518</v>
      </c>
      <c r="Q104">
        <f ca="1"/>
        <v>125.74158519456245</v>
      </c>
      <c r="R104">
        <f ca="1"/>
        <v>98.158804257239922</v>
      </c>
      <c r="S104">
        <f ca="1"/>
        <v>76.626605576050963</v>
      </c>
      <c r="T104">
        <f ca="1"/>
        <v>59.817728287726219</v>
      </c>
      <c r="U104">
        <f ca="1"/>
        <v>46.696060599382328</v>
      </c>
      <c r="V104">
        <f ca="1"/>
        <v>36.452773081130182</v>
      </c>
      <c r="W104">
        <f ca="1"/>
        <v>28.45646181386758</v>
      </c>
      <c r="X104">
        <f ca="1"/>
        <v>22.214228178521818</v>
      </c>
      <c r="Y104">
        <f ca="1"/>
        <v>17.341296215784318</v>
      </c>
      <c r="Z104">
        <f ca="1"/>
        <v>13.537294747621793</v>
      </c>
      <c r="AB104"/>
    </row>
    <row r="105" spans="1:28">
      <c r="A105"/>
      <c r="B105"/>
      <c r="C105"/>
      <c r="D105"/>
      <c r="E105" s="731">
        <f t="shared" si="73"/>
        <v>2004</v>
      </c>
      <c r="F105">
        <f t="array" aca="1" ref="F105:Z105" ca="1">TRANSPOSE(K55:K93)</f>
        <v>0</v>
      </c>
      <c r="G105">
        <f ca="1"/>
        <v>0</v>
      </c>
      <c r="H105">
        <f ca="1"/>
        <v>0</v>
      </c>
      <c r="I105">
        <f ca="1"/>
        <v>0</v>
      </c>
      <c r="J105">
        <f ca="1"/>
        <v>0</v>
      </c>
      <c r="K105">
        <f ca="1"/>
        <v>139.55526528060378</v>
      </c>
      <c r="L105">
        <f ca="1"/>
        <v>277.71961814419114</v>
      </c>
      <c r="M105">
        <f ca="1"/>
        <v>274.95626177253882</v>
      </c>
      <c r="N105">
        <f ca="1"/>
        <v>272.2204012561948</v>
      </c>
      <c r="O105">
        <f ca="1"/>
        <v>258.80782703983004</v>
      </c>
      <c r="P105">
        <f ca="1"/>
        <v>206.33755245166427</v>
      </c>
      <c r="Q105">
        <f ca="1"/>
        <v>161.07517167595518</v>
      </c>
      <c r="R105">
        <f ca="1"/>
        <v>125.74158519456245</v>
      </c>
      <c r="S105">
        <f ca="1"/>
        <v>98.158804257239922</v>
      </c>
      <c r="T105">
        <f ca="1"/>
        <v>76.626605576050963</v>
      </c>
      <c r="U105">
        <f ca="1"/>
        <v>59.817728287726219</v>
      </c>
      <c r="V105">
        <f ca="1"/>
        <v>46.696060599382328</v>
      </c>
      <c r="W105">
        <f ca="1"/>
        <v>36.452773081130182</v>
      </c>
      <c r="X105">
        <f ca="1"/>
        <v>28.45646181386758</v>
      </c>
      <c r="Y105">
        <f ca="1"/>
        <v>22.214228178521818</v>
      </c>
      <c r="Z105">
        <f ca="1"/>
        <v>17.341296215784318</v>
      </c>
      <c r="AB105"/>
    </row>
    <row r="106" spans="1:28">
      <c r="A106"/>
      <c r="B106"/>
      <c r="C106"/>
      <c r="D106"/>
      <c r="E106" s="731">
        <f t="shared" si="73"/>
        <v>2005</v>
      </c>
      <c r="F106">
        <f t="array" aca="1" ref="F106:Z106" ca="1">TRANSPOSE(L55:L94)</f>
        <v>0</v>
      </c>
      <c r="G106">
        <f ca="1"/>
        <v>0</v>
      </c>
      <c r="H106">
        <f ca="1"/>
        <v>0</v>
      </c>
      <c r="I106">
        <f ca="1"/>
        <v>0</v>
      </c>
      <c r="J106">
        <f ca="1"/>
        <v>0</v>
      </c>
      <c r="K106">
        <f ca="1"/>
        <v>0</v>
      </c>
      <c r="L106">
        <f ca="1"/>
        <v>139.55526528060378</v>
      </c>
      <c r="M106">
        <f ca="1"/>
        <v>277.71961814419114</v>
      </c>
      <c r="N106">
        <f ca="1"/>
        <v>274.95626177253882</v>
      </c>
      <c r="O106">
        <f ca="1"/>
        <v>272.2204012561948</v>
      </c>
      <c r="P106">
        <f ca="1"/>
        <v>258.80782703983004</v>
      </c>
      <c r="Q106">
        <f ca="1"/>
        <v>206.33755245166427</v>
      </c>
      <c r="R106">
        <f ca="1"/>
        <v>161.07517167595518</v>
      </c>
      <c r="S106">
        <f ca="1"/>
        <v>125.74158519456245</v>
      </c>
      <c r="T106">
        <f ca="1"/>
        <v>98.158804257239922</v>
      </c>
      <c r="U106">
        <f ca="1"/>
        <v>76.626605576050963</v>
      </c>
      <c r="V106">
        <f ca="1"/>
        <v>59.817728287726219</v>
      </c>
      <c r="W106">
        <f ca="1"/>
        <v>46.696060599382328</v>
      </c>
      <c r="X106">
        <f ca="1"/>
        <v>36.452773081130182</v>
      </c>
      <c r="Y106">
        <f ca="1"/>
        <v>28.45646181386758</v>
      </c>
      <c r="Z106">
        <f ca="1"/>
        <v>22.214228178521818</v>
      </c>
      <c r="AB106"/>
    </row>
    <row r="107" spans="1:28">
      <c r="A107"/>
      <c r="B107"/>
      <c r="C107"/>
      <c r="D107"/>
      <c r="E107" s="731">
        <f t="shared" si="73"/>
        <v>2006</v>
      </c>
      <c r="F107">
        <f t="array" aca="1" ref="F107:Z107" ca="1">TRANSPOSE(M55:M94)</f>
        <v>0</v>
      </c>
      <c r="G107">
        <f ca="1"/>
        <v>0</v>
      </c>
      <c r="H107">
        <f ca="1"/>
        <v>0</v>
      </c>
      <c r="I107">
        <f ca="1"/>
        <v>0</v>
      </c>
      <c r="J107">
        <f ca="1"/>
        <v>0</v>
      </c>
      <c r="K107">
        <f ca="1"/>
        <v>0</v>
      </c>
      <c r="L107">
        <f ca="1"/>
        <v>0</v>
      </c>
      <c r="M107">
        <f ca="1"/>
        <v>139.55526528060378</v>
      </c>
      <c r="N107">
        <f ca="1"/>
        <v>277.71961814419114</v>
      </c>
      <c r="O107">
        <f ca="1"/>
        <v>274.95626177253882</v>
      </c>
      <c r="P107">
        <f ca="1"/>
        <v>272.2204012561948</v>
      </c>
      <c r="Q107">
        <f ca="1"/>
        <v>258.80782703983004</v>
      </c>
      <c r="R107">
        <f ca="1"/>
        <v>206.33755245166427</v>
      </c>
      <c r="S107">
        <f ca="1"/>
        <v>161.07517167595518</v>
      </c>
      <c r="T107">
        <f ca="1"/>
        <v>125.74158519456245</v>
      </c>
      <c r="U107">
        <f ca="1"/>
        <v>98.158804257239922</v>
      </c>
      <c r="V107">
        <f ca="1"/>
        <v>76.626605576050963</v>
      </c>
      <c r="W107">
        <f ca="1"/>
        <v>59.817728287726219</v>
      </c>
      <c r="X107">
        <f ca="1"/>
        <v>46.696060599382328</v>
      </c>
      <c r="Y107">
        <f ca="1"/>
        <v>36.452773081130182</v>
      </c>
      <c r="Z107">
        <f ca="1"/>
        <v>28.45646181386758</v>
      </c>
      <c r="AB107"/>
    </row>
    <row r="108" spans="1:28">
      <c r="A108"/>
      <c r="B108"/>
      <c r="C108"/>
      <c r="D108"/>
      <c r="E108" s="731">
        <f t="shared" si="73"/>
        <v>2007</v>
      </c>
      <c r="F108">
        <f t="array" aca="1" ref="F108:Z108" ca="1">TRANSPOSE(N55:N94)</f>
        <v>0</v>
      </c>
      <c r="G108">
        <f ca="1"/>
        <v>0</v>
      </c>
      <c r="H108">
        <f ca="1"/>
        <v>0</v>
      </c>
      <c r="I108">
        <f ca="1"/>
        <v>0</v>
      </c>
      <c r="J108">
        <f ca="1"/>
        <v>0</v>
      </c>
      <c r="K108">
        <f ca="1"/>
        <v>0</v>
      </c>
      <c r="L108">
        <f ca="1"/>
        <v>0</v>
      </c>
      <c r="M108">
        <f ca="1"/>
        <v>0</v>
      </c>
      <c r="N108">
        <f ca="1"/>
        <v>139.55526528060378</v>
      </c>
      <c r="O108">
        <f ca="1"/>
        <v>277.71961814419114</v>
      </c>
      <c r="P108">
        <f ca="1"/>
        <v>274.95626177253882</v>
      </c>
      <c r="Q108">
        <f ca="1"/>
        <v>272.2204012561948</v>
      </c>
      <c r="R108">
        <f ca="1"/>
        <v>258.80782703983004</v>
      </c>
      <c r="S108">
        <f ca="1"/>
        <v>206.33755245166427</v>
      </c>
      <c r="T108">
        <f ca="1"/>
        <v>161.07517167595518</v>
      </c>
      <c r="U108">
        <f ca="1"/>
        <v>125.74158519456245</v>
      </c>
      <c r="V108">
        <f ca="1"/>
        <v>98.158804257239922</v>
      </c>
      <c r="W108">
        <f ca="1"/>
        <v>76.626605576050963</v>
      </c>
      <c r="X108">
        <f ca="1"/>
        <v>59.817728287726219</v>
      </c>
      <c r="Y108">
        <f ca="1"/>
        <v>46.696060599382328</v>
      </c>
      <c r="Z108">
        <f ca="1"/>
        <v>36.452773081130182</v>
      </c>
      <c r="AB108"/>
    </row>
    <row r="109" spans="1:28">
      <c r="A109"/>
      <c r="B109"/>
      <c r="C109"/>
      <c r="D109"/>
      <c r="E109" s="731">
        <f t="shared" si="73"/>
        <v>2008</v>
      </c>
      <c r="F109">
        <f t="array" aca="1" ref="F109:Z109" ca="1">TRANSPOSE(O55:O94)</f>
        <v>0</v>
      </c>
      <c r="G109">
        <f ca="1"/>
        <v>0</v>
      </c>
      <c r="H109">
        <f ca="1"/>
        <v>0</v>
      </c>
      <c r="I109">
        <f ca="1"/>
        <v>0</v>
      </c>
      <c r="J109">
        <f ca="1"/>
        <v>0</v>
      </c>
      <c r="K109">
        <f ca="1"/>
        <v>0</v>
      </c>
      <c r="L109">
        <f ca="1"/>
        <v>0</v>
      </c>
      <c r="M109">
        <f ca="1"/>
        <v>0</v>
      </c>
      <c r="N109">
        <f ca="1"/>
        <v>0</v>
      </c>
      <c r="O109">
        <f ca="1"/>
        <v>139.55526528060378</v>
      </c>
      <c r="P109">
        <f ca="1"/>
        <v>277.71961814419114</v>
      </c>
      <c r="Q109">
        <f ca="1"/>
        <v>274.95626177253882</v>
      </c>
      <c r="R109">
        <f ca="1"/>
        <v>272.2204012561948</v>
      </c>
      <c r="S109">
        <f ca="1"/>
        <v>258.80782703983004</v>
      </c>
      <c r="T109">
        <f ca="1"/>
        <v>206.33755245166427</v>
      </c>
      <c r="U109">
        <f ca="1"/>
        <v>161.07517167595518</v>
      </c>
      <c r="V109">
        <f ca="1"/>
        <v>125.74158519456245</v>
      </c>
      <c r="W109">
        <f ca="1"/>
        <v>98.158804257239922</v>
      </c>
      <c r="X109">
        <f ca="1"/>
        <v>76.626605576050963</v>
      </c>
      <c r="Y109">
        <f ca="1"/>
        <v>59.817728287726219</v>
      </c>
      <c r="Z109">
        <f ca="1"/>
        <v>46.696060599382328</v>
      </c>
      <c r="AB109"/>
    </row>
    <row r="110" spans="1:28">
      <c r="A110"/>
      <c r="B110"/>
      <c r="C110"/>
      <c r="D110"/>
      <c r="E110" s="731">
        <f t="shared" si="73"/>
        <v>2009</v>
      </c>
      <c r="F110">
        <f t="array" aca="1" ref="F110:Z110" ca="1">TRANSPOSE(P55:P94)</f>
        <v>0</v>
      </c>
      <c r="G110">
        <f ca="1"/>
        <v>0</v>
      </c>
      <c r="H110">
        <f ca="1"/>
        <v>0</v>
      </c>
      <c r="I110">
        <f ca="1"/>
        <v>0</v>
      </c>
      <c r="J110">
        <f ca="1"/>
        <v>0</v>
      </c>
      <c r="K110">
        <f ca="1"/>
        <v>0</v>
      </c>
      <c r="L110">
        <f ca="1"/>
        <v>0</v>
      </c>
      <c r="M110">
        <f ca="1"/>
        <v>0</v>
      </c>
      <c r="N110">
        <f ca="1"/>
        <v>0</v>
      </c>
      <c r="O110">
        <f ca="1"/>
        <v>0</v>
      </c>
      <c r="P110">
        <f ca="1"/>
        <v>139.55526528060378</v>
      </c>
      <c r="Q110">
        <f ca="1"/>
        <v>277.71961814419114</v>
      </c>
      <c r="R110">
        <f ca="1"/>
        <v>274.95626177253882</v>
      </c>
      <c r="S110">
        <f ca="1"/>
        <v>272.2204012561948</v>
      </c>
      <c r="T110">
        <f ca="1"/>
        <v>258.80782703983004</v>
      </c>
      <c r="U110">
        <f ca="1"/>
        <v>206.33755245166427</v>
      </c>
      <c r="V110">
        <f ca="1"/>
        <v>161.07517167595518</v>
      </c>
      <c r="W110">
        <f ca="1"/>
        <v>125.74158519456245</v>
      </c>
      <c r="X110">
        <f ca="1"/>
        <v>98.158804257239922</v>
      </c>
      <c r="Y110">
        <f ca="1"/>
        <v>76.626605576050963</v>
      </c>
      <c r="Z110">
        <f ca="1"/>
        <v>59.817728287726219</v>
      </c>
      <c r="AB110"/>
    </row>
    <row r="111" spans="1:28">
      <c r="A111"/>
      <c r="B111"/>
      <c r="C111"/>
      <c r="D111"/>
      <c r="E111" s="731">
        <f t="shared" si="73"/>
        <v>2010</v>
      </c>
      <c r="F111">
        <f t="array" aca="1" ref="F111:Z111" ca="1">TRANSPOSE(Q55:Q94)</f>
        <v>0</v>
      </c>
      <c r="G111">
        <f ca="1"/>
        <v>0</v>
      </c>
      <c r="H111">
        <f ca="1"/>
        <v>0</v>
      </c>
      <c r="I111">
        <f ca="1"/>
        <v>0</v>
      </c>
      <c r="J111">
        <f ca="1"/>
        <v>0</v>
      </c>
      <c r="K111">
        <f ca="1"/>
        <v>0</v>
      </c>
      <c r="L111">
        <f ca="1"/>
        <v>0</v>
      </c>
      <c r="M111">
        <f ca="1"/>
        <v>0</v>
      </c>
      <c r="N111">
        <f ca="1"/>
        <v>0</v>
      </c>
      <c r="O111">
        <f ca="1"/>
        <v>0</v>
      </c>
      <c r="P111">
        <f ca="1"/>
        <v>0</v>
      </c>
      <c r="Q111">
        <f ca="1"/>
        <v>139.55526528060378</v>
      </c>
      <c r="R111">
        <f ca="1"/>
        <v>277.71961814419114</v>
      </c>
      <c r="S111">
        <f ca="1"/>
        <v>274.95626177253882</v>
      </c>
      <c r="T111">
        <f ca="1"/>
        <v>272.2204012561948</v>
      </c>
      <c r="U111">
        <f ca="1"/>
        <v>258.80782703983004</v>
      </c>
      <c r="V111">
        <f ca="1"/>
        <v>206.33755245166427</v>
      </c>
      <c r="W111">
        <f ca="1"/>
        <v>161.07517167595518</v>
      </c>
      <c r="X111">
        <f ca="1"/>
        <v>125.74158519456245</v>
      </c>
      <c r="Y111">
        <f ca="1"/>
        <v>98.158804257239922</v>
      </c>
      <c r="Z111">
        <f ca="1"/>
        <v>76.626605576050963</v>
      </c>
      <c r="AB111"/>
    </row>
    <row r="112" spans="1:28">
      <c r="A112"/>
      <c r="B112"/>
      <c r="C112"/>
      <c r="D112"/>
      <c r="E112" s="731">
        <f t="shared" si="73"/>
        <v>2011</v>
      </c>
      <c r="F112">
        <f t="array" aca="1" ref="F112:Z112" ca="1">TRANSPOSE(R55:R94)</f>
        <v>0</v>
      </c>
      <c r="G112">
        <f ca="1"/>
        <v>0</v>
      </c>
      <c r="H112">
        <f ca="1"/>
        <v>0</v>
      </c>
      <c r="I112">
        <f ca="1"/>
        <v>0</v>
      </c>
      <c r="J112">
        <f ca="1"/>
        <v>0</v>
      </c>
      <c r="K112">
        <f ca="1"/>
        <v>0</v>
      </c>
      <c r="L112">
        <f ca="1"/>
        <v>0</v>
      </c>
      <c r="M112">
        <f ca="1"/>
        <v>0</v>
      </c>
      <c r="N112">
        <f ca="1"/>
        <v>0</v>
      </c>
      <c r="O112">
        <f ca="1"/>
        <v>0</v>
      </c>
      <c r="P112">
        <f ca="1"/>
        <v>0</v>
      </c>
      <c r="Q112">
        <f ca="1"/>
        <v>0</v>
      </c>
      <c r="R112">
        <f ca="1"/>
        <v>139.55526528060378</v>
      </c>
      <c r="S112">
        <f ca="1"/>
        <v>277.71961814419114</v>
      </c>
      <c r="T112">
        <f ca="1"/>
        <v>274.95626177253882</v>
      </c>
      <c r="U112">
        <f ca="1"/>
        <v>272.2204012561948</v>
      </c>
      <c r="V112">
        <f ca="1"/>
        <v>258.80782703983004</v>
      </c>
      <c r="W112">
        <f ca="1"/>
        <v>206.33755245166427</v>
      </c>
      <c r="X112">
        <f ca="1"/>
        <v>161.07517167595518</v>
      </c>
      <c r="Y112">
        <f ca="1"/>
        <v>125.74158519456245</v>
      </c>
      <c r="Z112">
        <f ca="1"/>
        <v>98.158804257239922</v>
      </c>
      <c r="AB112"/>
    </row>
    <row r="113" spans="1:28">
      <c r="A113"/>
      <c r="B113"/>
      <c r="C113"/>
      <c r="D113"/>
      <c r="E113" s="731">
        <f t="shared" si="73"/>
        <v>2012</v>
      </c>
      <c r="F113">
        <f t="array" aca="1" ref="F113:Z113" ca="1">TRANSPOSE(S55:S94)</f>
        <v>0</v>
      </c>
      <c r="G113">
        <f ca="1"/>
        <v>0</v>
      </c>
      <c r="H113">
        <f ca="1"/>
        <v>0</v>
      </c>
      <c r="I113">
        <f ca="1"/>
        <v>0</v>
      </c>
      <c r="J113">
        <f ca="1"/>
        <v>0</v>
      </c>
      <c r="K113">
        <f ca="1"/>
        <v>0</v>
      </c>
      <c r="L113">
        <f ca="1"/>
        <v>0</v>
      </c>
      <c r="M113">
        <f ca="1"/>
        <v>0</v>
      </c>
      <c r="N113">
        <f ca="1"/>
        <v>0</v>
      </c>
      <c r="O113">
        <f ca="1"/>
        <v>0</v>
      </c>
      <c r="P113">
        <f ca="1"/>
        <v>0</v>
      </c>
      <c r="Q113">
        <f ca="1"/>
        <v>0</v>
      </c>
      <c r="R113">
        <f ca="1"/>
        <v>0</v>
      </c>
      <c r="S113">
        <f ca="1"/>
        <v>139.55526528060378</v>
      </c>
      <c r="T113">
        <f ca="1"/>
        <v>277.71961814419114</v>
      </c>
      <c r="U113">
        <f ca="1"/>
        <v>274.95626177253882</v>
      </c>
      <c r="V113">
        <f ca="1"/>
        <v>272.2204012561948</v>
      </c>
      <c r="W113">
        <f ca="1"/>
        <v>258.80782703983004</v>
      </c>
      <c r="X113">
        <f ca="1"/>
        <v>206.33755245166427</v>
      </c>
      <c r="Y113">
        <f ca="1"/>
        <v>161.07517167595518</v>
      </c>
      <c r="Z113">
        <f ca="1"/>
        <v>125.74158519456245</v>
      </c>
      <c r="AB113"/>
    </row>
    <row r="114" spans="1:28">
      <c r="A114"/>
      <c r="B114"/>
      <c r="C114"/>
      <c r="D114"/>
      <c r="E114" s="731">
        <f t="shared" si="73"/>
        <v>2013</v>
      </c>
      <c r="F114">
        <f t="array" aca="1" ref="F114:Z114" ca="1">TRANSPOSE(T55:T94)</f>
        <v>0</v>
      </c>
      <c r="G114">
        <f ca="1"/>
        <v>0</v>
      </c>
      <c r="H114">
        <f ca="1"/>
        <v>0</v>
      </c>
      <c r="I114">
        <f ca="1"/>
        <v>0</v>
      </c>
      <c r="J114">
        <f ca="1"/>
        <v>0</v>
      </c>
      <c r="K114">
        <f ca="1"/>
        <v>0</v>
      </c>
      <c r="L114">
        <f ca="1"/>
        <v>0</v>
      </c>
      <c r="M114">
        <f ca="1"/>
        <v>0</v>
      </c>
      <c r="N114">
        <f ca="1"/>
        <v>0</v>
      </c>
      <c r="O114">
        <f ca="1"/>
        <v>0</v>
      </c>
      <c r="P114">
        <f ca="1"/>
        <v>0</v>
      </c>
      <c r="Q114">
        <f ca="1"/>
        <v>0</v>
      </c>
      <c r="R114">
        <f ca="1"/>
        <v>0</v>
      </c>
      <c r="S114">
        <f ca="1"/>
        <v>0</v>
      </c>
      <c r="T114">
        <f ca="1"/>
        <v>139.55526528060378</v>
      </c>
      <c r="U114">
        <f ca="1"/>
        <v>277.71961814419114</v>
      </c>
      <c r="V114">
        <f ca="1"/>
        <v>274.95626177253882</v>
      </c>
      <c r="W114">
        <f ca="1"/>
        <v>272.2204012561948</v>
      </c>
      <c r="X114">
        <f ca="1"/>
        <v>258.80782703983004</v>
      </c>
      <c r="Y114">
        <f ca="1"/>
        <v>206.33755245166427</v>
      </c>
      <c r="Z114">
        <f ca="1"/>
        <v>161.07517167595518</v>
      </c>
      <c r="AB114"/>
    </row>
    <row r="115" spans="1:28">
      <c r="A115"/>
      <c r="B115"/>
      <c r="C115"/>
      <c r="D115"/>
      <c r="E115" s="731">
        <f t="shared" si="73"/>
        <v>2014</v>
      </c>
      <c r="F115">
        <f t="array" aca="1" ref="F115:Z115" ca="1">TRANSPOSE(U55:U94)</f>
        <v>0</v>
      </c>
      <c r="G115">
        <f ca="1"/>
        <v>0</v>
      </c>
      <c r="H115">
        <f ca="1"/>
        <v>0</v>
      </c>
      <c r="I115">
        <f ca="1"/>
        <v>0</v>
      </c>
      <c r="J115">
        <f ca="1"/>
        <v>0</v>
      </c>
      <c r="K115">
        <f ca="1"/>
        <v>0</v>
      </c>
      <c r="L115">
        <f ca="1"/>
        <v>0</v>
      </c>
      <c r="M115">
        <f ca="1"/>
        <v>0</v>
      </c>
      <c r="N115">
        <f ca="1"/>
        <v>0</v>
      </c>
      <c r="O115">
        <f ca="1"/>
        <v>0</v>
      </c>
      <c r="P115">
        <f ca="1"/>
        <v>0</v>
      </c>
      <c r="Q115">
        <f ca="1"/>
        <v>0</v>
      </c>
      <c r="R115">
        <f ca="1"/>
        <v>0</v>
      </c>
      <c r="S115">
        <f ca="1"/>
        <v>0</v>
      </c>
      <c r="T115">
        <f ca="1"/>
        <v>0</v>
      </c>
      <c r="U115">
        <f ca="1"/>
        <v>139.55526528060378</v>
      </c>
      <c r="V115">
        <f ca="1"/>
        <v>277.71961814419114</v>
      </c>
      <c r="W115">
        <f ca="1"/>
        <v>274.95626177253882</v>
      </c>
      <c r="X115">
        <f ca="1"/>
        <v>272.2204012561948</v>
      </c>
      <c r="Y115">
        <f ca="1"/>
        <v>258.80782703983004</v>
      </c>
      <c r="Z115">
        <f ca="1"/>
        <v>206.33755245166427</v>
      </c>
      <c r="AB115"/>
    </row>
    <row r="116" spans="1:28">
      <c r="A116"/>
      <c r="B116"/>
      <c r="C116"/>
      <c r="D116"/>
      <c r="E116" s="731">
        <f t="shared" si="73"/>
        <v>2015</v>
      </c>
      <c r="F116">
        <f t="array" aca="1" ref="F116:Z116" ca="1">TRANSPOSE(V55:V94)</f>
        <v>0</v>
      </c>
      <c r="G116">
        <f ca="1"/>
        <v>0</v>
      </c>
      <c r="H116">
        <f ca="1"/>
        <v>0</v>
      </c>
      <c r="I116">
        <f ca="1"/>
        <v>0</v>
      </c>
      <c r="J116">
        <f ca="1"/>
        <v>0</v>
      </c>
      <c r="K116">
        <f ca="1"/>
        <v>0</v>
      </c>
      <c r="L116">
        <f ca="1"/>
        <v>0</v>
      </c>
      <c r="M116">
        <f ca="1"/>
        <v>0</v>
      </c>
      <c r="N116">
        <f ca="1"/>
        <v>0</v>
      </c>
      <c r="O116">
        <f ca="1"/>
        <v>0</v>
      </c>
      <c r="P116">
        <f ca="1"/>
        <v>0</v>
      </c>
      <c r="Q116">
        <f ca="1"/>
        <v>0</v>
      </c>
      <c r="R116">
        <f ca="1"/>
        <v>0</v>
      </c>
      <c r="S116">
        <f ca="1"/>
        <v>0</v>
      </c>
      <c r="T116">
        <f ca="1"/>
        <v>0</v>
      </c>
      <c r="U116">
        <f ca="1"/>
        <v>0</v>
      </c>
      <c r="V116">
        <f ca="1"/>
        <v>139.55526528060378</v>
      </c>
      <c r="W116">
        <f ca="1"/>
        <v>277.71961814419114</v>
      </c>
      <c r="X116">
        <f ca="1"/>
        <v>274.95626177253882</v>
      </c>
      <c r="Y116">
        <f ca="1"/>
        <v>272.2204012561948</v>
      </c>
      <c r="Z116">
        <f ca="1"/>
        <v>258.80782703983004</v>
      </c>
      <c r="AB116"/>
    </row>
    <row r="117" spans="1:28">
      <c r="A117"/>
      <c r="B117"/>
      <c r="C117"/>
      <c r="D117"/>
      <c r="E117" s="731">
        <f t="shared" si="73"/>
        <v>2016</v>
      </c>
      <c r="F117">
        <f t="array" aca="1" ref="F117:Z117" ca="1">TRANSPOSE(W55:W94)</f>
        <v>0</v>
      </c>
      <c r="G117">
        <f ca="1"/>
        <v>0</v>
      </c>
      <c r="H117">
        <f ca="1"/>
        <v>0</v>
      </c>
      <c r="I117">
        <f ca="1"/>
        <v>0</v>
      </c>
      <c r="J117">
        <f ca="1"/>
        <v>0</v>
      </c>
      <c r="K117">
        <f ca="1"/>
        <v>0</v>
      </c>
      <c r="L117">
        <f ca="1"/>
        <v>0</v>
      </c>
      <c r="M117">
        <f ca="1"/>
        <v>0</v>
      </c>
      <c r="N117">
        <f ca="1"/>
        <v>0</v>
      </c>
      <c r="O117">
        <f ca="1"/>
        <v>0</v>
      </c>
      <c r="P117">
        <f ca="1"/>
        <v>0</v>
      </c>
      <c r="Q117">
        <f ca="1"/>
        <v>0</v>
      </c>
      <c r="R117">
        <f ca="1"/>
        <v>0</v>
      </c>
      <c r="S117">
        <f ca="1"/>
        <v>0</v>
      </c>
      <c r="T117">
        <f ca="1"/>
        <v>0</v>
      </c>
      <c r="U117">
        <f ca="1"/>
        <v>0</v>
      </c>
      <c r="V117">
        <f ca="1"/>
        <v>0</v>
      </c>
      <c r="W117">
        <f ca="1"/>
        <v>139.55526528060378</v>
      </c>
      <c r="X117">
        <f ca="1"/>
        <v>277.71961814419114</v>
      </c>
      <c r="Y117">
        <f ca="1"/>
        <v>274.95626177253882</v>
      </c>
      <c r="Z117">
        <f ca="1"/>
        <v>272.2204012561948</v>
      </c>
      <c r="AB117"/>
    </row>
    <row r="118" spans="1:28">
      <c r="A118"/>
      <c r="B118"/>
      <c r="C118"/>
      <c r="D118"/>
      <c r="E118" s="731">
        <f t="shared" si="73"/>
        <v>2017</v>
      </c>
      <c r="F118">
        <f t="array" aca="1" ref="F118:Z118" ca="1">TRANSPOSE(X55:X94)</f>
        <v>0</v>
      </c>
      <c r="G118">
        <f ca="1"/>
        <v>0</v>
      </c>
      <c r="H118">
        <f ca="1"/>
        <v>0</v>
      </c>
      <c r="I118">
        <f ca="1"/>
        <v>0</v>
      </c>
      <c r="J118">
        <f ca="1"/>
        <v>0</v>
      </c>
      <c r="K118">
        <f ca="1"/>
        <v>0</v>
      </c>
      <c r="L118">
        <f ca="1"/>
        <v>0</v>
      </c>
      <c r="M118">
        <f ca="1"/>
        <v>0</v>
      </c>
      <c r="N118">
        <f ca="1"/>
        <v>0</v>
      </c>
      <c r="O118">
        <f ca="1"/>
        <v>0</v>
      </c>
      <c r="P118">
        <f ca="1"/>
        <v>0</v>
      </c>
      <c r="Q118">
        <f ca="1"/>
        <v>0</v>
      </c>
      <c r="R118">
        <f ca="1"/>
        <v>0</v>
      </c>
      <c r="S118">
        <f ca="1"/>
        <v>0</v>
      </c>
      <c r="T118">
        <f ca="1"/>
        <v>0</v>
      </c>
      <c r="U118">
        <f ca="1"/>
        <v>0</v>
      </c>
      <c r="V118">
        <f ca="1"/>
        <v>0</v>
      </c>
      <c r="W118">
        <f ca="1"/>
        <v>0</v>
      </c>
      <c r="X118">
        <f ca="1"/>
        <v>139.55526528060378</v>
      </c>
      <c r="Y118">
        <f ca="1"/>
        <v>277.71961814419114</v>
      </c>
      <c r="Z118">
        <f ca="1"/>
        <v>274.95626177253882</v>
      </c>
      <c r="AB118"/>
    </row>
    <row r="119" spans="1:28">
      <c r="A119"/>
      <c r="B119"/>
      <c r="C119"/>
      <c r="D119"/>
      <c r="E119" s="731">
        <f t="shared" si="73"/>
        <v>2018</v>
      </c>
      <c r="F119">
        <f t="array" aca="1" ref="F119:Z119" ca="1">TRANSPOSE(Y55:Y94)</f>
        <v>0</v>
      </c>
      <c r="G119">
        <f ca="1"/>
        <v>0</v>
      </c>
      <c r="H119">
        <f ca="1"/>
        <v>0</v>
      </c>
      <c r="I119">
        <f ca="1"/>
        <v>0</v>
      </c>
      <c r="J119">
        <f ca="1"/>
        <v>0</v>
      </c>
      <c r="K119">
        <f ca="1"/>
        <v>0</v>
      </c>
      <c r="L119">
        <f ca="1"/>
        <v>0</v>
      </c>
      <c r="M119">
        <f ca="1"/>
        <v>0</v>
      </c>
      <c r="N119">
        <f ca="1"/>
        <v>0</v>
      </c>
      <c r="O119">
        <f ca="1"/>
        <v>0</v>
      </c>
      <c r="P119">
        <f ca="1"/>
        <v>0</v>
      </c>
      <c r="Q119">
        <f ca="1"/>
        <v>0</v>
      </c>
      <c r="R119">
        <f ca="1"/>
        <v>0</v>
      </c>
      <c r="S119">
        <f ca="1"/>
        <v>0</v>
      </c>
      <c r="T119">
        <f ca="1"/>
        <v>0</v>
      </c>
      <c r="U119">
        <f ca="1"/>
        <v>0</v>
      </c>
      <c r="V119">
        <f ca="1"/>
        <v>0</v>
      </c>
      <c r="W119">
        <f ca="1"/>
        <v>0</v>
      </c>
      <c r="X119">
        <f ca="1"/>
        <v>0</v>
      </c>
      <c r="Y119">
        <f ca="1"/>
        <v>139.55526528060378</v>
      </c>
      <c r="Z119">
        <f ca="1"/>
        <v>277.71961814419114</v>
      </c>
      <c r="AB119"/>
    </row>
    <row r="120" spans="1:28">
      <c r="A120"/>
      <c r="B120"/>
      <c r="C120"/>
      <c r="D120"/>
      <c r="E120" s="731">
        <f t="shared" si="73"/>
        <v>2019</v>
      </c>
      <c r="F120">
        <f t="array" aca="1" ref="F120:Z120" ca="1">TRANSPOSE(Z55:Z94)</f>
        <v>0</v>
      </c>
      <c r="G120">
        <f ca="1"/>
        <v>0</v>
      </c>
      <c r="H120">
        <f ca="1"/>
        <v>0</v>
      </c>
      <c r="I120">
        <f ca="1"/>
        <v>0</v>
      </c>
      <c r="J120">
        <f ca="1"/>
        <v>0</v>
      </c>
      <c r="K120">
        <f ca="1"/>
        <v>0</v>
      </c>
      <c r="L120">
        <f ca="1"/>
        <v>0</v>
      </c>
      <c r="M120">
        <f ca="1"/>
        <v>0</v>
      </c>
      <c r="N120">
        <f ca="1"/>
        <v>0</v>
      </c>
      <c r="O120">
        <f ca="1"/>
        <v>0</v>
      </c>
      <c r="P120">
        <f ca="1"/>
        <v>0</v>
      </c>
      <c r="Q120">
        <f ca="1"/>
        <v>0</v>
      </c>
      <c r="R120">
        <f ca="1"/>
        <v>0</v>
      </c>
      <c r="S120">
        <f ca="1"/>
        <v>0</v>
      </c>
      <c r="T120">
        <f ca="1"/>
        <v>0</v>
      </c>
      <c r="U120">
        <f ca="1"/>
        <v>0</v>
      </c>
      <c r="V120">
        <f ca="1"/>
        <v>0</v>
      </c>
      <c r="W120">
        <f ca="1"/>
        <v>0</v>
      </c>
      <c r="X120">
        <f ca="1"/>
        <v>0</v>
      </c>
      <c r="Y120">
        <f ca="1"/>
        <v>0</v>
      </c>
      <c r="Z120">
        <f ca="1"/>
        <v>139.55526528060378</v>
      </c>
      <c r="AB120"/>
    </row>
    <row r="121" spans="1:28">
      <c r="A121"/>
      <c r="B121"/>
      <c r="C121"/>
      <c r="D121"/>
      <c r="E121" s="341" t="s">
        <v>146</v>
      </c>
      <c r="F121" s="205">
        <f ca="1">+AA55</f>
        <v>139.55526528060378</v>
      </c>
      <c r="G121" s="205">
        <f ca="1">+AA56</f>
        <v>417.27488342479489</v>
      </c>
      <c r="H121" s="205">
        <f ca="1">+AA57</f>
        <v>692.23114519733372</v>
      </c>
      <c r="I121" s="205">
        <f ca="1">+AA58</f>
        <v>964.45154645352852</v>
      </c>
      <c r="J121" s="205">
        <f ca="1">+AA59</f>
        <v>1223.2593734933585</v>
      </c>
      <c r="K121" s="205">
        <f ca="1">+AA60</f>
        <v>1429.5969259450228</v>
      </c>
      <c r="L121" s="205">
        <f ca="1">+AA61</f>
        <v>1590.6720976209781</v>
      </c>
      <c r="M121" s="205">
        <f ca="1">+AA62</f>
        <v>1716.4136828155401</v>
      </c>
      <c r="N121" s="205">
        <f ca="1">+AA63</f>
        <v>1814.5724870727804</v>
      </c>
      <c r="O121" s="205">
        <f ca="1">+AA64</f>
        <v>1891.1990926488315</v>
      </c>
      <c r="P121" s="205">
        <f ca="1">+AA65</f>
        <v>1951.0168209365579</v>
      </c>
      <c r="Q121" s="205">
        <f ca="1">+AA66</f>
        <v>1997.7128815359397</v>
      </c>
      <c r="R121" s="205">
        <f ca="1">+AA67</f>
        <v>2034.1656546170698</v>
      </c>
      <c r="S121" s="205">
        <f ca="1">+AA68</f>
        <v>2062.6221164309377</v>
      </c>
      <c r="T121" s="205">
        <f ca="1">+AA69</f>
        <v>2084.8363446094595</v>
      </c>
      <c r="U121" s="205">
        <f ca="1">+AA70</f>
        <v>2102.1776408252435</v>
      </c>
      <c r="V121" s="205">
        <f ca="1">+AA71</f>
        <v>2115.7149355728657</v>
      </c>
      <c r="W121" s="205">
        <f ca="1">+AA72</f>
        <v>2126.2826778456251</v>
      </c>
      <c r="X121" s="205">
        <f ca="1">+AA73</f>
        <v>2134.5322711968438</v>
      </c>
      <c r="Y121" s="205">
        <f ca="1">+AA74</f>
        <v>2140.9722267430629</v>
      </c>
      <c r="Z121" s="205">
        <f ca="1">+AA75</f>
        <v>2145.9995081703528</v>
      </c>
      <c r="AA121" s="516">
        <f ca="1">SUM(F121:Z121)</f>
        <v>34775.259578436729</v>
      </c>
      <c r="AB121" s="231" t="s">
        <v>147</v>
      </c>
    </row>
    <row r="122" spans="1:28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s="400">
        <f ca="1">+AA95-AA121</f>
        <v>10345.582777581243</v>
      </c>
      <c r="AB122" s="231" t="s">
        <v>148</v>
      </c>
    </row>
    <row r="123" spans="1:28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s="591">
        <f ca="1">SUM(AA76:AA94)-AA122</f>
        <v>0</v>
      </c>
      <c r="AB123" s="231" t="s">
        <v>149</v>
      </c>
    </row>
    <row r="124" spans="1:28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8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8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8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</sheetData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&amp;A</oddHeader>
    <oddFooter>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C382"/>
  <sheetViews>
    <sheetView showGridLines="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7" sqref="E7"/>
    </sheetView>
  </sheetViews>
  <sheetFormatPr defaultColWidth="10.1640625" defaultRowHeight="11.25"/>
  <cols>
    <col min="2" max="2" width="11.5" customWidth="1"/>
    <col min="3" max="3" width="15.6640625" customWidth="1"/>
  </cols>
  <sheetData>
    <row r="1" spans="1:29" ht="12" thickBot="1"/>
    <row r="2" spans="1:29" ht="12.75" thickTop="1" thickBot="1">
      <c r="F2" s="5"/>
      <c r="H2" s="460" t="str">
        <f t="shared" ref="H2:S3" ca="1" si="0">YearHeadings</f>
        <v>6/30/99 or</v>
      </c>
      <c r="I2" s="461" t="str">
        <f t="shared" si="0"/>
        <v>12/31/99 or</v>
      </c>
      <c r="J2" s="10"/>
      <c r="K2" s="5"/>
      <c r="L2" s="5"/>
      <c r="M2" s="5"/>
      <c r="N2" s="5"/>
      <c r="O2" s="5"/>
      <c r="P2" s="5"/>
      <c r="Q2" s="5"/>
      <c r="R2" s="5"/>
      <c r="S2" s="11" t="str">
        <f t="shared" ref="S2:X3" si="1">YearHeadings</f>
        <v>Year 10</v>
      </c>
      <c r="U2" s="5"/>
      <c r="V2" s="5"/>
      <c r="W2" s="5"/>
      <c r="X2" s="5"/>
      <c r="AA2" s="300"/>
      <c r="AC2" s="9" t="s">
        <v>21</v>
      </c>
    </row>
    <row r="3" spans="1:29" ht="12.75" thickTop="1" thickBot="1">
      <c r="E3" s="298" t="str">
        <f>YearHeadings</f>
        <v xml:space="preserve">1996 </v>
      </c>
      <c r="F3" s="298" t="str">
        <f>YearHeadings</f>
        <v xml:space="preserve">1997 </v>
      </c>
      <c r="G3" s="298" t="str">
        <f>YearHeadings</f>
        <v xml:space="preserve">1998 </v>
      </c>
      <c r="H3" s="462" t="str">
        <f t="shared" ca="1" si="0"/>
        <v xml:space="preserve">6 M/1999 </v>
      </c>
      <c r="I3" s="463" t="str">
        <f t="shared" ca="1" si="0"/>
        <v xml:space="preserve">6 M/1999 </v>
      </c>
      <c r="J3" s="299">
        <f t="shared" si="0"/>
        <v>2000</v>
      </c>
      <c r="K3" s="299">
        <f t="shared" si="0"/>
        <v>2001</v>
      </c>
      <c r="L3" s="299">
        <f t="shared" si="0"/>
        <v>2002</v>
      </c>
      <c r="M3" s="299">
        <f t="shared" si="0"/>
        <v>2003</v>
      </c>
      <c r="N3" s="299">
        <f t="shared" si="0"/>
        <v>2004</v>
      </c>
      <c r="O3" s="299">
        <f t="shared" si="0"/>
        <v>2005</v>
      </c>
      <c r="P3" s="299">
        <f t="shared" si="0"/>
        <v>2006</v>
      </c>
      <c r="Q3" s="299">
        <f t="shared" si="0"/>
        <v>2007</v>
      </c>
      <c r="R3" s="299">
        <f t="shared" si="0"/>
        <v>2008</v>
      </c>
      <c r="S3" s="453">
        <f t="shared" si="0"/>
        <v>2009</v>
      </c>
      <c r="T3" s="447">
        <f t="shared" si="1"/>
        <v>2010</v>
      </c>
      <c r="U3" s="299">
        <f t="shared" si="1"/>
        <v>2011</v>
      </c>
      <c r="V3" s="299">
        <f t="shared" si="1"/>
        <v>2012</v>
      </c>
      <c r="W3" s="299">
        <f t="shared" si="1"/>
        <v>2013</v>
      </c>
      <c r="X3" s="299">
        <f t="shared" si="1"/>
        <v>2014</v>
      </c>
      <c r="Y3" s="447">
        <f>+X3+1</f>
        <v>2015</v>
      </c>
      <c r="Z3" s="447">
        <f>+Y3+1</f>
        <v>2016</v>
      </c>
      <c r="AA3" s="447">
        <f>+Z3+1</f>
        <v>2017</v>
      </c>
      <c r="AB3" s="447">
        <f>+AA3+1</f>
        <v>2018</v>
      </c>
      <c r="AC3" s="14">
        <f>+AB3+1</f>
        <v>2019</v>
      </c>
    </row>
    <row r="4" spans="1:29" ht="12" thickTop="1">
      <c r="A4" s="621" t="str">
        <f>+CFMODEL!A4</f>
        <v>Clampett Oil Company</v>
      </c>
    </row>
    <row r="5" spans="1:29">
      <c r="A5" s="15" t="str">
        <f>+CFMODEL!A5</f>
        <v xml:space="preserve">SCENARIO:    </v>
      </c>
      <c r="C5" s="296" t="str">
        <f>+CFMODEL!C5</f>
        <v>BASE</v>
      </c>
      <c r="E5" s="192" t="str">
        <f>+CFMODEL!E5</f>
        <v>($ in</v>
      </c>
      <c r="F5" s="191" t="str">
        <f>+CFMODEL!F5&amp;")"</f>
        <v>Thousands)</v>
      </c>
      <c r="G5" s="297"/>
    </row>
    <row r="6" spans="1:29" ht="12" thickBot="1"/>
    <row r="7" spans="1:29" ht="12.75" thickTop="1" thickBot="1">
      <c r="A7" s="301"/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</row>
    <row r="8" spans="1:29" ht="12.75" thickTop="1" thickBot="1">
      <c r="B8" s="208"/>
      <c r="C8" s="208"/>
      <c r="D8" s="208"/>
      <c r="E8" s="208"/>
      <c r="F8" s="208"/>
      <c r="I8" s="166" t="str">
        <f ca="1">+I$3</f>
        <v xml:space="preserve">6 M/1999 </v>
      </c>
      <c r="J8" s="166">
        <f t="shared" ref="J8:Y8" si="2">+J$3</f>
        <v>2000</v>
      </c>
      <c r="K8" s="166">
        <f t="shared" si="2"/>
        <v>2001</v>
      </c>
      <c r="L8" s="166">
        <f t="shared" si="2"/>
        <v>2002</v>
      </c>
      <c r="M8" s="166">
        <f t="shared" si="2"/>
        <v>2003</v>
      </c>
      <c r="N8" s="166">
        <f t="shared" si="2"/>
        <v>2004</v>
      </c>
      <c r="O8" s="166">
        <f t="shared" si="2"/>
        <v>2005</v>
      </c>
      <c r="P8" s="166">
        <f t="shared" si="2"/>
        <v>2006</v>
      </c>
      <c r="Q8" s="166">
        <f t="shared" si="2"/>
        <v>2007</v>
      </c>
      <c r="R8" s="166">
        <f t="shared" si="2"/>
        <v>2008</v>
      </c>
      <c r="S8" s="166">
        <f t="shared" si="2"/>
        <v>2009</v>
      </c>
      <c r="T8" s="166">
        <f t="shared" si="2"/>
        <v>2010</v>
      </c>
      <c r="U8" s="166">
        <f t="shared" si="2"/>
        <v>2011</v>
      </c>
      <c r="V8" s="166">
        <f t="shared" si="2"/>
        <v>2012</v>
      </c>
      <c r="W8" s="166">
        <f t="shared" si="2"/>
        <v>2013</v>
      </c>
      <c r="X8" s="166">
        <f t="shared" si="2"/>
        <v>2014</v>
      </c>
      <c r="Y8" s="166">
        <f t="shared" si="2"/>
        <v>2015</v>
      </c>
      <c r="Z8" s="166">
        <f>+Z$3</f>
        <v>2016</v>
      </c>
      <c r="AA8" s="166">
        <f>+AA$3</f>
        <v>2017</v>
      </c>
      <c r="AB8" s="166">
        <f>+AB$3</f>
        <v>2018</v>
      </c>
      <c r="AC8" s="166">
        <f>+AC$3</f>
        <v>2019</v>
      </c>
    </row>
    <row r="9" spans="1:29" ht="12" thickTop="1">
      <c r="A9" s="424" t="s">
        <v>150</v>
      </c>
    </row>
    <row r="10" spans="1:29">
      <c r="B10" t="s">
        <v>151</v>
      </c>
      <c r="I10" s="599">
        <f t="shared" ref="I10:R10" ca="1" si="3">+I377</f>
        <v>135.29332796348427</v>
      </c>
      <c r="J10" s="599">
        <f t="shared" ca="1" si="3"/>
        <v>0</v>
      </c>
      <c r="K10" s="599">
        <f t="shared" ca="1" si="3"/>
        <v>0</v>
      </c>
      <c r="L10" s="599">
        <f t="shared" ca="1" si="3"/>
        <v>0</v>
      </c>
      <c r="M10" s="599">
        <f t="shared" ca="1" si="3"/>
        <v>0</v>
      </c>
      <c r="N10" s="599">
        <f t="shared" ca="1" si="3"/>
        <v>0</v>
      </c>
      <c r="O10" s="599">
        <f t="shared" ca="1" si="3"/>
        <v>0</v>
      </c>
      <c r="P10" s="599">
        <f t="shared" ca="1" si="3"/>
        <v>0</v>
      </c>
      <c r="Q10" s="599">
        <f t="shared" ca="1" si="3"/>
        <v>0</v>
      </c>
      <c r="R10" s="599">
        <f t="shared" ca="1" si="3"/>
        <v>0</v>
      </c>
      <c r="S10" s="599">
        <f t="shared" ref="S10:AC10" ca="1" si="4">+S377</f>
        <v>0</v>
      </c>
      <c r="T10" s="599">
        <f t="shared" ca="1" si="4"/>
        <v>0</v>
      </c>
      <c r="U10" s="599">
        <f t="shared" ca="1" si="4"/>
        <v>0</v>
      </c>
      <c r="V10" s="599">
        <f t="shared" ca="1" si="4"/>
        <v>0</v>
      </c>
      <c r="W10" s="599">
        <f t="shared" ca="1" si="4"/>
        <v>0</v>
      </c>
      <c r="X10" s="599">
        <f t="shared" ca="1" si="4"/>
        <v>0</v>
      </c>
      <c r="Y10" s="599">
        <f t="shared" ca="1" si="4"/>
        <v>0</v>
      </c>
      <c r="Z10" s="599">
        <f t="shared" ca="1" si="4"/>
        <v>0</v>
      </c>
      <c r="AA10" s="599">
        <f t="shared" ca="1" si="4"/>
        <v>0</v>
      </c>
      <c r="AB10" s="599">
        <f t="shared" ca="1" si="4"/>
        <v>0</v>
      </c>
      <c r="AC10" s="599">
        <f t="shared" ca="1" si="4"/>
        <v>0</v>
      </c>
    </row>
    <row r="11" spans="1:29">
      <c r="B11" t="s">
        <v>152</v>
      </c>
      <c r="I11" s="590">
        <v>0.6</v>
      </c>
      <c r="J11" s="590">
        <f t="shared" ref="J11:AC11" si="5">I11</f>
        <v>0.6</v>
      </c>
      <c r="K11" s="590">
        <f t="shared" si="5"/>
        <v>0.6</v>
      </c>
      <c r="L11" s="590">
        <f t="shared" si="5"/>
        <v>0.6</v>
      </c>
      <c r="M11" s="590">
        <f t="shared" si="5"/>
        <v>0.6</v>
      </c>
      <c r="N11" s="590">
        <f t="shared" si="5"/>
        <v>0.6</v>
      </c>
      <c r="O11" s="590">
        <f t="shared" si="5"/>
        <v>0.6</v>
      </c>
      <c r="P11" s="590">
        <f t="shared" si="5"/>
        <v>0.6</v>
      </c>
      <c r="Q11" s="590">
        <f t="shared" si="5"/>
        <v>0.6</v>
      </c>
      <c r="R11" s="590">
        <f t="shared" si="5"/>
        <v>0.6</v>
      </c>
      <c r="S11" s="590">
        <f t="shared" si="5"/>
        <v>0.6</v>
      </c>
      <c r="T11" s="590">
        <f t="shared" si="5"/>
        <v>0.6</v>
      </c>
      <c r="U11" s="590">
        <f t="shared" si="5"/>
        <v>0.6</v>
      </c>
      <c r="V11" s="590">
        <f t="shared" si="5"/>
        <v>0.6</v>
      </c>
      <c r="W11" s="590">
        <f t="shared" si="5"/>
        <v>0.6</v>
      </c>
      <c r="X11" s="590">
        <f t="shared" si="5"/>
        <v>0.6</v>
      </c>
      <c r="Y11" s="590">
        <f t="shared" si="5"/>
        <v>0.6</v>
      </c>
      <c r="Z11" s="590">
        <f t="shared" si="5"/>
        <v>0.6</v>
      </c>
      <c r="AA11" s="590">
        <f t="shared" si="5"/>
        <v>0.6</v>
      </c>
      <c r="AB11" s="590">
        <f t="shared" si="5"/>
        <v>0.6</v>
      </c>
      <c r="AC11" s="590">
        <f t="shared" si="5"/>
        <v>0.6</v>
      </c>
    </row>
    <row r="12" spans="1:29">
      <c r="B12" t="s">
        <v>153</v>
      </c>
      <c r="I12" s="479">
        <f>+I11/(1-I11)</f>
        <v>1.4999999999999998</v>
      </c>
      <c r="J12" s="479">
        <f t="shared" ref="J12:Y12" si="6">+J11/(1-J11)</f>
        <v>1.4999999999999998</v>
      </c>
      <c r="K12" s="479">
        <f t="shared" si="6"/>
        <v>1.4999999999999998</v>
      </c>
      <c r="L12" s="479">
        <f t="shared" si="6"/>
        <v>1.4999999999999998</v>
      </c>
      <c r="M12" s="479">
        <f t="shared" si="6"/>
        <v>1.4999999999999998</v>
      </c>
      <c r="N12" s="479">
        <f t="shared" si="6"/>
        <v>1.4999999999999998</v>
      </c>
      <c r="O12" s="479">
        <f t="shared" si="6"/>
        <v>1.4999999999999998</v>
      </c>
      <c r="P12" s="479">
        <f t="shared" si="6"/>
        <v>1.4999999999999998</v>
      </c>
      <c r="Q12" s="479">
        <f t="shared" si="6"/>
        <v>1.4999999999999998</v>
      </c>
      <c r="R12" s="479">
        <f t="shared" si="6"/>
        <v>1.4999999999999998</v>
      </c>
      <c r="S12" s="479">
        <f t="shared" si="6"/>
        <v>1.4999999999999998</v>
      </c>
      <c r="T12" s="479">
        <f t="shared" si="6"/>
        <v>1.4999999999999998</v>
      </c>
      <c r="U12" s="479">
        <f t="shared" si="6"/>
        <v>1.4999999999999998</v>
      </c>
      <c r="V12" s="479">
        <f t="shared" si="6"/>
        <v>1.4999999999999998</v>
      </c>
      <c r="W12" s="479">
        <f t="shared" si="6"/>
        <v>1.4999999999999998</v>
      </c>
      <c r="X12" s="479">
        <f t="shared" si="6"/>
        <v>1.4999999999999998</v>
      </c>
      <c r="Y12" s="479">
        <f t="shared" si="6"/>
        <v>1.4999999999999998</v>
      </c>
      <c r="Z12" s="479">
        <f>+Z11/(1-Z11)</f>
        <v>1.4999999999999998</v>
      </c>
      <c r="AA12" s="479">
        <f>+AA11/(1-AA11)</f>
        <v>1.4999999999999998</v>
      </c>
      <c r="AB12" s="479">
        <f>+AB11/(1-AB11)</f>
        <v>1.4999999999999998</v>
      </c>
      <c r="AC12" s="479">
        <f>+AC11/(1-AC11)</f>
        <v>1.4999999999999998</v>
      </c>
    </row>
    <row r="13" spans="1:29">
      <c r="B13" t="s">
        <v>154</v>
      </c>
      <c r="E13" s="150" t="s">
        <v>155</v>
      </c>
      <c r="F13" s="730">
        <v>0.5</v>
      </c>
      <c r="I13">
        <v>10000</v>
      </c>
      <c r="J13">
        <v>10000</v>
      </c>
      <c r="K13">
        <v>10000</v>
      </c>
      <c r="L13">
        <v>10000</v>
      </c>
      <c r="M13">
        <v>10000</v>
      </c>
      <c r="N13">
        <v>10000</v>
      </c>
      <c r="O13">
        <v>10000</v>
      </c>
      <c r="P13">
        <v>10000</v>
      </c>
      <c r="Q13">
        <v>10000</v>
      </c>
      <c r="R13">
        <v>10000</v>
      </c>
      <c r="S13">
        <v>10000</v>
      </c>
      <c r="T13">
        <v>10000</v>
      </c>
      <c r="U13">
        <v>10000</v>
      </c>
      <c r="V13">
        <v>10000</v>
      </c>
      <c r="W13">
        <v>10000</v>
      </c>
      <c r="X13">
        <v>10000</v>
      </c>
      <c r="Y13">
        <v>10000</v>
      </c>
      <c r="Z13">
        <v>10000</v>
      </c>
      <c r="AA13">
        <v>10000</v>
      </c>
      <c r="AB13">
        <v>10000</v>
      </c>
      <c r="AC13">
        <v>10000</v>
      </c>
    </row>
    <row r="14" spans="1:29">
      <c r="F14" s="600"/>
    </row>
    <row r="15" spans="1:29">
      <c r="B15" t="s">
        <v>156</v>
      </c>
      <c r="I15" s="476">
        <f t="shared" ref="I15:R15" ca="1" si="7">+I380</f>
        <v>0</v>
      </c>
      <c r="J15" s="476">
        <f t="shared" ca="1" si="7"/>
        <v>6242.9363945444502</v>
      </c>
      <c r="K15" s="476">
        <f t="shared" ca="1" si="7"/>
        <v>4451.7369283973248</v>
      </c>
      <c r="L15" s="476">
        <f t="shared" ca="1" si="7"/>
        <v>4038.1080743725247</v>
      </c>
      <c r="M15" s="476">
        <f t="shared" ca="1" si="7"/>
        <v>3950.9631886494744</v>
      </c>
      <c r="N15" s="476">
        <f t="shared" ca="1" si="7"/>
        <v>3759.0530256385973</v>
      </c>
      <c r="O15" s="476">
        <f t="shared" ca="1" si="7"/>
        <v>3468.1556632170818</v>
      </c>
      <c r="P15" s="476">
        <f t="shared" ca="1" si="7"/>
        <v>3250.04784218843</v>
      </c>
      <c r="Q15" s="476">
        <f t="shared" ca="1" si="7"/>
        <v>3091.2337890596059</v>
      </c>
      <c r="R15" s="476">
        <f t="shared" ca="1" si="7"/>
        <v>2973.5588756482061</v>
      </c>
      <c r="S15" s="476">
        <f t="shared" ref="S15:AC15" ca="1" si="8">+S380</f>
        <v>2401.0365292844181</v>
      </c>
      <c r="T15" s="476">
        <f t="shared" ca="1" si="8"/>
        <v>2320.6052670895951</v>
      </c>
      <c r="U15" s="476">
        <f t="shared" ca="1" si="8"/>
        <v>2263.7801302088938</v>
      </c>
      <c r="V15" s="476">
        <f t="shared" ca="1" si="8"/>
        <v>2208.3773065102155</v>
      </c>
      <c r="W15" s="476">
        <f t="shared" ca="1" si="8"/>
        <v>2183.0922930344996</v>
      </c>
      <c r="X15" s="476">
        <f t="shared" ca="1" si="8"/>
        <v>2153.7369944628117</v>
      </c>
      <c r="Y15" s="476">
        <f t="shared" ca="1" si="8"/>
        <v>2133.3094605303454</v>
      </c>
      <c r="Z15" s="476">
        <f t="shared" ca="1" si="8"/>
        <v>2092.9666798577464</v>
      </c>
      <c r="AA15" s="476">
        <f t="shared" ca="1" si="8"/>
        <v>2086.6963226260077</v>
      </c>
      <c r="AB15" s="476">
        <f t="shared" ca="1" si="8"/>
        <v>2096.2819169234581</v>
      </c>
      <c r="AC15" s="476">
        <f t="shared" ca="1" si="8"/>
        <v>2133.2882504072873</v>
      </c>
    </row>
    <row r="16" spans="1:29">
      <c r="B16" t="s">
        <v>157</v>
      </c>
      <c r="I16" s="589">
        <v>0.5</v>
      </c>
      <c r="J16" s="589">
        <f>+I16</f>
        <v>0.5</v>
      </c>
      <c r="K16" s="589">
        <f t="shared" ref="K16:Z16" si="9">+J16</f>
        <v>0.5</v>
      </c>
      <c r="L16" s="589">
        <f t="shared" si="9"/>
        <v>0.5</v>
      </c>
      <c r="M16" s="589">
        <f t="shared" si="9"/>
        <v>0.5</v>
      </c>
      <c r="N16" s="589">
        <f t="shared" si="9"/>
        <v>0.5</v>
      </c>
      <c r="O16" s="589">
        <f t="shared" si="9"/>
        <v>0.5</v>
      </c>
      <c r="P16" s="589">
        <f t="shared" si="9"/>
        <v>0.5</v>
      </c>
      <c r="Q16" s="589">
        <f t="shared" si="9"/>
        <v>0.5</v>
      </c>
      <c r="R16" s="589">
        <f t="shared" si="9"/>
        <v>0.5</v>
      </c>
      <c r="S16" s="589">
        <f t="shared" si="9"/>
        <v>0.5</v>
      </c>
      <c r="T16" s="589">
        <f t="shared" si="9"/>
        <v>0.5</v>
      </c>
      <c r="U16" s="589">
        <f t="shared" si="9"/>
        <v>0.5</v>
      </c>
      <c r="V16" s="589">
        <f t="shared" si="9"/>
        <v>0.5</v>
      </c>
      <c r="W16" s="589">
        <f t="shared" si="9"/>
        <v>0.5</v>
      </c>
      <c r="X16" s="589">
        <f t="shared" si="9"/>
        <v>0.5</v>
      </c>
      <c r="Y16" s="589">
        <f t="shared" si="9"/>
        <v>0.5</v>
      </c>
      <c r="Z16" s="589">
        <f t="shared" si="9"/>
        <v>0.5</v>
      </c>
      <c r="AA16" s="589">
        <f>+Z16</f>
        <v>0.5</v>
      </c>
      <c r="AB16" s="589">
        <f>+AA16</f>
        <v>0.5</v>
      </c>
      <c r="AC16" s="589">
        <f>+AB16</f>
        <v>0.5</v>
      </c>
    </row>
    <row r="17" spans="2:29">
      <c r="B17" t="s">
        <v>158</v>
      </c>
      <c r="I17" s="476">
        <f ca="1">+I16*I15</f>
        <v>0</v>
      </c>
      <c r="J17" s="476">
        <f t="shared" ref="J17:Y17" ca="1" si="10">+J16*J15</f>
        <v>3121.4681972722251</v>
      </c>
      <c r="K17" s="476">
        <f t="shared" ca="1" si="10"/>
        <v>2225.8684641986624</v>
      </c>
      <c r="L17" s="476">
        <f t="shared" ca="1" si="10"/>
        <v>2019.0540371862623</v>
      </c>
      <c r="M17" s="476">
        <f t="shared" ca="1" si="10"/>
        <v>1975.4815943247372</v>
      </c>
      <c r="N17" s="476">
        <f t="shared" ca="1" si="10"/>
        <v>1879.5265128192987</v>
      </c>
      <c r="O17" s="476">
        <f t="shared" ca="1" si="10"/>
        <v>1734.0778316085409</v>
      </c>
      <c r="P17" s="476">
        <f t="shared" ca="1" si="10"/>
        <v>1625.023921094215</v>
      </c>
      <c r="Q17" s="476">
        <f t="shared" ca="1" si="10"/>
        <v>1545.6168945298029</v>
      </c>
      <c r="R17" s="476">
        <f t="shared" ca="1" si="10"/>
        <v>1486.7794378241031</v>
      </c>
      <c r="S17" s="476">
        <f t="shared" ca="1" si="10"/>
        <v>1200.518264642209</v>
      </c>
      <c r="T17" s="476">
        <f t="shared" ca="1" si="10"/>
        <v>1160.3026335447976</v>
      </c>
      <c r="U17" s="476">
        <f t="shared" ca="1" si="10"/>
        <v>1131.8900651044469</v>
      </c>
      <c r="V17" s="476">
        <f t="shared" ca="1" si="10"/>
        <v>1104.1886532551077</v>
      </c>
      <c r="W17" s="476">
        <f t="shared" ca="1" si="10"/>
        <v>1091.5461465172498</v>
      </c>
      <c r="X17" s="476">
        <f t="shared" ca="1" si="10"/>
        <v>1076.8684972314059</v>
      </c>
      <c r="Y17" s="476">
        <f t="shared" ca="1" si="10"/>
        <v>1066.6547302651727</v>
      </c>
      <c r="Z17" s="476">
        <f ca="1">+Z16*Z15</f>
        <v>1046.4833399288732</v>
      </c>
      <c r="AA17" s="476">
        <f ca="1">+AA16*AA15</f>
        <v>1043.3481613130039</v>
      </c>
      <c r="AB17" s="476">
        <f ca="1">+AB16*AB15</f>
        <v>1048.140958461729</v>
      </c>
      <c r="AC17" s="476">
        <f ca="1">+AC16*AC15</f>
        <v>1066.6441252036436</v>
      </c>
    </row>
    <row r="18" spans="2:29">
      <c r="I18" s="476"/>
      <c r="J18" s="476"/>
      <c r="K18" s="476"/>
      <c r="L18" s="476"/>
      <c r="M18" s="476"/>
      <c r="N18" s="476"/>
      <c r="O18" s="476"/>
      <c r="P18" s="476"/>
      <c r="Q18" s="476"/>
      <c r="R18" s="47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</row>
    <row r="19" spans="2:29">
      <c r="B19" s="339" t="s">
        <v>159</v>
      </c>
      <c r="I19" s="476">
        <f ca="1">+EP!I820</f>
        <v>32303.548385149472</v>
      </c>
      <c r="J19" s="476">
        <f ca="1">+EP!J820</f>
        <v>54681.633759852062</v>
      </c>
      <c r="K19" s="476">
        <f ca="1">+EP!K820</f>
        <v>65076.249931182057</v>
      </c>
      <c r="L19" s="476">
        <f ca="1">+EP!L820</f>
        <v>75265.079780108295</v>
      </c>
      <c r="M19" s="476">
        <f ca="1">+EP!M820</f>
        <v>83970.944292470071</v>
      </c>
      <c r="N19" s="476">
        <f ca="1">+EP!N820</f>
        <v>90705.300222777703</v>
      </c>
      <c r="O19" s="476">
        <f ca="1">+EP!O820</f>
        <v>94607.856150821404</v>
      </c>
      <c r="P19" s="476">
        <f ca="1">+EP!P820</f>
        <v>100842.40447296681</v>
      </c>
      <c r="Q19" s="476">
        <f ca="1">+EP!Q820</f>
        <v>95452.286728956533</v>
      </c>
      <c r="R19" s="476">
        <f ca="1">+EP!R820</f>
        <v>80173.907515706785</v>
      </c>
      <c r="S19" s="476">
        <f ca="1">+EP!S820</f>
        <v>66052.357343498355</v>
      </c>
      <c r="T19" s="476">
        <f ca="1">+EP!T820</f>
        <v>53373.444652791703</v>
      </c>
      <c r="U19" s="476">
        <f ca="1">+EP!U820</f>
        <v>42479.382826484863</v>
      </c>
      <c r="V19" s="476">
        <f ca="1">+EP!V820</f>
        <v>33564.019126824263</v>
      </c>
      <c r="W19" s="476">
        <f ca="1">+EP!W820</f>
        <v>26297.031852341592</v>
      </c>
      <c r="X19" s="476">
        <f ca="1">+EP!X820</f>
        <v>20322.430385394575</v>
      </c>
      <c r="Y19" s="476">
        <f ca="1">+EP!Y820</f>
        <v>15323.899918765692</v>
      </c>
      <c r="Z19" s="476">
        <f ca="1">+EP!Z820</f>
        <v>11122.167510073634</v>
      </c>
      <c r="AA19" s="476">
        <f ca="1">+EP!AA820</f>
        <v>7640.8448435280234</v>
      </c>
      <c r="AB19" s="476">
        <f ca="1">+EP!AB820</f>
        <v>4706.5144680200374</v>
      </c>
      <c r="AC19" s="476">
        <f ca="1">+EP!AC820</f>
        <v>2196.0755539383836</v>
      </c>
    </row>
    <row r="20" spans="2:29">
      <c r="B20" s="308" t="s">
        <v>160</v>
      </c>
      <c r="I20" s="629">
        <f t="shared" ref="I20:R20" ca="1" si="11">IF(ISERR(I378/I19),"NA",I378/I19)</f>
        <v>1.5628497067213799E-2</v>
      </c>
      <c r="J20" s="629">
        <f t="shared" ca="1" si="11"/>
        <v>0</v>
      </c>
      <c r="K20" s="629">
        <f t="shared" ca="1" si="11"/>
        <v>0</v>
      </c>
      <c r="L20" s="629">
        <f t="shared" ca="1" si="11"/>
        <v>0</v>
      </c>
      <c r="M20" s="629">
        <f t="shared" ca="1" si="11"/>
        <v>0</v>
      </c>
      <c r="N20" s="679">
        <f t="shared" ca="1" si="11"/>
        <v>0</v>
      </c>
      <c r="O20" s="629">
        <f t="shared" ca="1" si="11"/>
        <v>0</v>
      </c>
      <c r="P20" s="629">
        <f t="shared" ca="1" si="11"/>
        <v>0</v>
      </c>
      <c r="Q20" s="629">
        <f t="shared" ca="1" si="11"/>
        <v>0</v>
      </c>
      <c r="R20" s="629">
        <f t="shared" ca="1" si="11"/>
        <v>0</v>
      </c>
      <c r="S20" s="629">
        <f t="shared" ref="S20:AC20" ca="1" si="12">IF(ISERR(S378/S19),"NA",S378/S19)</f>
        <v>0</v>
      </c>
      <c r="T20" s="629">
        <f t="shared" ca="1" si="12"/>
        <v>0</v>
      </c>
      <c r="U20" s="629">
        <f t="shared" ca="1" si="12"/>
        <v>0</v>
      </c>
      <c r="V20" s="629">
        <f t="shared" ca="1" si="12"/>
        <v>0</v>
      </c>
      <c r="W20" s="629">
        <f t="shared" ca="1" si="12"/>
        <v>0</v>
      </c>
      <c r="X20" s="629">
        <f t="shared" ca="1" si="12"/>
        <v>0</v>
      </c>
      <c r="Y20" s="629">
        <f t="shared" ca="1" si="12"/>
        <v>0</v>
      </c>
      <c r="Z20" s="629">
        <f t="shared" ca="1" si="12"/>
        <v>0</v>
      </c>
      <c r="AA20" s="629">
        <f t="shared" ca="1" si="12"/>
        <v>0</v>
      </c>
      <c r="AB20" s="629">
        <f t="shared" ca="1" si="12"/>
        <v>0</v>
      </c>
      <c r="AC20" s="629">
        <f t="shared" ca="1" si="12"/>
        <v>0</v>
      </c>
    </row>
    <row r="23" spans="2:29">
      <c r="B23" s="670" t="s">
        <v>161</v>
      </c>
      <c r="I23" s="601">
        <f t="shared" ref="I23:R23" ca="1" si="13">MAX(I17,I13)</f>
        <v>10000</v>
      </c>
      <c r="J23" s="601">
        <f t="shared" ca="1" si="13"/>
        <v>10000</v>
      </c>
      <c r="K23" s="601">
        <f t="shared" ca="1" si="13"/>
        <v>10000</v>
      </c>
      <c r="L23" s="601">
        <f t="shared" ca="1" si="13"/>
        <v>10000</v>
      </c>
      <c r="M23" s="601">
        <f t="shared" ca="1" si="13"/>
        <v>10000</v>
      </c>
      <c r="N23" s="601">
        <f t="shared" ca="1" si="13"/>
        <v>10000</v>
      </c>
      <c r="O23" s="601">
        <f t="shared" ca="1" si="13"/>
        <v>10000</v>
      </c>
      <c r="P23" s="601">
        <f t="shared" ca="1" si="13"/>
        <v>10000</v>
      </c>
      <c r="Q23" s="601">
        <f t="shared" ca="1" si="13"/>
        <v>10000</v>
      </c>
      <c r="R23" s="601">
        <f t="shared" ca="1" si="13"/>
        <v>10000</v>
      </c>
      <c r="S23" s="601">
        <f t="shared" ref="S23:AC23" ca="1" si="14">MAX(S17,S13)</f>
        <v>10000</v>
      </c>
      <c r="T23" s="601">
        <f t="shared" ca="1" si="14"/>
        <v>10000</v>
      </c>
      <c r="U23" s="601">
        <f t="shared" ca="1" si="14"/>
        <v>10000</v>
      </c>
      <c r="V23" s="601">
        <f t="shared" ca="1" si="14"/>
        <v>10000</v>
      </c>
      <c r="W23" s="601">
        <f t="shared" ca="1" si="14"/>
        <v>10000</v>
      </c>
      <c r="X23" s="601">
        <f t="shared" ca="1" si="14"/>
        <v>10000</v>
      </c>
      <c r="Y23" s="601">
        <f t="shared" ca="1" si="14"/>
        <v>10000</v>
      </c>
      <c r="Z23" s="601">
        <f t="shared" ca="1" si="14"/>
        <v>10000</v>
      </c>
      <c r="AA23" s="601">
        <f t="shared" ca="1" si="14"/>
        <v>10000</v>
      </c>
      <c r="AB23" s="601">
        <f t="shared" ca="1" si="14"/>
        <v>10000</v>
      </c>
      <c r="AC23" s="601">
        <f t="shared" ca="1" si="14"/>
        <v>10000</v>
      </c>
    </row>
    <row r="24" spans="2:29">
      <c r="G24" s="476"/>
    </row>
    <row r="25" spans="2:29">
      <c r="G25" s="476"/>
    </row>
    <row r="26" spans="2:29">
      <c r="G26" s="476"/>
    </row>
    <row r="27" spans="2:29">
      <c r="G27" s="476"/>
    </row>
    <row r="28" spans="2:29">
      <c r="B28" s="339" t="s">
        <v>162</v>
      </c>
    </row>
    <row r="29" spans="2:29">
      <c r="B29" s="467" t="s">
        <v>1316</v>
      </c>
      <c r="C29" s="467"/>
      <c r="D29" s="467"/>
      <c r="E29" s="469"/>
      <c r="H29" s="341" t="s">
        <v>163</v>
      </c>
      <c r="I29" s="269">
        <v>4.6529999999999996</v>
      </c>
      <c r="J29" s="194">
        <f>+I29</f>
        <v>4.6529999999999996</v>
      </c>
      <c r="K29" s="194">
        <f t="shared" ref="K29:Z29" si="15">+J29</f>
        <v>4.6529999999999996</v>
      </c>
      <c r="L29" s="194">
        <f t="shared" si="15"/>
        <v>4.6529999999999996</v>
      </c>
      <c r="M29" s="194">
        <f t="shared" si="15"/>
        <v>4.6529999999999996</v>
      </c>
      <c r="N29" s="194">
        <f t="shared" si="15"/>
        <v>4.6529999999999996</v>
      </c>
      <c r="O29" s="194">
        <f t="shared" si="15"/>
        <v>4.6529999999999996</v>
      </c>
      <c r="P29" s="194">
        <f t="shared" si="15"/>
        <v>4.6529999999999996</v>
      </c>
      <c r="Q29" s="194">
        <f t="shared" si="15"/>
        <v>4.6529999999999996</v>
      </c>
      <c r="R29" s="194">
        <f t="shared" si="15"/>
        <v>4.6529999999999996</v>
      </c>
      <c r="S29" s="194">
        <f t="shared" si="15"/>
        <v>4.6529999999999996</v>
      </c>
      <c r="T29" s="194">
        <f t="shared" si="15"/>
        <v>4.6529999999999996</v>
      </c>
      <c r="U29" s="194">
        <f t="shared" si="15"/>
        <v>4.6529999999999996</v>
      </c>
      <c r="V29" s="194">
        <f t="shared" si="15"/>
        <v>4.6529999999999996</v>
      </c>
      <c r="W29" s="194">
        <f t="shared" si="15"/>
        <v>4.6529999999999996</v>
      </c>
      <c r="X29" s="194">
        <f t="shared" si="15"/>
        <v>4.6529999999999996</v>
      </c>
      <c r="Y29" s="194">
        <f t="shared" si="15"/>
        <v>4.6529999999999996</v>
      </c>
      <c r="Z29" s="194">
        <f t="shared" si="15"/>
        <v>4.6529999999999996</v>
      </c>
      <c r="AA29" s="194">
        <f>+Z29</f>
        <v>4.6529999999999996</v>
      </c>
      <c r="AB29" s="194">
        <f>+AA29</f>
        <v>4.6529999999999996</v>
      </c>
      <c r="AC29" s="194">
        <f>+AB29</f>
        <v>4.6529999999999996</v>
      </c>
    </row>
    <row r="30" spans="2:29">
      <c r="B30" s="227" t="s">
        <v>164</v>
      </c>
      <c r="C30" s="227" t="s">
        <v>165</v>
      </c>
      <c r="D30" s="227" t="s">
        <v>166</v>
      </c>
      <c r="E30" s="468" t="s">
        <v>167</v>
      </c>
      <c r="H30" s="341" t="s">
        <v>168</v>
      </c>
      <c r="I30" s="588">
        <v>1</v>
      </c>
      <c r="J30" s="588">
        <v>1</v>
      </c>
      <c r="K30" s="588">
        <v>1</v>
      </c>
      <c r="L30" s="588">
        <v>1</v>
      </c>
      <c r="M30" s="588">
        <v>1</v>
      </c>
      <c r="N30" s="588">
        <v>1</v>
      </c>
      <c r="O30" s="588">
        <v>1</v>
      </c>
      <c r="P30" s="588">
        <v>1</v>
      </c>
      <c r="Q30" s="588">
        <v>1</v>
      </c>
      <c r="R30" s="588">
        <v>1</v>
      </c>
      <c r="S30" s="588">
        <v>1</v>
      </c>
      <c r="T30" s="588">
        <v>1</v>
      </c>
      <c r="U30" s="588">
        <v>1</v>
      </c>
      <c r="V30" s="588">
        <v>1</v>
      </c>
      <c r="W30" s="588">
        <v>1</v>
      </c>
      <c r="X30" s="588">
        <v>1</v>
      </c>
      <c r="Y30" s="588">
        <v>1</v>
      </c>
      <c r="Z30" s="588">
        <v>1</v>
      </c>
      <c r="AA30" s="588">
        <v>1</v>
      </c>
      <c r="AB30" s="588">
        <v>1</v>
      </c>
      <c r="AC30" s="588">
        <v>1</v>
      </c>
    </row>
    <row r="31" spans="2:29">
      <c r="B31" s="502" t="s">
        <v>19</v>
      </c>
      <c r="C31" s="502"/>
      <c r="D31" s="502"/>
      <c r="E31" s="502"/>
      <c r="H31" s="341" t="s">
        <v>169</v>
      </c>
      <c r="I31" s="602">
        <f>+I30*I29</f>
        <v>4.6529999999999996</v>
      </c>
      <c r="J31" s="602">
        <f>+J30*J29</f>
        <v>4.6529999999999996</v>
      </c>
      <c r="K31" s="602">
        <f t="shared" ref="K31:Z31" si="16">+K30*K29</f>
        <v>4.6529999999999996</v>
      </c>
      <c r="L31" s="602">
        <f t="shared" si="16"/>
        <v>4.6529999999999996</v>
      </c>
      <c r="M31" s="602">
        <f t="shared" si="16"/>
        <v>4.6529999999999996</v>
      </c>
      <c r="N31" s="602">
        <f t="shared" si="16"/>
        <v>4.6529999999999996</v>
      </c>
      <c r="O31" s="602">
        <f t="shared" si="16"/>
        <v>4.6529999999999996</v>
      </c>
      <c r="P31" s="602">
        <f t="shared" si="16"/>
        <v>4.6529999999999996</v>
      </c>
      <c r="Q31" s="602">
        <f t="shared" si="16"/>
        <v>4.6529999999999996</v>
      </c>
      <c r="R31" s="602">
        <f t="shared" si="16"/>
        <v>4.6529999999999996</v>
      </c>
      <c r="S31" s="602">
        <f t="shared" si="16"/>
        <v>4.6529999999999996</v>
      </c>
      <c r="T31" s="602">
        <f t="shared" si="16"/>
        <v>4.6529999999999996</v>
      </c>
      <c r="U31" s="602">
        <f t="shared" si="16"/>
        <v>4.6529999999999996</v>
      </c>
      <c r="V31" s="602">
        <f t="shared" si="16"/>
        <v>4.6529999999999996</v>
      </c>
      <c r="W31" s="602">
        <f t="shared" si="16"/>
        <v>4.6529999999999996</v>
      </c>
      <c r="X31" s="602">
        <f t="shared" si="16"/>
        <v>4.6529999999999996</v>
      </c>
      <c r="Y31" s="602">
        <f t="shared" si="16"/>
        <v>4.6529999999999996</v>
      </c>
      <c r="Z31" s="602">
        <f t="shared" si="16"/>
        <v>4.6529999999999996</v>
      </c>
      <c r="AA31" s="602">
        <f>+AA30*AA29</f>
        <v>4.6529999999999996</v>
      </c>
      <c r="AB31" s="602">
        <f>+AB30*AB29</f>
        <v>4.6529999999999996</v>
      </c>
      <c r="AC31" s="602">
        <f>+AC30*AC29</f>
        <v>4.6529999999999996</v>
      </c>
    </row>
    <row r="33" spans="1:29">
      <c r="B33" s="339" t="s">
        <v>170</v>
      </c>
      <c r="I33" s="476">
        <f t="shared" ref="I33:R33" ca="1" si="17">(+I23*$H$376)/I31/1000</f>
        <v>2149.1510853212985</v>
      </c>
      <c r="J33" s="476">
        <f t="shared" ca="1" si="17"/>
        <v>2149.1510853212985</v>
      </c>
      <c r="K33" s="476">
        <f t="shared" ca="1" si="17"/>
        <v>2149.1510853212985</v>
      </c>
      <c r="L33" s="476">
        <f t="shared" ca="1" si="17"/>
        <v>2149.1510853212985</v>
      </c>
      <c r="M33" s="476">
        <f t="shared" ca="1" si="17"/>
        <v>2149.1510853212985</v>
      </c>
      <c r="N33" s="476">
        <f t="shared" ca="1" si="17"/>
        <v>2149.1510853212985</v>
      </c>
      <c r="O33" s="476">
        <f t="shared" ca="1" si="17"/>
        <v>2149.1510853212985</v>
      </c>
      <c r="P33" s="476">
        <f t="shared" ca="1" si="17"/>
        <v>2149.1510853212985</v>
      </c>
      <c r="Q33" s="476">
        <f t="shared" ca="1" si="17"/>
        <v>2149.1510853212985</v>
      </c>
      <c r="R33" s="476">
        <f t="shared" ca="1" si="17"/>
        <v>2149.1510853212985</v>
      </c>
      <c r="S33" s="476">
        <f t="shared" ref="S33:AC33" ca="1" si="18">(+S23*$H$376)/S31/1000</f>
        <v>2149.1510853212985</v>
      </c>
      <c r="T33" s="476">
        <f t="shared" ca="1" si="18"/>
        <v>2149.1510853212985</v>
      </c>
      <c r="U33" s="476">
        <f t="shared" ca="1" si="18"/>
        <v>2149.1510853212985</v>
      </c>
      <c r="V33" s="476">
        <f t="shared" ca="1" si="18"/>
        <v>2149.1510853212985</v>
      </c>
      <c r="W33" s="476">
        <f t="shared" ca="1" si="18"/>
        <v>2149.1510853212985</v>
      </c>
      <c r="X33" s="476">
        <f t="shared" ca="1" si="18"/>
        <v>2149.1510853212985</v>
      </c>
      <c r="Y33" s="476">
        <f t="shared" ca="1" si="18"/>
        <v>2149.1510853212985</v>
      </c>
      <c r="Z33" s="476">
        <f t="shared" ca="1" si="18"/>
        <v>2149.1510853212985</v>
      </c>
      <c r="AA33" s="476">
        <f t="shared" ca="1" si="18"/>
        <v>2149.1510853212985</v>
      </c>
      <c r="AB33" s="476">
        <f t="shared" ca="1" si="18"/>
        <v>2149.1510853212985</v>
      </c>
      <c r="AC33" s="476">
        <f t="shared" ca="1" si="18"/>
        <v>2149.1510853212985</v>
      </c>
    </row>
    <row r="34" spans="1:29">
      <c r="B34" s="339"/>
      <c r="I34" s="476"/>
      <c r="J34" s="476"/>
      <c r="K34" s="476"/>
      <c r="L34" s="476"/>
      <c r="M34" s="476"/>
      <c r="N34" s="476"/>
      <c r="O34" s="476"/>
      <c r="P34" s="476"/>
      <c r="Q34" s="476"/>
      <c r="R34" s="476"/>
      <c r="S34" s="476"/>
      <c r="T34" s="476"/>
      <c r="U34" s="476"/>
      <c r="V34" s="476"/>
      <c r="W34" s="476"/>
      <c r="X34" s="476"/>
      <c r="Y34" s="476"/>
      <c r="Z34" s="476"/>
      <c r="AA34" s="476"/>
      <c r="AB34" s="476"/>
      <c r="AC34" s="476"/>
    </row>
    <row r="35" spans="1:29">
      <c r="B35" s="339" t="s">
        <v>171</v>
      </c>
      <c r="E35" s="219">
        <v>0</v>
      </c>
      <c r="H35" s="341" t="s">
        <v>170</v>
      </c>
      <c r="I35" s="476">
        <f ca="1">IF($E35=0,I33,0)</f>
        <v>2149.1510853212985</v>
      </c>
      <c r="J35" s="476">
        <f ca="1">IF($E35=0,J33,IF($E35=1,+I33,0))</f>
        <v>2149.1510853212985</v>
      </c>
      <c r="K35" s="476">
        <f t="shared" ref="K35:T35" ca="1" si="19">IF($E35=0,K33,IF($E35=1,+J33,IF($E35=2,+I33,0)))</f>
        <v>2149.1510853212985</v>
      </c>
      <c r="L35" s="476">
        <f t="shared" ca="1" si="19"/>
        <v>2149.1510853212985</v>
      </c>
      <c r="M35" s="476">
        <f t="shared" ca="1" si="19"/>
        <v>2149.1510853212985</v>
      </c>
      <c r="N35" s="476">
        <f t="shared" ca="1" si="19"/>
        <v>2149.1510853212985</v>
      </c>
      <c r="O35" s="476">
        <f t="shared" ca="1" si="19"/>
        <v>2149.1510853212985</v>
      </c>
      <c r="P35" s="476">
        <f t="shared" ca="1" si="19"/>
        <v>2149.1510853212985</v>
      </c>
      <c r="Q35" s="476">
        <f t="shared" ca="1" si="19"/>
        <v>2149.1510853212985</v>
      </c>
      <c r="R35" s="476">
        <f t="shared" ca="1" si="19"/>
        <v>2149.1510853212985</v>
      </c>
      <c r="S35" s="476">
        <f t="shared" ca="1" si="19"/>
        <v>2149.1510853212985</v>
      </c>
      <c r="T35" s="476">
        <f t="shared" ca="1" si="19"/>
        <v>2149.1510853212985</v>
      </c>
      <c r="U35" s="476">
        <f t="shared" ref="U35:AC35" ca="1" si="20">IF($E35=0,U33,IF($E35=1,+T33,IF($E35=2,+S33,0)))</f>
        <v>2149.1510853212985</v>
      </c>
      <c r="V35" s="476">
        <f t="shared" ca="1" si="20"/>
        <v>2149.1510853212985</v>
      </c>
      <c r="W35" s="476">
        <f t="shared" ca="1" si="20"/>
        <v>2149.1510853212985</v>
      </c>
      <c r="X35" s="476">
        <f t="shared" ca="1" si="20"/>
        <v>2149.1510853212985</v>
      </c>
      <c r="Y35" s="476">
        <f t="shared" ca="1" si="20"/>
        <v>2149.1510853212985</v>
      </c>
      <c r="Z35" s="476">
        <f t="shared" ca="1" si="20"/>
        <v>2149.1510853212985</v>
      </c>
      <c r="AA35" s="476">
        <f t="shared" ca="1" si="20"/>
        <v>2149.1510853212985</v>
      </c>
      <c r="AB35" s="476">
        <f t="shared" ca="1" si="20"/>
        <v>2149.1510853212985</v>
      </c>
      <c r="AC35" s="476">
        <f t="shared" ca="1" si="20"/>
        <v>2149.1510853212985</v>
      </c>
    </row>
    <row r="36" spans="1:29">
      <c r="B36" s="339"/>
      <c r="E36" s="330"/>
      <c r="H36" s="341"/>
      <c r="I36" s="476"/>
      <c r="J36" s="476"/>
      <c r="K36" s="476"/>
      <c r="L36" s="476"/>
      <c r="M36" s="476"/>
      <c r="N36" s="476"/>
      <c r="O36" s="476"/>
      <c r="P36" s="476"/>
      <c r="Q36" s="476"/>
      <c r="R36" s="476"/>
      <c r="S36" s="476"/>
      <c r="T36" s="476"/>
      <c r="U36" s="476"/>
      <c r="V36" s="476"/>
      <c r="W36" s="476"/>
      <c r="X36" s="476"/>
      <c r="Y36" s="476"/>
      <c r="Z36" s="476"/>
      <c r="AA36" s="476"/>
      <c r="AB36" s="476"/>
      <c r="AC36" s="476"/>
    </row>
    <row r="37" spans="1:29">
      <c r="B37" s="339"/>
      <c r="E37" s="330"/>
      <c r="H37" s="341" t="s">
        <v>172</v>
      </c>
      <c r="I37" s="476">
        <f ca="1">+PROFILE!F121</f>
        <v>139.55526528060378</v>
      </c>
      <c r="J37" s="476">
        <f ca="1">+PROFILE!G121</f>
        <v>417.27488342479489</v>
      </c>
      <c r="K37" s="476">
        <f ca="1">+PROFILE!H121</f>
        <v>692.23114519733372</v>
      </c>
      <c r="L37" s="476">
        <f ca="1">+PROFILE!I121</f>
        <v>964.45154645352852</v>
      </c>
      <c r="M37" s="476">
        <f ca="1">+PROFILE!J121</f>
        <v>1223.2593734933585</v>
      </c>
      <c r="N37" s="476">
        <f ca="1">+PROFILE!K121</f>
        <v>1429.5969259450228</v>
      </c>
      <c r="O37" s="476">
        <f ca="1">+PROFILE!L121</f>
        <v>1590.6720976209781</v>
      </c>
      <c r="P37" s="476">
        <f ca="1">+PROFILE!M121</f>
        <v>1716.4136828155401</v>
      </c>
      <c r="Q37" s="476">
        <f ca="1">+PROFILE!N121</f>
        <v>1814.5724870727804</v>
      </c>
      <c r="R37" s="476">
        <f ca="1">+PROFILE!O121</f>
        <v>1891.1990926488315</v>
      </c>
      <c r="S37" s="476">
        <f ca="1">+PROFILE!P121</f>
        <v>1951.0168209365579</v>
      </c>
      <c r="T37" s="476">
        <f ca="1">+PROFILE!Q121</f>
        <v>1997.7128815359397</v>
      </c>
      <c r="U37" s="476">
        <f ca="1">+PROFILE!R121</f>
        <v>2034.1656546170698</v>
      </c>
      <c r="V37" s="476">
        <f ca="1">+PROFILE!S121</f>
        <v>2062.6221164309377</v>
      </c>
      <c r="W37" s="476">
        <f ca="1">+PROFILE!T121</f>
        <v>2084.8363446094595</v>
      </c>
      <c r="X37" s="476">
        <f ca="1">+PROFILE!U121</f>
        <v>2102.1776408252435</v>
      </c>
      <c r="Y37" s="476">
        <f ca="1">+PROFILE!V121</f>
        <v>2115.7149355728657</v>
      </c>
      <c r="Z37" s="476">
        <f ca="1">+PROFILE!W121</f>
        <v>2126.2826778456251</v>
      </c>
      <c r="AA37" s="476">
        <f ca="1">+PROFILE!X121</f>
        <v>2134.5322711968438</v>
      </c>
      <c r="AB37" s="476">
        <f ca="1">+PROFILE!Y121</f>
        <v>2140.9722267430629</v>
      </c>
      <c r="AC37" s="476">
        <f ca="1">+PROFILE!Z121</f>
        <v>2145.9995081703528</v>
      </c>
    </row>
    <row r="38" spans="1:29">
      <c r="B38" s="339"/>
      <c r="E38" s="330"/>
      <c r="H38" s="6" t="s">
        <v>173</v>
      </c>
      <c r="I38" s="507">
        <v>0.7</v>
      </c>
      <c r="J38" s="507">
        <f>+I38</f>
        <v>0.7</v>
      </c>
      <c r="K38" s="507">
        <f t="shared" ref="K38:Z38" si="21">+J38</f>
        <v>0.7</v>
      </c>
      <c r="L38" s="507">
        <f t="shared" si="21"/>
        <v>0.7</v>
      </c>
      <c r="M38" s="507">
        <f t="shared" si="21"/>
        <v>0.7</v>
      </c>
      <c r="N38" s="507">
        <f t="shared" si="21"/>
        <v>0.7</v>
      </c>
      <c r="O38" s="507">
        <f t="shared" si="21"/>
        <v>0.7</v>
      </c>
      <c r="P38" s="507">
        <f t="shared" si="21"/>
        <v>0.7</v>
      </c>
      <c r="Q38" s="507">
        <f t="shared" si="21"/>
        <v>0.7</v>
      </c>
      <c r="R38" s="507">
        <f t="shared" si="21"/>
        <v>0.7</v>
      </c>
      <c r="S38" s="507">
        <f t="shared" si="21"/>
        <v>0.7</v>
      </c>
      <c r="T38" s="507">
        <f t="shared" si="21"/>
        <v>0.7</v>
      </c>
      <c r="U38" s="507">
        <f t="shared" si="21"/>
        <v>0.7</v>
      </c>
      <c r="V38" s="507">
        <f t="shared" si="21"/>
        <v>0.7</v>
      </c>
      <c r="W38" s="507">
        <f t="shared" si="21"/>
        <v>0.7</v>
      </c>
      <c r="X38" s="507">
        <f t="shared" si="21"/>
        <v>0.7</v>
      </c>
      <c r="Y38" s="507">
        <f t="shared" si="21"/>
        <v>0.7</v>
      </c>
      <c r="Z38" s="507">
        <f t="shared" si="21"/>
        <v>0.7</v>
      </c>
      <c r="AA38" s="507">
        <f>+Z38</f>
        <v>0.7</v>
      </c>
      <c r="AB38" s="507">
        <f>+AA38</f>
        <v>0.7</v>
      </c>
      <c r="AC38" s="507">
        <f>+AB38</f>
        <v>0.7</v>
      </c>
    </row>
    <row r="39" spans="1:29">
      <c r="B39" s="339"/>
      <c r="E39" s="330"/>
      <c r="H39" s="341" t="s">
        <v>174</v>
      </c>
      <c r="I39" s="603">
        <f>1-I38</f>
        <v>0.30000000000000004</v>
      </c>
      <c r="J39" s="603">
        <f>1-J38</f>
        <v>0.30000000000000004</v>
      </c>
      <c r="K39" s="603">
        <f t="shared" ref="K39:Z39" si="22">1-K38</f>
        <v>0.30000000000000004</v>
      </c>
      <c r="L39" s="603">
        <f t="shared" si="22"/>
        <v>0.30000000000000004</v>
      </c>
      <c r="M39" s="603">
        <f t="shared" si="22"/>
        <v>0.30000000000000004</v>
      </c>
      <c r="N39" s="603">
        <f t="shared" si="22"/>
        <v>0.30000000000000004</v>
      </c>
      <c r="O39" s="603">
        <f t="shared" si="22"/>
        <v>0.30000000000000004</v>
      </c>
      <c r="P39" s="603">
        <f t="shared" si="22"/>
        <v>0.30000000000000004</v>
      </c>
      <c r="Q39" s="603">
        <f t="shared" si="22"/>
        <v>0.30000000000000004</v>
      </c>
      <c r="R39" s="603">
        <f t="shared" si="22"/>
        <v>0.30000000000000004</v>
      </c>
      <c r="S39" s="603">
        <f t="shared" si="22"/>
        <v>0.30000000000000004</v>
      </c>
      <c r="T39" s="603">
        <f t="shared" si="22"/>
        <v>0.30000000000000004</v>
      </c>
      <c r="U39" s="603">
        <f t="shared" si="22"/>
        <v>0.30000000000000004</v>
      </c>
      <c r="V39" s="603">
        <f t="shared" si="22"/>
        <v>0.30000000000000004</v>
      </c>
      <c r="W39" s="603">
        <f t="shared" si="22"/>
        <v>0.30000000000000004</v>
      </c>
      <c r="X39" s="603">
        <f t="shared" si="22"/>
        <v>0.30000000000000004</v>
      </c>
      <c r="Y39" s="603">
        <f t="shared" si="22"/>
        <v>0.30000000000000004</v>
      </c>
      <c r="Z39" s="603">
        <f t="shared" si="22"/>
        <v>0.30000000000000004</v>
      </c>
      <c r="AA39" s="603">
        <f>1-AA38</f>
        <v>0.30000000000000004</v>
      </c>
      <c r="AB39" s="603">
        <f>1-AB38</f>
        <v>0.30000000000000004</v>
      </c>
      <c r="AC39" s="603">
        <f>1-AC38</f>
        <v>0.30000000000000004</v>
      </c>
    </row>
    <row r="40" spans="1:29">
      <c r="B40" s="339"/>
      <c r="E40" s="330"/>
      <c r="H40" s="341"/>
      <c r="I40" s="603"/>
      <c r="J40" s="603"/>
      <c r="K40" s="603"/>
      <c r="L40" s="603"/>
      <c r="M40" s="603"/>
      <c r="N40" s="603"/>
      <c r="O40" s="603"/>
      <c r="P40" s="603"/>
      <c r="Q40" s="603"/>
      <c r="R40" s="603"/>
      <c r="S40" s="603"/>
      <c r="T40" s="603"/>
      <c r="U40" s="603"/>
      <c r="V40" s="603"/>
      <c r="W40" s="603"/>
      <c r="X40" s="603"/>
      <c r="Y40" s="603"/>
      <c r="Z40" s="603"/>
      <c r="AA40" s="603"/>
      <c r="AB40" s="603"/>
      <c r="AC40" s="603"/>
    </row>
    <row r="41" spans="1:29">
      <c r="B41" s="339"/>
      <c r="E41" s="330"/>
      <c r="H41" s="6" t="s">
        <v>175</v>
      </c>
      <c r="I41" s="476">
        <f ca="1">+I38*I37</f>
        <v>97.688685696422638</v>
      </c>
      <c r="J41" s="476">
        <f t="shared" ref="J41:Y41" ca="1" si="23">+J38*J37</f>
        <v>292.09241839735643</v>
      </c>
      <c r="K41" s="476">
        <f t="shared" ca="1" si="23"/>
        <v>484.56180163813355</v>
      </c>
      <c r="L41" s="476">
        <f t="shared" ca="1" si="23"/>
        <v>675.11608251746998</v>
      </c>
      <c r="M41" s="476">
        <f t="shared" ca="1" si="23"/>
        <v>856.28156144535092</v>
      </c>
      <c r="N41" s="476">
        <f t="shared" ca="1" si="23"/>
        <v>1000.7178481615159</v>
      </c>
      <c r="O41" s="476">
        <f t="shared" ca="1" si="23"/>
        <v>1113.4704683346845</v>
      </c>
      <c r="P41" s="476">
        <f t="shared" ca="1" si="23"/>
        <v>1201.4895779708779</v>
      </c>
      <c r="Q41" s="476">
        <f t="shared" ca="1" si="23"/>
        <v>1270.2007409509463</v>
      </c>
      <c r="R41" s="476">
        <f t="shared" ca="1" si="23"/>
        <v>1323.8393648541819</v>
      </c>
      <c r="S41" s="476">
        <f t="shared" ca="1" si="23"/>
        <v>1365.7117746555905</v>
      </c>
      <c r="T41" s="476">
        <f t="shared" ca="1" si="23"/>
        <v>1398.3990170751576</v>
      </c>
      <c r="U41" s="476">
        <f t="shared" ca="1" si="23"/>
        <v>1423.9159582319487</v>
      </c>
      <c r="V41" s="476">
        <f t="shared" ca="1" si="23"/>
        <v>1443.8354815016562</v>
      </c>
      <c r="W41" s="476">
        <f t="shared" ca="1" si="23"/>
        <v>1459.3854412266217</v>
      </c>
      <c r="X41" s="476">
        <f t="shared" ca="1" si="23"/>
        <v>1471.5243485776705</v>
      </c>
      <c r="Y41" s="476">
        <f t="shared" ca="1" si="23"/>
        <v>1481.0004549010059</v>
      </c>
      <c r="Z41" s="476">
        <f ca="1">+Z38*Z37</f>
        <v>1488.3978744919375</v>
      </c>
      <c r="AA41" s="476">
        <f ca="1">+AA38*AA37</f>
        <v>1494.1725898377906</v>
      </c>
      <c r="AB41" s="476">
        <f ca="1">+AB38*AB37</f>
        <v>1498.6805587201441</v>
      </c>
      <c r="AC41" s="476">
        <f ca="1">+AC38*AC37</f>
        <v>1502.1996557192469</v>
      </c>
    </row>
    <row r="42" spans="1:29">
      <c r="C42" s="339" t="s">
        <v>176</v>
      </c>
      <c r="D42">
        <f>+D100</f>
        <v>6</v>
      </c>
      <c r="H42" s="6" t="s">
        <v>177</v>
      </c>
      <c r="I42" s="476">
        <f ca="1">+I37*I39*$D$42</f>
        <v>251.19947750508683</v>
      </c>
      <c r="J42" s="476">
        <f t="shared" ref="J42:Y42" ca="1" si="24">+J37*J39*$D$42</f>
        <v>751.09479016463092</v>
      </c>
      <c r="K42" s="476">
        <f t="shared" ca="1" si="24"/>
        <v>1246.0160613552009</v>
      </c>
      <c r="L42" s="476">
        <f t="shared" ca="1" si="24"/>
        <v>1736.0127836163515</v>
      </c>
      <c r="M42" s="476">
        <f t="shared" ca="1" si="24"/>
        <v>2201.8668722880457</v>
      </c>
      <c r="N42" s="476">
        <f t="shared" ca="1" si="24"/>
        <v>2573.2744667010411</v>
      </c>
      <c r="O42" s="476">
        <f t="shared" ca="1" si="24"/>
        <v>2863.2097757177607</v>
      </c>
      <c r="P42" s="476">
        <f t="shared" ca="1" si="24"/>
        <v>3089.5446290679729</v>
      </c>
      <c r="Q42" s="476">
        <f t="shared" ca="1" si="24"/>
        <v>3266.2304767310052</v>
      </c>
      <c r="R42" s="476">
        <f t="shared" ca="1" si="24"/>
        <v>3404.158366767897</v>
      </c>
      <c r="S42" s="476">
        <f t="shared" ca="1" si="24"/>
        <v>3511.8302776858045</v>
      </c>
      <c r="T42" s="476">
        <f t="shared" ca="1" si="24"/>
        <v>3595.8831867646923</v>
      </c>
      <c r="U42" s="476">
        <f t="shared" ca="1" si="24"/>
        <v>3661.4981783107264</v>
      </c>
      <c r="V42" s="476">
        <f t="shared" ca="1" si="24"/>
        <v>3712.7198095756885</v>
      </c>
      <c r="W42" s="476">
        <f t="shared" ca="1" si="24"/>
        <v>3752.7054202970276</v>
      </c>
      <c r="X42" s="476">
        <f t="shared" ca="1" si="24"/>
        <v>3783.9197534854393</v>
      </c>
      <c r="Y42" s="476">
        <f t="shared" ca="1" si="24"/>
        <v>3808.2868840311585</v>
      </c>
      <c r="Z42" s="476">
        <f ca="1">+Z37*Z39*$D$42</f>
        <v>3827.3088201221258</v>
      </c>
      <c r="AA42" s="476">
        <f ca="1">+AA37*AA39*$D$42</f>
        <v>3842.1580881543191</v>
      </c>
      <c r="AB42" s="476">
        <f ca="1">+AB37*AB39*$D$42</f>
        <v>3853.7500081375138</v>
      </c>
      <c r="AC42" s="476">
        <f ca="1">+AC37*AC39*$D$42</f>
        <v>3862.7991147066359</v>
      </c>
    </row>
    <row r="43" spans="1:29" ht="12" thickBot="1">
      <c r="A43" s="347"/>
      <c r="B43" s="302"/>
      <c r="C43" s="302"/>
      <c r="D43" s="302"/>
      <c r="E43" s="302"/>
      <c r="F43" s="302"/>
      <c r="G43" s="302"/>
      <c r="H43" s="302"/>
      <c r="I43" s="348"/>
      <c r="J43" s="348"/>
      <c r="K43" s="348"/>
      <c r="L43" s="348"/>
      <c r="M43" s="348"/>
      <c r="N43" s="348"/>
      <c r="O43" s="348"/>
      <c r="P43" s="348"/>
      <c r="Q43" s="348"/>
      <c r="R43" s="348"/>
      <c r="S43" s="348"/>
      <c r="T43" s="348"/>
      <c r="U43" s="348"/>
      <c r="V43" s="348"/>
      <c r="W43" s="348"/>
      <c r="X43" s="348"/>
      <c r="Y43" s="348"/>
      <c r="Z43" s="348"/>
      <c r="AA43" s="348"/>
      <c r="AB43" s="348"/>
      <c r="AC43" s="348"/>
    </row>
    <row r="44" spans="1:29" ht="12.75" thickTop="1" thickBot="1">
      <c r="A44" s="301"/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</row>
    <row r="45" spans="1:29" ht="12.75" thickTop="1" thickBot="1">
      <c r="A45" s="15" t="s">
        <v>178</v>
      </c>
      <c r="B45" s="5"/>
      <c r="C45" s="5"/>
      <c r="D45" s="5"/>
      <c r="I45" s="166" t="str">
        <f ca="1">+I$3</f>
        <v xml:space="preserve">6 M/1999 </v>
      </c>
      <c r="J45" s="166">
        <f t="shared" ref="J45:Y45" si="25">+J$3</f>
        <v>2000</v>
      </c>
      <c r="K45" s="166">
        <f t="shared" si="25"/>
        <v>2001</v>
      </c>
      <c r="L45" s="166">
        <f t="shared" si="25"/>
        <v>2002</v>
      </c>
      <c r="M45" s="166">
        <f t="shared" si="25"/>
        <v>2003</v>
      </c>
      <c r="N45" s="166">
        <f t="shared" si="25"/>
        <v>2004</v>
      </c>
      <c r="O45" s="166">
        <f t="shared" si="25"/>
        <v>2005</v>
      </c>
      <c r="P45" s="166">
        <f t="shared" si="25"/>
        <v>2006</v>
      </c>
      <c r="Q45" s="166">
        <f t="shared" si="25"/>
        <v>2007</v>
      </c>
      <c r="R45" s="166">
        <f t="shared" si="25"/>
        <v>2008</v>
      </c>
      <c r="S45" s="166">
        <f t="shared" si="25"/>
        <v>2009</v>
      </c>
      <c r="T45" s="166">
        <f t="shared" si="25"/>
        <v>2010</v>
      </c>
      <c r="U45" s="166">
        <f t="shared" si="25"/>
        <v>2011</v>
      </c>
      <c r="V45" s="166">
        <f t="shared" si="25"/>
        <v>2012</v>
      </c>
      <c r="W45" s="166">
        <f t="shared" si="25"/>
        <v>2013</v>
      </c>
      <c r="X45" s="166">
        <f t="shared" si="25"/>
        <v>2014</v>
      </c>
      <c r="Y45" s="166">
        <f t="shared" si="25"/>
        <v>2015</v>
      </c>
      <c r="Z45" s="166">
        <f>+Z$3</f>
        <v>2016</v>
      </c>
      <c r="AA45" s="166">
        <f>+AA$3</f>
        <v>2017</v>
      </c>
      <c r="AB45" s="166">
        <f>+AB$3</f>
        <v>2018</v>
      </c>
      <c r="AC45" s="166">
        <f>+AC$3</f>
        <v>2019</v>
      </c>
    </row>
    <row r="46" spans="1:29" ht="13.5" thickTop="1">
      <c r="A46" s="506" t="s">
        <v>179</v>
      </c>
      <c r="B46" s="5"/>
      <c r="C46" s="5"/>
      <c r="D46" s="5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1"/>
      <c r="AA46" s="281"/>
      <c r="AB46" s="281"/>
      <c r="AC46" s="281"/>
    </row>
    <row r="47" spans="1:29">
      <c r="A47" s="455" t="s">
        <v>15</v>
      </c>
      <c r="B47" s="83" t="s">
        <v>180</v>
      </c>
      <c r="D47" s="5"/>
      <c r="E47" s="141"/>
      <c r="F47" s="141"/>
      <c r="G47" s="141"/>
      <c r="H47" s="614"/>
      <c r="I47" s="614">
        <f ca="1">+I41</f>
        <v>97.688685696422638</v>
      </c>
      <c r="J47" s="614">
        <f t="shared" ref="J47:Y47" ca="1" si="26">+J41</f>
        <v>292.09241839735643</v>
      </c>
      <c r="K47" s="614">
        <f t="shared" ca="1" si="26"/>
        <v>484.56180163813355</v>
      </c>
      <c r="L47" s="614">
        <f t="shared" ca="1" si="26"/>
        <v>675.11608251746998</v>
      </c>
      <c r="M47" s="614">
        <f t="shared" ca="1" si="26"/>
        <v>856.28156144535092</v>
      </c>
      <c r="N47" s="614">
        <f t="shared" ca="1" si="26"/>
        <v>1000.7178481615159</v>
      </c>
      <c r="O47" s="614">
        <f t="shared" ca="1" si="26"/>
        <v>1113.4704683346845</v>
      </c>
      <c r="P47" s="614">
        <f t="shared" ca="1" si="26"/>
        <v>1201.4895779708779</v>
      </c>
      <c r="Q47" s="614">
        <f t="shared" ca="1" si="26"/>
        <v>1270.2007409509463</v>
      </c>
      <c r="R47" s="614">
        <f t="shared" ca="1" si="26"/>
        <v>1323.8393648541819</v>
      </c>
      <c r="S47" s="614">
        <f t="shared" ca="1" si="26"/>
        <v>1365.7117746555905</v>
      </c>
      <c r="T47" s="614">
        <f t="shared" ca="1" si="26"/>
        <v>1398.3990170751576</v>
      </c>
      <c r="U47" s="614">
        <f t="shared" ca="1" si="26"/>
        <v>1423.9159582319487</v>
      </c>
      <c r="V47" s="614">
        <f t="shared" ca="1" si="26"/>
        <v>1443.8354815016562</v>
      </c>
      <c r="W47" s="614">
        <f t="shared" ca="1" si="26"/>
        <v>1459.3854412266217</v>
      </c>
      <c r="X47" s="614">
        <f t="shared" ca="1" si="26"/>
        <v>1471.5243485776705</v>
      </c>
      <c r="Y47" s="614">
        <f t="shared" ca="1" si="26"/>
        <v>1481.0004549010059</v>
      </c>
      <c r="Z47" s="614">
        <f ca="1">+Z41</f>
        <v>1488.3978744919375</v>
      </c>
      <c r="AA47" s="614">
        <f ca="1">+AA41</f>
        <v>1494.1725898377906</v>
      </c>
      <c r="AB47" s="614">
        <f ca="1">+AB41</f>
        <v>1498.6805587201441</v>
      </c>
      <c r="AC47" s="614">
        <f ca="1">+AC41</f>
        <v>1502.1996557192469</v>
      </c>
    </row>
    <row r="48" spans="1:29">
      <c r="A48" s="455"/>
      <c r="B48" s="74" t="s">
        <v>181</v>
      </c>
      <c r="D48" s="5"/>
      <c r="E48" s="141"/>
      <c r="F48" s="141"/>
      <c r="G48" s="141"/>
      <c r="H48" s="614"/>
      <c r="I48" s="667">
        <v>1</v>
      </c>
      <c r="J48" s="667">
        <v>1</v>
      </c>
      <c r="K48" s="667">
        <v>1</v>
      </c>
      <c r="L48" s="667">
        <v>1</v>
      </c>
      <c r="M48" s="667">
        <v>1</v>
      </c>
      <c r="N48" s="667">
        <v>1</v>
      </c>
      <c r="O48" s="667">
        <v>1</v>
      </c>
      <c r="P48" s="667">
        <v>1</v>
      </c>
      <c r="Q48" s="667">
        <v>1</v>
      </c>
      <c r="R48" s="667">
        <v>1</v>
      </c>
      <c r="S48" s="667">
        <v>1</v>
      </c>
      <c r="T48" s="667">
        <v>1</v>
      </c>
      <c r="U48" s="667">
        <v>1</v>
      </c>
      <c r="V48" s="667">
        <v>1</v>
      </c>
      <c r="W48" s="667">
        <v>1</v>
      </c>
      <c r="X48" s="667">
        <v>1</v>
      </c>
      <c r="Y48" s="667">
        <v>1</v>
      </c>
      <c r="Z48" s="667">
        <v>1</v>
      </c>
      <c r="AA48" s="667">
        <v>1</v>
      </c>
      <c r="AB48" s="667">
        <v>1</v>
      </c>
      <c r="AC48" s="667">
        <v>1</v>
      </c>
    </row>
    <row r="49" spans="1:29">
      <c r="A49" s="455"/>
      <c r="B49" s="74" t="s">
        <v>182</v>
      </c>
      <c r="D49" s="5"/>
      <c r="E49" s="141"/>
      <c r="F49" s="141"/>
      <c r="G49" s="141"/>
      <c r="H49" s="614"/>
      <c r="I49" s="205">
        <f ca="1">+I48*I47</f>
        <v>97.688685696422638</v>
      </c>
      <c r="J49" s="205">
        <f t="shared" ref="J49:Y49" ca="1" si="27">+J48*J47</f>
        <v>292.09241839735643</v>
      </c>
      <c r="K49" s="205">
        <f t="shared" ca="1" si="27"/>
        <v>484.56180163813355</v>
      </c>
      <c r="L49" s="205">
        <f t="shared" ca="1" si="27"/>
        <v>675.11608251746998</v>
      </c>
      <c r="M49" s="205">
        <f t="shared" ca="1" si="27"/>
        <v>856.28156144535092</v>
      </c>
      <c r="N49" s="205">
        <f t="shared" ca="1" si="27"/>
        <v>1000.7178481615159</v>
      </c>
      <c r="O49" s="205">
        <f t="shared" ca="1" si="27"/>
        <v>1113.4704683346845</v>
      </c>
      <c r="P49" s="205">
        <f t="shared" ca="1" si="27"/>
        <v>1201.4895779708779</v>
      </c>
      <c r="Q49" s="205">
        <f t="shared" ca="1" si="27"/>
        <v>1270.2007409509463</v>
      </c>
      <c r="R49" s="205">
        <f t="shared" ca="1" si="27"/>
        <v>1323.8393648541819</v>
      </c>
      <c r="S49" s="205">
        <f t="shared" ca="1" si="27"/>
        <v>1365.7117746555905</v>
      </c>
      <c r="T49" s="205">
        <f t="shared" ca="1" si="27"/>
        <v>1398.3990170751576</v>
      </c>
      <c r="U49" s="205">
        <f t="shared" ca="1" si="27"/>
        <v>1423.9159582319487</v>
      </c>
      <c r="V49" s="205">
        <f t="shared" ca="1" si="27"/>
        <v>1443.8354815016562</v>
      </c>
      <c r="W49" s="205">
        <f t="shared" ca="1" si="27"/>
        <v>1459.3854412266217</v>
      </c>
      <c r="X49" s="205">
        <f t="shared" ca="1" si="27"/>
        <v>1471.5243485776705</v>
      </c>
      <c r="Y49" s="205">
        <f t="shared" ca="1" si="27"/>
        <v>1481.0004549010059</v>
      </c>
      <c r="Z49" s="205">
        <f ca="1">+Z48*Z47</f>
        <v>1488.3978744919375</v>
      </c>
      <c r="AA49" s="205">
        <f ca="1">+AA48*AA47</f>
        <v>1494.1725898377906</v>
      </c>
      <c r="AB49" s="205">
        <f ca="1">+AB48*AB47</f>
        <v>1498.6805587201441</v>
      </c>
      <c r="AC49" s="205">
        <f ca="1">+AC48*AC47</f>
        <v>1502.1996557192469</v>
      </c>
    </row>
    <row r="50" spans="1:29">
      <c r="A50" s="455"/>
      <c r="B50" s="74"/>
      <c r="D50" s="5"/>
      <c r="E50" s="141"/>
      <c r="F50" s="141"/>
      <c r="G50" s="141"/>
      <c r="H50" s="614"/>
      <c r="J50" s="614"/>
      <c r="K50" s="614"/>
      <c r="L50" s="614"/>
      <c r="M50" s="614"/>
      <c r="N50" s="614"/>
      <c r="O50" s="614"/>
      <c r="P50" s="614"/>
      <c r="Q50" s="614"/>
      <c r="R50" s="614"/>
      <c r="S50" s="614"/>
      <c r="T50" s="614"/>
      <c r="U50" s="614"/>
      <c r="V50" s="614"/>
      <c r="W50" s="614"/>
      <c r="X50" s="614"/>
      <c r="Y50" s="614"/>
      <c r="Z50" s="614"/>
      <c r="AA50" s="614"/>
      <c r="AB50" s="614"/>
      <c r="AC50" s="614"/>
    </row>
    <row r="51" spans="1:29">
      <c r="A51" s="455"/>
      <c r="B51" s="83" t="s">
        <v>183</v>
      </c>
      <c r="G51" s="219">
        <v>5</v>
      </c>
      <c r="I51" s="604">
        <f>IF($G51=1,EP!I$212,IF($G51=2,EP!I$215,IF($G51=3,EP!I$217,IF($G51=4,EP!I$219,IF($G51=5,EP!I$221,EP!I$212)))))</f>
        <v>0</v>
      </c>
      <c r="J51" s="604">
        <f ca="1">IF($G51=1,EP!J$212,IF($G51=2,EP!J$215,IF($G51=3,EP!J$217,IF($G51=4,EP!J$219,IF($G51=5,EP!J$221,EP!J$212)))))</f>
        <v>21.515888888888885</v>
      </c>
      <c r="K51" s="604">
        <f ca="1">IF($G51=1,EP!K$212,IF($G51=2,EP!K$215,IF($G51=3,EP!K$217,IF($G51=4,EP!K$219,IF($G51=5,EP!K$221,EP!K$212)))))</f>
        <v>18.986666666666665</v>
      </c>
      <c r="L51" s="604">
        <f ca="1">IF($G51=1,EP!L$212,IF($G51=2,EP!L$215,IF($G51=3,EP!L$217,IF($G51=4,EP!L$219,IF($G51=5,EP!L$221,EP!L$212)))))</f>
        <v>18.343166666666665</v>
      </c>
      <c r="M51" s="604">
        <f ca="1">IF($G51=1,EP!M$212,IF($G51=2,EP!M$215,IF($G51=3,EP!M$217,IF($G51=4,EP!M$219,IF($G51=5,EP!M$221,EP!M$212)))))</f>
        <v>18.421749999999999</v>
      </c>
      <c r="N51" s="604">
        <f ca="1">IF($G51=1,EP!N$212,IF($G51=2,EP!N$215,IF($G51=3,EP!N$217,IF($G51=4,EP!N$219,IF($G51=5,EP!N$221,EP!N$212)))))</f>
        <v>18.575749999999999</v>
      </c>
      <c r="O51" s="604">
        <f ca="1">IF($G51=1,EP!O$212,IF($G51=2,EP!O$215,IF($G51=3,EP!O$217,IF($G51=4,EP!O$219,IF($G51=5,EP!O$221,EP!O$212)))))</f>
        <v>18.731416666666668</v>
      </c>
      <c r="P51" s="604">
        <f ca="1">IF($G51=1,EP!P$212,IF($G51=2,EP!P$215,IF($G51=3,EP!P$217,IF($G51=4,EP!P$219,IF($G51=5,EP!P$221,EP!P$212)))))</f>
        <v>18.906166666666667</v>
      </c>
      <c r="Q51" s="604">
        <f ca="1">IF($G51=1,EP!Q$212,IF($G51=2,EP!Q$215,IF($G51=3,EP!Q$217,IF($G51=4,EP!Q$219,IF($G51=5,EP!Q$221,EP!Q$212)))))</f>
        <v>19.098166666666668</v>
      </c>
      <c r="R51" s="604">
        <f ca="1">IF($G51=1,EP!R$212,IF($G51=2,EP!R$215,IF($G51=3,EP!R$217,IF($G51=4,EP!R$219,IF($G51=5,EP!R$221,EP!R$212)))))</f>
        <v>19.300749999999997</v>
      </c>
      <c r="S51" s="604">
        <f ca="1">IF($G51=1,EP!S$212,IF($G51=2,EP!S$215,IF($G51=3,EP!S$217,IF($G51=4,EP!S$219,IF($G51=5,EP!S$221,EP!S$212)))))</f>
        <v>19.5105</v>
      </c>
      <c r="T51" s="604">
        <f ca="1">IF($G51=1,EP!T$212,IF($G51=2,EP!T$215,IF($G51=3,EP!T$217,IF($G51=4,EP!T$219,IF($G51=5,EP!T$221,EP!T$212)))))</f>
        <v>19.720083333333339</v>
      </c>
      <c r="U51" s="604">
        <f ca="1">IF($G51=1,EP!U$212,IF($G51=2,EP!U$215,IF($G51=3,EP!U$217,IF($G51=4,EP!U$219,IF($G51=5,EP!U$221,EP!U$212)))))</f>
        <v>19.930416666666662</v>
      </c>
      <c r="V51" s="604">
        <f ca="1">IF($G51=1,EP!V$212,IF($G51=2,EP!V$215,IF($G51=3,EP!V$217,IF($G51=4,EP!V$219,IF($G51=5,EP!V$221,EP!V$212)))))</f>
        <v>20.140416666666663</v>
      </c>
      <c r="W51" s="604">
        <f ca="1">IF($G51=1,EP!W$212,IF($G51=2,EP!W$215,IF($G51=3,EP!W$217,IF($G51=4,EP!W$219,IF($G51=5,EP!W$221,EP!W$212)))))</f>
        <v>20.350249999999999</v>
      </c>
      <c r="X51" s="604">
        <f ca="1">IF($G51=1,EP!X$212,IF($G51=2,EP!X$215,IF($G51=3,EP!X$217,IF($G51=4,EP!X$219,IF($G51=5,EP!X$221,EP!X$212)))))</f>
        <v>20.843916666666669</v>
      </c>
      <c r="Y51" s="604">
        <f ca="1">IF($G51=1,EP!Y$212,IF($G51=2,EP!Y$215,IF($G51=3,EP!Y$217,IF($G51=4,EP!Y$219,IF($G51=5,EP!Y$221,EP!Y$212)))))</f>
        <v>21.326833333333337</v>
      </c>
      <c r="Z51" s="604">
        <f ca="1">IF($G51=1,EP!Z$212,IF($G51=2,EP!Z$215,IF($G51=3,EP!Z$217,IF($G51=4,EP!Z$219,IF($G51=5,EP!Z$221,EP!Z$212)))))</f>
        <v>21.627249999999993</v>
      </c>
      <c r="AA51" s="604">
        <f ca="1">IF($G51=1,EP!AA$212,IF($G51=2,EP!AA$215,IF($G51=3,EP!AA$217,IF($G51=4,EP!AA$219,IF($G51=5,EP!AA$221,EP!AA$212)))))</f>
        <v>21.926999999999996</v>
      </c>
      <c r="AB51" s="604">
        <f ca="1">IF($G51=1,EP!AB$212,IF($G51=2,EP!AB$215,IF($G51=3,EP!AB$217,IF($G51=4,EP!AB$219,IF($G51=5,EP!AB$221,EP!AB$212)))))</f>
        <v>22.22666666666667</v>
      </c>
      <c r="AC51" s="604">
        <f ca="1">IF($G51=1,EP!AC$212,IF($G51=2,EP!AC$215,IF($G51=3,EP!AC$217,IF($G51=4,EP!AC$219,IF($G51=5,EP!AC$221,EP!AC$212)))))</f>
        <v>22.451999999999998</v>
      </c>
    </row>
    <row r="52" spans="1:29">
      <c r="A52" s="455"/>
      <c r="B52" s="83" t="s">
        <v>184</v>
      </c>
      <c r="D52" s="5"/>
      <c r="I52" s="587">
        <f>EP!I533</f>
        <v>0</v>
      </c>
      <c r="J52" s="587">
        <f>EP!J533</f>
        <v>0</v>
      </c>
      <c r="K52" s="587">
        <f>EP!K533</f>
        <v>0</v>
      </c>
      <c r="L52" s="587">
        <f>EP!L533</f>
        <v>0</v>
      </c>
      <c r="M52" s="587">
        <f>EP!M533</f>
        <v>0</v>
      </c>
      <c r="N52" s="587">
        <f>EP!N533</f>
        <v>0</v>
      </c>
      <c r="O52" s="587">
        <f>EP!O533</f>
        <v>0</v>
      </c>
      <c r="P52" s="587">
        <f>EP!P533</f>
        <v>0</v>
      </c>
      <c r="Q52" s="587">
        <f>EP!Q533</f>
        <v>0</v>
      </c>
      <c r="R52" s="587">
        <f>EP!R533</f>
        <v>0</v>
      </c>
      <c r="S52" s="587">
        <f>EP!S533</f>
        <v>0</v>
      </c>
      <c r="T52" s="587">
        <f>EP!T533</f>
        <v>0</v>
      </c>
      <c r="U52" s="587">
        <f>EP!U533</f>
        <v>0</v>
      </c>
      <c r="V52" s="587">
        <f>EP!V533</f>
        <v>0</v>
      </c>
      <c r="W52" s="587">
        <f>EP!W533</f>
        <v>0</v>
      </c>
      <c r="X52" s="587">
        <f>EP!X533</f>
        <v>0</v>
      </c>
      <c r="Y52" s="587">
        <f>EP!Y533</f>
        <v>0</v>
      </c>
      <c r="Z52" s="587">
        <f>EP!Z533</f>
        <v>0</v>
      </c>
      <c r="AA52" s="587">
        <f>EP!AA533</f>
        <v>0</v>
      </c>
      <c r="AB52" s="587">
        <f>EP!AB533</f>
        <v>0</v>
      </c>
      <c r="AC52" s="587">
        <f>EP!AC533</f>
        <v>0</v>
      </c>
    </row>
    <row r="53" spans="1:29">
      <c r="A53" s="455"/>
      <c r="B53" s="83" t="s">
        <v>185</v>
      </c>
      <c r="D53" s="5"/>
      <c r="I53" s="605">
        <f>+I51+I52</f>
        <v>0</v>
      </c>
      <c r="J53" s="605">
        <f t="shared" ref="J53:Y53" ca="1" si="28">+J51+J52</f>
        <v>21.515888888888885</v>
      </c>
      <c r="K53" s="605">
        <f t="shared" ca="1" si="28"/>
        <v>18.986666666666665</v>
      </c>
      <c r="L53" s="605">
        <f t="shared" ca="1" si="28"/>
        <v>18.343166666666665</v>
      </c>
      <c r="M53" s="605">
        <f t="shared" ca="1" si="28"/>
        <v>18.421749999999999</v>
      </c>
      <c r="N53" s="605">
        <f t="shared" ca="1" si="28"/>
        <v>18.575749999999999</v>
      </c>
      <c r="O53" s="605">
        <f t="shared" ca="1" si="28"/>
        <v>18.731416666666668</v>
      </c>
      <c r="P53" s="605">
        <f t="shared" ca="1" si="28"/>
        <v>18.906166666666667</v>
      </c>
      <c r="Q53" s="605">
        <f t="shared" ca="1" si="28"/>
        <v>19.098166666666668</v>
      </c>
      <c r="R53" s="605">
        <f t="shared" ca="1" si="28"/>
        <v>19.300749999999997</v>
      </c>
      <c r="S53" s="605">
        <f t="shared" ca="1" si="28"/>
        <v>19.5105</v>
      </c>
      <c r="T53" s="605">
        <f t="shared" ca="1" si="28"/>
        <v>19.720083333333339</v>
      </c>
      <c r="U53" s="605">
        <f t="shared" ca="1" si="28"/>
        <v>19.930416666666662</v>
      </c>
      <c r="V53" s="605">
        <f t="shared" ca="1" si="28"/>
        <v>20.140416666666663</v>
      </c>
      <c r="W53" s="605">
        <f t="shared" ca="1" si="28"/>
        <v>20.350249999999999</v>
      </c>
      <c r="X53" s="605">
        <f t="shared" ca="1" si="28"/>
        <v>20.843916666666669</v>
      </c>
      <c r="Y53" s="605">
        <f t="shared" ca="1" si="28"/>
        <v>21.326833333333337</v>
      </c>
      <c r="Z53" s="605">
        <f ca="1">+Z51+Z52</f>
        <v>21.627249999999993</v>
      </c>
      <c r="AA53" s="605">
        <f ca="1">+AA51+AA52</f>
        <v>21.926999999999996</v>
      </c>
      <c r="AB53" s="605">
        <f ca="1">+AB51+AB52</f>
        <v>22.22666666666667</v>
      </c>
      <c r="AC53" s="605">
        <f ca="1">+AC51+AC52</f>
        <v>22.451999999999998</v>
      </c>
    </row>
    <row r="54" spans="1:29">
      <c r="A54" s="230"/>
      <c r="B54" s="5" t="str">
        <f>+"Oil Revenue ("&amp;$F$5</f>
        <v>Oil Revenue (Thousands)</v>
      </c>
      <c r="D54" s="5"/>
      <c r="E54" s="141"/>
      <c r="F54" s="141"/>
      <c r="G54" s="141"/>
      <c r="H54" s="614"/>
      <c r="I54" s="615">
        <f t="shared" ref="I54:R54" ca="1" si="29">I49*I53*1000/unit</f>
        <v>0</v>
      </c>
      <c r="J54" s="615">
        <f t="shared" ca="1" si="29"/>
        <v>6284.6280195243644</v>
      </c>
      <c r="K54" s="615">
        <f t="shared" ca="1" si="29"/>
        <v>9200.213407102694</v>
      </c>
      <c r="L54" s="615">
        <f t="shared" ca="1" si="29"/>
        <v>12383.766820965036</v>
      </c>
      <c r="M54" s="615">
        <f t="shared" ca="1" si="29"/>
        <v>15774.204854555892</v>
      </c>
      <c r="N54" s="615">
        <f t="shared" ca="1" si="29"/>
        <v>18589.08456798628</v>
      </c>
      <c r="O54" s="615">
        <f t="shared" ca="1" si="29"/>
        <v>20856.879288405449</v>
      </c>
      <c r="P54" s="615">
        <f t="shared" ca="1" si="29"/>
        <v>22715.562209380412</v>
      </c>
      <c r="Q54" s="615">
        <f t="shared" ca="1" si="29"/>
        <v>24258.505450804667</v>
      </c>
      <c r="R54" s="615">
        <f t="shared" ca="1" si="29"/>
        <v>25551.092621209347</v>
      </c>
      <c r="S54" s="615">
        <f t="shared" ref="S54:AC54" ca="1" si="30">S49*S53*1000/unit</f>
        <v>26645.719579417899</v>
      </c>
      <c r="T54" s="615">
        <f t="shared" ca="1" si="30"/>
        <v>27576.545149973539</v>
      </c>
      <c r="U54" s="615">
        <f t="shared" ca="1" si="30"/>
        <v>28379.238345878661</v>
      </c>
      <c r="V54" s="615">
        <f t="shared" ca="1" si="30"/>
        <v>29079.448195560642</v>
      </c>
      <c r="W54" s="615">
        <f t="shared" ca="1" si="30"/>
        <v>29698.858575322054</v>
      </c>
      <c r="X54" s="615">
        <f t="shared" ca="1" si="30"/>
        <v>30672.330894723917</v>
      </c>
      <c r="Y54" s="615">
        <f t="shared" ca="1" si="30"/>
        <v>31585.049868264607</v>
      </c>
      <c r="Z54" s="615">
        <f t="shared" ca="1" si="30"/>
        <v>32189.952931105745</v>
      </c>
      <c r="AA54" s="615">
        <f t="shared" ca="1" si="30"/>
        <v>32762.722377373229</v>
      </c>
      <c r="AB54" s="615">
        <f t="shared" ca="1" si="30"/>
        <v>33310.673218486409</v>
      </c>
      <c r="AC54" s="615">
        <f t="shared" ca="1" si="30"/>
        <v>33727.386670208529</v>
      </c>
    </row>
    <row r="55" spans="1:29">
      <c r="A55" s="455"/>
      <c r="B55" s="5"/>
      <c r="D55" s="5"/>
      <c r="E55" s="141"/>
      <c r="F55" s="141"/>
      <c r="G55" s="141"/>
      <c r="H55" s="614"/>
      <c r="I55" s="614"/>
      <c r="J55" s="614"/>
      <c r="K55" s="614"/>
      <c r="L55" s="614"/>
      <c r="M55" s="614"/>
      <c r="N55" s="614"/>
      <c r="O55" s="614"/>
      <c r="P55" s="614"/>
      <c r="Q55" s="614"/>
      <c r="R55" s="614"/>
      <c r="S55" s="614"/>
      <c r="T55" s="614"/>
      <c r="U55" s="614"/>
      <c r="V55" s="614"/>
      <c r="W55" s="614"/>
      <c r="X55" s="614"/>
      <c r="Y55" s="616"/>
      <c r="Z55" s="616"/>
      <c r="AA55" s="616"/>
      <c r="AB55" s="616"/>
      <c r="AC55" s="616"/>
    </row>
    <row r="56" spans="1:29">
      <c r="A56" s="455" t="s">
        <v>14</v>
      </c>
      <c r="B56" s="83" t="s">
        <v>186</v>
      </c>
      <c r="D56" s="5"/>
      <c r="E56" s="141"/>
      <c r="F56" s="141"/>
      <c r="G56" s="141"/>
      <c r="H56" s="614"/>
      <c r="I56" s="614">
        <f ca="1">+I42</f>
        <v>251.19947750508683</v>
      </c>
      <c r="J56" s="614">
        <f t="shared" ref="J56:Y56" ca="1" si="31">+J42</f>
        <v>751.09479016463092</v>
      </c>
      <c r="K56" s="614">
        <f t="shared" ca="1" si="31"/>
        <v>1246.0160613552009</v>
      </c>
      <c r="L56" s="614">
        <f t="shared" ca="1" si="31"/>
        <v>1736.0127836163515</v>
      </c>
      <c r="M56" s="614">
        <f t="shared" ca="1" si="31"/>
        <v>2201.8668722880457</v>
      </c>
      <c r="N56" s="614">
        <f t="shared" ca="1" si="31"/>
        <v>2573.2744667010411</v>
      </c>
      <c r="O56" s="614">
        <f t="shared" ca="1" si="31"/>
        <v>2863.2097757177607</v>
      </c>
      <c r="P56" s="614">
        <f t="shared" ca="1" si="31"/>
        <v>3089.5446290679729</v>
      </c>
      <c r="Q56" s="614">
        <f t="shared" ca="1" si="31"/>
        <v>3266.2304767310052</v>
      </c>
      <c r="R56" s="614">
        <f t="shared" ca="1" si="31"/>
        <v>3404.158366767897</v>
      </c>
      <c r="S56" s="614">
        <f t="shared" ca="1" si="31"/>
        <v>3511.8302776858045</v>
      </c>
      <c r="T56" s="614">
        <f t="shared" ca="1" si="31"/>
        <v>3595.8831867646923</v>
      </c>
      <c r="U56" s="614">
        <f t="shared" ca="1" si="31"/>
        <v>3661.4981783107264</v>
      </c>
      <c r="V56" s="614">
        <f t="shared" ca="1" si="31"/>
        <v>3712.7198095756885</v>
      </c>
      <c r="W56" s="614">
        <f t="shared" ca="1" si="31"/>
        <v>3752.7054202970276</v>
      </c>
      <c r="X56" s="614">
        <f t="shared" ca="1" si="31"/>
        <v>3783.9197534854393</v>
      </c>
      <c r="Y56" s="614">
        <f t="shared" ca="1" si="31"/>
        <v>3808.2868840311585</v>
      </c>
      <c r="Z56" s="614">
        <f ca="1">+Z42</f>
        <v>3827.3088201221258</v>
      </c>
      <c r="AA56" s="614">
        <f ca="1">+AA42</f>
        <v>3842.1580881543191</v>
      </c>
      <c r="AB56" s="614">
        <f ca="1">+AB42</f>
        <v>3853.7500081375138</v>
      </c>
      <c r="AC56" s="614">
        <f ca="1">+AC42</f>
        <v>3862.7991147066359</v>
      </c>
    </row>
    <row r="57" spans="1:29">
      <c r="A57" s="455"/>
      <c r="B57" s="5" t="s">
        <v>181</v>
      </c>
      <c r="D57" s="5"/>
      <c r="E57" s="141"/>
      <c r="F57" s="141"/>
      <c r="G57" s="141"/>
      <c r="H57" s="614"/>
      <c r="I57" s="667">
        <v>1</v>
      </c>
      <c r="J57" s="667">
        <v>1</v>
      </c>
      <c r="K57" s="667">
        <v>1</v>
      </c>
      <c r="L57" s="667">
        <v>1</v>
      </c>
      <c r="M57" s="667">
        <v>1</v>
      </c>
      <c r="N57" s="667">
        <v>1</v>
      </c>
      <c r="O57" s="667">
        <v>1</v>
      </c>
      <c r="P57" s="667">
        <v>1</v>
      </c>
      <c r="Q57" s="667">
        <v>1</v>
      </c>
      <c r="R57" s="667">
        <v>1</v>
      </c>
      <c r="S57" s="667">
        <v>1</v>
      </c>
      <c r="T57" s="667">
        <v>1</v>
      </c>
      <c r="U57" s="667">
        <v>1</v>
      </c>
      <c r="V57" s="667">
        <v>1</v>
      </c>
      <c r="W57" s="667">
        <v>1</v>
      </c>
      <c r="X57" s="667">
        <v>1</v>
      </c>
      <c r="Y57" s="667">
        <v>1</v>
      </c>
      <c r="Z57" s="667">
        <v>1</v>
      </c>
      <c r="AA57" s="667">
        <v>1</v>
      </c>
      <c r="AB57" s="667">
        <v>1</v>
      </c>
      <c r="AC57" s="667">
        <v>1</v>
      </c>
    </row>
    <row r="58" spans="1:29">
      <c r="A58" s="455"/>
      <c r="B58" s="83" t="s">
        <v>187</v>
      </c>
      <c r="D58" s="457" t="s">
        <v>164</v>
      </c>
      <c r="E58" s="458" t="s">
        <v>188</v>
      </c>
      <c r="F58" s="459" t="s">
        <v>189</v>
      </c>
      <c r="G58" s="459" t="s">
        <v>190</v>
      </c>
      <c r="H58" s="614"/>
      <c r="I58" s="666">
        <f ca="1">+I56*I57</f>
        <v>251.19947750508683</v>
      </c>
      <c r="J58" s="666">
        <f t="shared" ref="J58:Y58" ca="1" si="32">+J56*J57</f>
        <v>751.09479016463092</v>
      </c>
      <c r="K58" s="666">
        <f t="shared" ca="1" si="32"/>
        <v>1246.0160613552009</v>
      </c>
      <c r="L58" s="666">
        <f t="shared" ca="1" si="32"/>
        <v>1736.0127836163515</v>
      </c>
      <c r="M58" s="666">
        <f t="shared" ca="1" si="32"/>
        <v>2201.8668722880457</v>
      </c>
      <c r="N58" s="666">
        <f t="shared" ca="1" si="32"/>
        <v>2573.2744667010411</v>
      </c>
      <c r="O58" s="666">
        <f t="shared" ca="1" si="32"/>
        <v>2863.2097757177607</v>
      </c>
      <c r="P58" s="666">
        <f t="shared" ca="1" si="32"/>
        <v>3089.5446290679729</v>
      </c>
      <c r="Q58" s="666">
        <f t="shared" ca="1" si="32"/>
        <v>3266.2304767310052</v>
      </c>
      <c r="R58" s="666">
        <f t="shared" ca="1" si="32"/>
        <v>3404.158366767897</v>
      </c>
      <c r="S58" s="666">
        <f t="shared" ca="1" si="32"/>
        <v>3511.8302776858045</v>
      </c>
      <c r="T58" s="666">
        <f t="shared" ca="1" si="32"/>
        <v>3595.8831867646923</v>
      </c>
      <c r="U58" s="666">
        <f t="shared" ca="1" si="32"/>
        <v>3661.4981783107264</v>
      </c>
      <c r="V58" s="666">
        <f t="shared" ca="1" si="32"/>
        <v>3712.7198095756885</v>
      </c>
      <c r="W58" s="666">
        <f t="shared" ca="1" si="32"/>
        <v>3752.7054202970276</v>
      </c>
      <c r="X58" s="666">
        <f t="shared" ca="1" si="32"/>
        <v>3783.9197534854393</v>
      </c>
      <c r="Y58" s="666">
        <f t="shared" ca="1" si="32"/>
        <v>3808.2868840311585</v>
      </c>
      <c r="Z58" s="666">
        <f ca="1">+Z56*Z57</f>
        <v>3827.3088201221258</v>
      </c>
      <c r="AA58" s="666">
        <f ca="1">+AA56*AA57</f>
        <v>3842.1580881543191</v>
      </c>
      <c r="AB58" s="666">
        <f ca="1">+AB56*AB57</f>
        <v>3853.7500081375138</v>
      </c>
      <c r="AC58" s="666">
        <f ca="1">+AC56*AC57</f>
        <v>3862.7991147066359</v>
      </c>
    </row>
    <row r="59" spans="1:29">
      <c r="A59" s="455"/>
      <c r="B59" s="339" t="s">
        <v>191</v>
      </c>
      <c r="D59" s="502" t="s">
        <v>19</v>
      </c>
      <c r="E59" s="581"/>
      <c r="F59" s="581"/>
      <c r="G59" s="581"/>
      <c r="H59" s="614"/>
      <c r="I59" s="586">
        <v>1</v>
      </c>
      <c r="J59" s="586">
        <v>1</v>
      </c>
      <c r="K59" s="586">
        <v>1</v>
      </c>
      <c r="L59" s="586">
        <v>1</v>
      </c>
      <c r="M59" s="586">
        <v>1</v>
      </c>
      <c r="N59" s="586">
        <v>1</v>
      </c>
      <c r="O59" s="586">
        <v>1</v>
      </c>
      <c r="P59" s="586">
        <v>1</v>
      </c>
      <c r="Q59" s="586">
        <v>1</v>
      </c>
      <c r="R59" s="586">
        <v>1</v>
      </c>
      <c r="S59" s="586">
        <v>1</v>
      </c>
      <c r="T59" s="586">
        <v>1</v>
      </c>
      <c r="U59" s="586">
        <v>1</v>
      </c>
      <c r="V59" s="586">
        <v>1</v>
      </c>
      <c r="W59" s="586">
        <v>1</v>
      </c>
      <c r="X59" s="586">
        <v>1</v>
      </c>
      <c r="Y59" s="586">
        <v>1</v>
      </c>
      <c r="Z59" s="586">
        <v>1</v>
      </c>
      <c r="AA59" s="586">
        <v>1</v>
      </c>
      <c r="AB59" s="586">
        <v>1</v>
      </c>
      <c r="AC59" s="586">
        <v>1</v>
      </c>
    </row>
    <row r="60" spans="1:29">
      <c r="A60" s="455"/>
      <c r="B60" s="83" t="s">
        <v>192</v>
      </c>
      <c r="D60" s="5"/>
      <c r="I60" s="205">
        <f ca="1">+I59*I58</f>
        <v>251.19947750508683</v>
      </c>
      <c r="J60" s="205">
        <f t="shared" ref="J60:Y60" ca="1" si="33">+J59*J58</f>
        <v>751.09479016463092</v>
      </c>
      <c r="K60" s="205">
        <f t="shared" ca="1" si="33"/>
        <v>1246.0160613552009</v>
      </c>
      <c r="L60" s="205">
        <f t="shared" ca="1" si="33"/>
        <v>1736.0127836163515</v>
      </c>
      <c r="M60" s="205">
        <f t="shared" ca="1" si="33"/>
        <v>2201.8668722880457</v>
      </c>
      <c r="N60" s="205">
        <f t="shared" ca="1" si="33"/>
        <v>2573.2744667010411</v>
      </c>
      <c r="O60" s="205">
        <f t="shared" ca="1" si="33"/>
        <v>2863.2097757177607</v>
      </c>
      <c r="P60" s="205">
        <f t="shared" ca="1" si="33"/>
        <v>3089.5446290679729</v>
      </c>
      <c r="Q60" s="205">
        <f t="shared" ca="1" si="33"/>
        <v>3266.2304767310052</v>
      </c>
      <c r="R60" s="205">
        <f t="shared" ca="1" si="33"/>
        <v>3404.158366767897</v>
      </c>
      <c r="S60" s="205">
        <f t="shared" ca="1" si="33"/>
        <v>3511.8302776858045</v>
      </c>
      <c r="T60" s="205">
        <f t="shared" ca="1" si="33"/>
        <v>3595.8831867646923</v>
      </c>
      <c r="U60" s="205">
        <f t="shared" ca="1" si="33"/>
        <v>3661.4981783107264</v>
      </c>
      <c r="V60" s="205">
        <f t="shared" ca="1" si="33"/>
        <v>3712.7198095756885</v>
      </c>
      <c r="W60" s="205">
        <f t="shared" ca="1" si="33"/>
        <v>3752.7054202970276</v>
      </c>
      <c r="X60" s="205">
        <f t="shared" ca="1" si="33"/>
        <v>3783.9197534854393</v>
      </c>
      <c r="Y60" s="205">
        <f t="shared" ca="1" si="33"/>
        <v>3808.2868840311585</v>
      </c>
      <c r="Z60" s="205">
        <f ca="1">+Z59*Z58</f>
        <v>3827.3088201221258</v>
      </c>
      <c r="AA60" s="205">
        <f ca="1">+AA59*AA58</f>
        <v>3842.1580881543191</v>
      </c>
      <c r="AB60" s="205">
        <f ca="1">+AB59*AB58</f>
        <v>3853.7500081375138</v>
      </c>
      <c r="AC60" s="205">
        <f ca="1">+AC59*AC58</f>
        <v>3862.7991147066359</v>
      </c>
    </row>
    <row r="61" spans="1:29">
      <c r="A61" s="455"/>
      <c r="B61" s="83"/>
      <c r="D61" s="5"/>
      <c r="I61" s="614"/>
      <c r="J61" s="614"/>
      <c r="K61" s="614"/>
      <c r="L61" s="614"/>
      <c r="M61" s="614"/>
      <c r="N61" s="614"/>
      <c r="O61" s="614"/>
      <c r="P61" s="614"/>
      <c r="Q61" s="614"/>
      <c r="R61" s="614"/>
      <c r="S61" s="614"/>
      <c r="T61" s="614"/>
      <c r="U61" s="614"/>
      <c r="V61" s="614"/>
      <c r="W61" s="614"/>
      <c r="X61" s="614"/>
      <c r="Y61" s="614"/>
      <c r="Z61" s="614"/>
      <c r="AA61" s="614"/>
      <c r="AB61" s="614"/>
      <c r="AC61" s="614"/>
    </row>
    <row r="62" spans="1:29">
      <c r="A62" s="455"/>
      <c r="B62" s="83" t="s">
        <v>193</v>
      </c>
      <c r="G62" s="219">
        <v>5</v>
      </c>
      <c r="I62" s="606">
        <f>IF($G62=1,EP!I$197,IF($G62=2,EP!I$200,IF($G62=3,EP!I$202,IF($G62=4,EP!I$204,IF($G62=5,EP!I$206,EP!I$197)))))</f>
        <v>0</v>
      </c>
      <c r="J62" s="606">
        <f ca="1">IF($G62=1,EP!J$197,IF($G62=2,EP!J$200,IF($G62=3,EP!J$202,IF($G62=4,EP!J$204,IF($G62=5,EP!J$206,EP!J$197)))))</f>
        <v>2.2389999999999999</v>
      </c>
      <c r="K62" s="606">
        <f ca="1">IF($G62=1,EP!K$197,IF($G62=2,EP!K$200,IF($G62=3,EP!K$202,IF($G62=4,EP!K$204,IF($G62=5,EP!K$206,EP!K$197)))))</f>
        <v>2.0167499999999996</v>
      </c>
      <c r="L62" s="606">
        <f ca="1">IF($G62=1,EP!L$197,IF($G62=2,EP!L$200,IF($G62=3,EP!L$202,IF($G62=4,EP!L$204,IF($G62=5,EP!L$206,EP!L$197)))))</f>
        <v>2.0158333333333331</v>
      </c>
      <c r="M62" s="606">
        <f ca="1">IF($G62=1,EP!M$197,IF($G62=2,EP!M$200,IF($G62=3,EP!M$202,IF($G62=4,EP!M$204,IF($G62=5,EP!M$206,EP!M$197)))))</f>
        <v>2.0045833333333336</v>
      </c>
      <c r="N62" s="606">
        <f ca="1">IF($G62=1,EP!N$197,IF($G62=2,EP!N$200,IF($G62=3,EP!N$202,IF($G62=4,EP!N$204,IF($G62=5,EP!N$206,EP!N$197)))))</f>
        <v>2.0054166666666666</v>
      </c>
      <c r="O62" s="606">
        <f ca="1">IF($G62=1,EP!O$197,IF($G62=2,EP!O$200,IF($G62=3,EP!O$202,IF($G62=4,EP!O$204,IF($G62=5,EP!O$206,EP!O$197)))))</f>
        <v>2.0133333333333332</v>
      </c>
      <c r="P62" s="606">
        <f ca="1">IF($G62=1,EP!P$197,IF($G62=2,EP!P$200,IF($G62=3,EP!P$202,IF($G62=4,EP!P$204,IF($G62=5,EP!P$206,EP!P$197)))))</f>
        <v>2.0291666666666663</v>
      </c>
      <c r="Q62" s="606">
        <f ca="1">IF($G62=1,EP!Q$197,IF($G62=2,EP!Q$200,IF($G62=3,EP!Q$202,IF($G62=4,EP!Q$204,IF($G62=5,EP!Q$206,EP!Q$197)))))</f>
        <v>2.0549999999999997</v>
      </c>
      <c r="R62" s="606">
        <f ca="1">IF($G62=1,EP!R$197,IF($G62=2,EP!R$200,IF($G62=3,EP!R$202,IF($G62=4,EP!R$204,IF($G62=5,EP!R$206,EP!R$197)))))</f>
        <v>2.0966666666666662</v>
      </c>
      <c r="S62" s="606">
        <f ca="1">IF($G62=1,EP!S$197,IF($G62=2,EP!S$200,IF($G62=3,EP!S$202,IF($G62=4,EP!S$204,IF($G62=5,EP!S$206,EP!S$197)))))</f>
        <v>2.1583333333333328</v>
      </c>
      <c r="T62" s="606">
        <f ca="1">IF($G62=1,EP!T$197,IF($G62=2,EP!T$200,IF($G62=3,EP!T$202,IF($G62=4,EP!T$204,IF($G62=5,EP!T$206,EP!T$197)))))</f>
        <v>2.2399999999999993</v>
      </c>
      <c r="U62" s="606">
        <f ca="1">IF($G62=1,EP!U$197,IF($G62=2,EP!U$200,IF($G62=3,EP!U$202,IF($G62=4,EP!U$204,IF($G62=5,EP!U$206,EP!U$197)))))</f>
        <v>2.3416666666666663</v>
      </c>
      <c r="V62" s="606">
        <f ca="1">IF($G62=1,EP!V$197,IF($G62=2,EP!V$200,IF($G62=3,EP!V$202,IF($G62=4,EP!V$204,IF($G62=5,EP!V$206,EP!V$197)))))</f>
        <v>2.4574999999999991</v>
      </c>
      <c r="W62" s="606">
        <f ca="1">IF($G62=1,EP!W$197,IF($G62=2,EP!W$200,IF($G62=3,EP!W$202,IF($G62=4,EP!W$204,IF($G62=5,EP!W$206,EP!W$197)))))</f>
        <v>2.5833333333333326</v>
      </c>
      <c r="X62" s="606">
        <f ca="1">IF($G62=1,EP!X$197,IF($G62=2,EP!X$200,IF($G62=3,EP!X$202,IF($G62=4,EP!X$204,IF($G62=5,EP!X$206,EP!X$197)))))</f>
        <v>2.7191666666666663</v>
      </c>
      <c r="Y62" s="606">
        <f ca="1">IF($G62=1,EP!Y$197,IF($G62=2,EP!Y$200,IF($G62=3,EP!Y$202,IF($G62=4,EP!Y$204,IF($G62=5,EP!Y$206,EP!Y$197)))))</f>
        <v>2.8649999999999998</v>
      </c>
      <c r="Z62" s="606">
        <f ca="1">IF($G62=1,EP!Z$197,IF($G62=2,EP!Z$200,IF($G62=3,EP!Z$202,IF($G62=4,EP!Z$204,IF($G62=5,EP!Z$206,EP!Z$197)))))</f>
        <v>3.0208333333333326</v>
      </c>
      <c r="AA62" s="606">
        <f ca="1">IF($G62=1,EP!AA$197,IF($G62=2,EP!AA$200,IF($G62=3,EP!AA$202,IF($G62=4,EP!AA$204,IF($G62=5,EP!AA$206,EP!AA$197)))))</f>
        <v>3.186666666666667</v>
      </c>
      <c r="AB62" s="606">
        <f ca="1">IF($G62=1,EP!AB$197,IF($G62=2,EP!AB$200,IF($G62=3,EP!AB$202,IF($G62=4,EP!AB$204,IF($G62=5,EP!AB$206,EP!AB$197)))))</f>
        <v>3.3625000000000003</v>
      </c>
      <c r="AC62" s="606">
        <f ca="1">IF($G62=1,EP!AC$197,IF($G62=2,EP!AC$200,IF($G62=3,EP!AC$202,IF($G62=4,EP!AC$204,IF($G62=5,EP!AC$206,EP!AC$197)))))</f>
        <v>3.5483333333333325</v>
      </c>
    </row>
    <row r="63" spans="1:29">
      <c r="A63" s="455"/>
      <c r="B63" s="83" t="s">
        <v>184</v>
      </c>
      <c r="D63" s="5"/>
      <c r="E63" s="444"/>
      <c r="F63" s="444"/>
      <c r="G63" s="444"/>
      <c r="H63" s="445"/>
      <c r="I63" s="586">
        <f>EP!I549</f>
        <v>0</v>
      </c>
      <c r="J63" s="586">
        <f>EP!J549</f>
        <v>0</v>
      </c>
      <c r="K63" s="586">
        <f>EP!K549</f>
        <v>0</v>
      </c>
      <c r="L63" s="586">
        <f>EP!L549</f>
        <v>0</v>
      </c>
      <c r="M63" s="586">
        <f>EP!M549</f>
        <v>0</v>
      </c>
      <c r="N63" s="586">
        <f>EP!N549</f>
        <v>0</v>
      </c>
      <c r="O63" s="586">
        <f>EP!O549</f>
        <v>0</v>
      </c>
      <c r="P63" s="586">
        <f>EP!P549</f>
        <v>0</v>
      </c>
      <c r="Q63" s="586">
        <f>EP!Q549</f>
        <v>0</v>
      </c>
      <c r="R63" s="586">
        <f>EP!R549</f>
        <v>0</v>
      </c>
      <c r="S63" s="586">
        <f>EP!S549</f>
        <v>0</v>
      </c>
      <c r="T63" s="586">
        <f>EP!T549</f>
        <v>0</v>
      </c>
      <c r="U63" s="586">
        <f>EP!U549</f>
        <v>0</v>
      </c>
      <c r="V63" s="586">
        <f>EP!V549</f>
        <v>0</v>
      </c>
      <c r="W63" s="586">
        <f>EP!W549</f>
        <v>0</v>
      </c>
      <c r="X63" s="586">
        <f>EP!X549</f>
        <v>0</v>
      </c>
      <c r="Y63" s="586">
        <f>EP!Y549</f>
        <v>0</v>
      </c>
      <c r="Z63" s="586">
        <f>EP!Z549</f>
        <v>0</v>
      </c>
      <c r="AA63" s="586">
        <f>EP!AA549</f>
        <v>0</v>
      </c>
      <c r="AB63" s="586">
        <f>EP!AB549</f>
        <v>0</v>
      </c>
      <c r="AC63" s="586">
        <f>EP!AC549</f>
        <v>0</v>
      </c>
    </row>
    <row r="64" spans="1:29">
      <c r="A64" s="455"/>
      <c r="B64" s="83" t="s">
        <v>194</v>
      </c>
      <c r="D64" s="5"/>
      <c r="I64" s="607">
        <f>+I62+I63</f>
        <v>0</v>
      </c>
      <c r="J64" s="607">
        <f t="shared" ref="J64:Y64" ca="1" si="34">+J62+J63</f>
        <v>2.2389999999999999</v>
      </c>
      <c r="K64" s="607">
        <f t="shared" ca="1" si="34"/>
        <v>2.0167499999999996</v>
      </c>
      <c r="L64" s="607">
        <f t="shared" ca="1" si="34"/>
        <v>2.0158333333333331</v>
      </c>
      <c r="M64" s="607">
        <f t="shared" ca="1" si="34"/>
        <v>2.0045833333333336</v>
      </c>
      <c r="N64" s="607">
        <f t="shared" ca="1" si="34"/>
        <v>2.0054166666666666</v>
      </c>
      <c r="O64" s="607">
        <f t="shared" ca="1" si="34"/>
        <v>2.0133333333333332</v>
      </c>
      <c r="P64" s="607">
        <f t="shared" ca="1" si="34"/>
        <v>2.0291666666666663</v>
      </c>
      <c r="Q64" s="607">
        <f t="shared" ca="1" si="34"/>
        <v>2.0549999999999997</v>
      </c>
      <c r="R64" s="607">
        <f t="shared" ca="1" si="34"/>
        <v>2.0966666666666662</v>
      </c>
      <c r="S64" s="607">
        <f t="shared" ca="1" si="34"/>
        <v>2.1583333333333328</v>
      </c>
      <c r="T64" s="607">
        <f t="shared" ca="1" si="34"/>
        <v>2.2399999999999993</v>
      </c>
      <c r="U64" s="607">
        <f t="shared" ca="1" si="34"/>
        <v>2.3416666666666663</v>
      </c>
      <c r="V64" s="607">
        <f t="shared" ca="1" si="34"/>
        <v>2.4574999999999991</v>
      </c>
      <c r="W64" s="607">
        <f t="shared" ca="1" si="34"/>
        <v>2.5833333333333326</v>
      </c>
      <c r="X64" s="607">
        <f t="shared" ca="1" si="34"/>
        <v>2.7191666666666663</v>
      </c>
      <c r="Y64" s="607">
        <f t="shared" ca="1" si="34"/>
        <v>2.8649999999999998</v>
      </c>
      <c r="Z64" s="607">
        <f ca="1">+Z62+Z63</f>
        <v>3.0208333333333326</v>
      </c>
      <c r="AA64" s="607">
        <f ca="1">+AA62+AA63</f>
        <v>3.186666666666667</v>
      </c>
      <c r="AB64" s="607">
        <f ca="1">+AB62+AB63</f>
        <v>3.3625000000000003</v>
      </c>
      <c r="AC64" s="607">
        <f ca="1">+AC62+AC63</f>
        <v>3.5483333333333325</v>
      </c>
    </row>
    <row r="65" spans="1:29">
      <c r="A65" s="455"/>
      <c r="B65" s="5" t="str">
        <f>+"Gas Revenues ("&amp;$F$5</f>
        <v>Gas Revenues (Thousands)</v>
      </c>
      <c r="D65" s="5"/>
      <c r="I65" s="617">
        <f ca="1">I60*1000*I64/unit</f>
        <v>0</v>
      </c>
      <c r="J65" s="617">
        <f t="shared" ref="J65:Y65" ca="1" si="35">J60*1000*J64/unit</f>
        <v>1681.7012351786086</v>
      </c>
      <c r="K65" s="617">
        <f t="shared" ca="1" si="35"/>
        <v>2512.9028917381011</v>
      </c>
      <c r="L65" s="617">
        <f t="shared" ca="1" si="35"/>
        <v>3499.5124363066279</v>
      </c>
      <c r="M65" s="617">
        <f t="shared" ca="1" si="35"/>
        <v>4413.8256344074116</v>
      </c>
      <c r="N65" s="617">
        <f t="shared" ca="1" si="35"/>
        <v>5160.4875034300458</v>
      </c>
      <c r="O65" s="617">
        <f t="shared" ca="1" si="35"/>
        <v>5764.5956817784254</v>
      </c>
      <c r="P65" s="617">
        <f t="shared" ca="1" si="35"/>
        <v>6269.2009764837603</v>
      </c>
      <c r="Q65" s="617">
        <f t="shared" ca="1" si="35"/>
        <v>6712.1036296822149</v>
      </c>
      <c r="R65" s="617">
        <f t="shared" ca="1" si="35"/>
        <v>7137.3853756566887</v>
      </c>
      <c r="S65" s="617">
        <f t="shared" ca="1" si="35"/>
        <v>7579.7003493385255</v>
      </c>
      <c r="T65" s="617">
        <f t="shared" ca="1" si="35"/>
        <v>8054.7783383529086</v>
      </c>
      <c r="U65" s="617">
        <f t="shared" ca="1" si="35"/>
        <v>8574.008234210949</v>
      </c>
      <c r="V65" s="617">
        <f t="shared" ca="1" si="35"/>
        <v>9124.0089320322513</v>
      </c>
      <c r="W65" s="617">
        <f t="shared" ca="1" si="35"/>
        <v>9694.4890024339857</v>
      </c>
      <c r="X65" s="617">
        <f t="shared" ca="1" si="35"/>
        <v>10289.108463019154</v>
      </c>
      <c r="Y65" s="617">
        <f t="shared" ca="1" si="35"/>
        <v>10910.741922749268</v>
      </c>
      <c r="Z65" s="617">
        <f ca="1">Z60*1000*Z64/unit</f>
        <v>11561.662060785584</v>
      </c>
      <c r="AA65" s="617">
        <f ca="1">AA60*1000*AA64/unit</f>
        <v>12243.677107585099</v>
      </c>
      <c r="AB65" s="617">
        <f ca="1">AB60*1000*AB64/unit</f>
        <v>12958.234402362392</v>
      </c>
      <c r="AC65" s="617">
        <f ca="1">AC60*1000*AC64/unit</f>
        <v>13706.498858684043</v>
      </c>
    </row>
    <row r="66" spans="1:29">
      <c r="A66" s="455"/>
      <c r="B66" s="5"/>
      <c r="D66" s="5"/>
      <c r="E66" s="418"/>
      <c r="F66" s="418"/>
      <c r="G66" s="418"/>
      <c r="H66" s="614"/>
      <c r="I66" s="614"/>
      <c r="J66" s="614"/>
      <c r="K66" s="614"/>
      <c r="L66" s="614"/>
      <c r="M66" s="614"/>
      <c r="N66" s="614"/>
      <c r="O66" s="614"/>
      <c r="P66" s="614"/>
      <c r="Q66" s="614"/>
      <c r="R66" s="614"/>
      <c r="S66" s="614"/>
      <c r="T66" s="614"/>
      <c r="U66" s="614"/>
      <c r="V66" s="614"/>
      <c r="W66" s="614"/>
      <c r="X66" s="614"/>
      <c r="Y66" s="616"/>
      <c r="Z66" s="616"/>
      <c r="AA66" s="616"/>
      <c r="AB66" s="616"/>
      <c r="AC66" s="616"/>
    </row>
    <row r="67" spans="1:29">
      <c r="A67" s="15" t="s">
        <v>195</v>
      </c>
      <c r="D67" s="5"/>
      <c r="I67" s="614">
        <f ca="1">I65+I54</f>
        <v>0</v>
      </c>
      <c r="J67" s="614">
        <f t="shared" ref="J67:Y67" ca="1" si="36">J65+J54</f>
        <v>7966.3292547029732</v>
      </c>
      <c r="K67" s="614">
        <f t="shared" ca="1" si="36"/>
        <v>11713.116298840796</v>
      </c>
      <c r="L67" s="614">
        <f t="shared" ca="1" si="36"/>
        <v>15883.279257271664</v>
      </c>
      <c r="M67" s="614">
        <f t="shared" ca="1" si="36"/>
        <v>20188.030488963304</v>
      </c>
      <c r="N67" s="614">
        <f t="shared" ca="1" si="36"/>
        <v>23749.572071416325</v>
      </c>
      <c r="O67" s="614">
        <f t="shared" ca="1" si="36"/>
        <v>26621.474970183874</v>
      </c>
      <c r="P67" s="614">
        <f t="shared" ca="1" si="36"/>
        <v>28984.763185864173</v>
      </c>
      <c r="Q67" s="614">
        <f t="shared" ca="1" si="36"/>
        <v>30970.60908048688</v>
      </c>
      <c r="R67" s="614">
        <f t="shared" ca="1" si="36"/>
        <v>32688.477996866037</v>
      </c>
      <c r="S67" s="614">
        <f t="shared" ca="1" si="36"/>
        <v>34225.419928756426</v>
      </c>
      <c r="T67" s="614">
        <f t="shared" ca="1" si="36"/>
        <v>35631.323488326445</v>
      </c>
      <c r="U67" s="614">
        <f t="shared" ca="1" si="36"/>
        <v>36953.24658008961</v>
      </c>
      <c r="V67" s="614">
        <f t="shared" ca="1" si="36"/>
        <v>38203.45712759289</v>
      </c>
      <c r="W67" s="614">
        <f t="shared" ca="1" si="36"/>
        <v>39393.347577756038</v>
      </c>
      <c r="X67" s="614">
        <f t="shared" ca="1" si="36"/>
        <v>40961.439357743075</v>
      </c>
      <c r="Y67" s="614">
        <f t="shared" ca="1" si="36"/>
        <v>42495.791791013879</v>
      </c>
      <c r="Z67" s="614">
        <f ca="1">Z65+Z54</f>
        <v>43751.614991891329</v>
      </c>
      <c r="AA67" s="614">
        <f ca="1">AA65+AA54</f>
        <v>45006.399484958325</v>
      </c>
      <c r="AB67" s="614">
        <f ca="1">AB65+AB54</f>
        <v>46268.907620848797</v>
      </c>
      <c r="AC67" s="614">
        <f ca="1">AC65+AC54</f>
        <v>47433.88552889257</v>
      </c>
    </row>
    <row r="68" spans="1:29" ht="12" thickBot="1">
      <c r="A68" s="15"/>
      <c r="B68" s="5"/>
      <c r="D68" s="5"/>
      <c r="E68" s="220"/>
      <c r="F68" s="220"/>
      <c r="G68" s="220"/>
      <c r="H68" s="614"/>
      <c r="I68" s="614"/>
      <c r="J68" s="614"/>
      <c r="K68" s="614"/>
      <c r="L68" s="614"/>
      <c r="M68" s="614"/>
      <c r="N68" s="614"/>
      <c r="O68" s="614"/>
      <c r="P68" s="614"/>
      <c r="Q68" s="614"/>
      <c r="R68" s="614"/>
      <c r="S68" s="614"/>
      <c r="T68" s="614"/>
      <c r="U68" s="614"/>
      <c r="V68" s="614"/>
      <c r="W68" s="614"/>
      <c r="X68" s="614"/>
      <c r="Y68" s="616"/>
      <c r="Z68" s="616"/>
      <c r="AA68" s="616"/>
      <c r="AB68" s="616"/>
      <c r="AC68" s="616"/>
    </row>
    <row r="69" spans="1:29" ht="12" thickTop="1">
      <c r="A69" s="443"/>
      <c r="B69" s="443"/>
      <c r="C69" s="443"/>
      <c r="D69" s="443"/>
      <c r="E69" s="443"/>
      <c r="F69" s="443"/>
      <c r="G69" s="443"/>
      <c r="H69" s="443"/>
      <c r="I69" s="443"/>
      <c r="J69" s="443"/>
      <c r="K69" s="443"/>
      <c r="L69" s="443"/>
      <c r="M69" s="443"/>
      <c r="N69" s="443"/>
      <c r="O69" s="443"/>
      <c r="P69" s="443"/>
      <c r="Q69" s="443"/>
      <c r="R69" s="443"/>
      <c r="S69" s="443"/>
      <c r="T69" s="443"/>
      <c r="U69" s="443"/>
      <c r="V69" s="443"/>
      <c r="W69" s="443"/>
      <c r="X69" s="443"/>
      <c r="Y69" s="443"/>
      <c r="Z69" s="443"/>
      <c r="AA69" s="443"/>
      <c r="AB69" s="443"/>
      <c r="AC69" s="443"/>
    </row>
    <row r="70" spans="1:29">
      <c r="A70" s="15"/>
      <c r="B70" s="15" t="s">
        <v>196</v>
      </c>
      <c r="C70" s="330"/>
      <c r="D70" s="330"/>
      <c r="E70" s="614"/>
      <c r="F70" s="614"/>
      <c r="G70" s="614"/>
      <c r="H70" s="614"/>
      <c r="I70" s="614"/>
      <c r="J70" s="614"/>
      <c r="K70" s="614"/>
      <c r="L70" s="614"/>
      <c r="M70" s="614"/>
      <c r="N70" s="614"/>
      <c r="O70" s="614"/>
      <c r="P70" s="614"/>
      <c r="Q70" s="614"/>
      <c r="R70" s="614"/>
      <c r="S70" s="614"/>
      <c r="T70" s="614"/>
      <c r="U70" s="614"/>
      <c r="V70" s="614"/>
      <c r="W70" s="614"/>
      <c r="X70" s="614"/>
      <c r="Y70" s="614"/>
      <c r="Z70" s="614"/>
      <c r="AA70" s="614"/>
      <c r="AB70" s="614"/>
      <c r="AC70" s="614"/>
    </row>
    <row r="71" spans="1:29">
      <c r="A71" s="15"/>
      <c r="B71" s="339" t="s">
        <v>197</v>
      </c>
      <c r="C71" s="416" t="s">
        <v>198</v>
      </c>
      <c r="D71">
        <f>+D100</f>
        <v>6</v>
      </c>
      <c r="F71" s="614"/>
      <c r="G71" s="614"/>
      <c r="H71" s="618" t="s">
        <v>199</v>
      </c>
      <c r="I71" s="614">
        <f ca="1">+I37*1000</f>
        <v>139555.26528060378</v>
      </c>
      <c r="J71" s="614">
        <f t="shared" ref="J71:Y71" ca="1" si="37">+J37*1000</f>
        <v>417274.88342479488</v>
      </c>
      <c r="K71" s="614">
        <f t="shared" ca="1" si="37"/>
        <v>692231.14519733377</v>
      </c>
      <c r="L71" s="614">
        <f t="shared" ca="1" si="37"/>
        <v>964451.54645352857</v>
      </c>
      <c r="M71" s="614">
        <f t="shared" ca="1" si="37"/>
        <v>1223259.3734933585</v>
      </c>
      <c r="N71" s="614">
        <f t="shared" ca="1" si="37"/>
        <v>1429596.9259450228</v>
      </c>
      <c r="O71" s="614">
        <f t="shared" ca="1" si="37"/>
        <v>1590672.097620978</v>
      </c>
      <c r="P71" s="614">
        <f t="shared" ca="1" si="37"/>
        <v>1716413.6828155401</v>
      </c>
      <c r="Q71" s="614">
        <f t="shared" ca="1" si="37"/>
        <v>1814572.4870727805</v>
      </c>
      <c r="R71" s="614">
        <f t="shared" ca="1" si="37"/>
        <v>1891199.0926488314</v>
      </c>
      <c r="S71" s="614">
        <f t="shared" ca="1" si="37"/>
        <v>1951016.8209365578</v>
      </c>
      <c r="T71" s="614">
        <f t="shared" ca="1" si="37"/>
        <v>1997712.8815359396</v>
      </c>
      <c r="U71" s="614">
        <f t="shared" ca="1" si="37"/>
        <v>2034165.6546170698</v>
      </c>
      <c r="V71" s="614">
        <f t="shared" ca="1" si="37"/>
        <v>2062622.1164309378</v>
      </c>
      <c r="W71" s="614">
        <f t="shared" ca="1" si="37"/>
        <v>2084836.3446094594</v>
      </c>
      <c r="X71" s="614">
        <f t="shared" ca="1" si="37"/>
        <v>2102177.6408252437</v>
      </c>
      <c r="Y71" s="614">
        <f t="shared" ca="1" si="37"/>
        <v>2115714.9355728659</v>
      </c>
      <c r="Z71" s="614">
        <f ca="1">+Z37*1000</f>
        <v>2126282.6778456252</v>
      </c>
      <c r="AA71" s="614">
        <f ca="1">+AA37*1000</f>
        <v>2134532.2711968436</v>
      </c>
      <c r="AB71" s="614">
        <f ca="1">+AB37*1000</f>
        <v>2140972.226743063</v>
      </c>
      <c r="AC71" s="614">
        <f ca="1">+AC37*1000</f>
        <v>2145999.5081703528</v>
      </c>
    </row>
    <row r="72" spans="1:29">
      <c r="A72" s="15"/>
      <c r="B72" s="341"/>
      <c r="C72" s="416"/>
      <c r="D72" s="330"/>
      <c r="E72" s="614"/>
      <c r="F72" s="614"/>
      <c r="G72" s="614"/>
      <c r="H72" s="614"/>
      <c r="I72" s="614"/>
      <c r="J72" s="614"/>
      <c r="K72" s="614"/>
      <c r="L72" s="614"/>
      <c r="M72" s="614"/>
      <c r="N72" s="614"/>
      <c r="O72" s="614"/>
      <c r="P72" s="614"/>
      <c r="Q72" s="614"/>
      <c r="R72" s="614"/>
      <c r="S72" s="614"/>
      <c r="T72" s="614"/>
      <c r="U72" s="614"/>
      <c r="V72" s="614"/>
      <c r="W72" s="614"/>
      <c r="X72" s="614"/>
      <c r="Y72" s="614"/>
      <c r="Z72" s="614"/>
      <c r="AA72" s="614"/>
      <c r="AB72" s="614"/>
      <c r="AC72" s="614"/>
    </row>
    <row r="73" spans="1:29">
      <c r="A73" s="15"/>
      <c r="B73" s="410" t="s">
        <v>164</v>
      </c>
      <c r="C73" s="503" t="s">
        <v>19</v>
      </c>
      <c r="E73" s="339" t="s">
        <v>200</v>
      </c>
      <c r="H73" s="269">
        <v>3.8220000000000001</v>
      </c>
    </row>
    <row r="74" spans="1:29">
      <c r="A74" s="15"/>
      <c r="B74" s="375" t="s">
        <v>165</v>
      </c>
      <c r="C74" s="503"/>
      <c r="E74" t="s">
        <v>201</v>
      </c>
      <c r="H74" s="579">
        <v>1</v>
      </c>
    </row>
    <row r="75" spans="1:29">
      <c r="A75" s="15"/>
      <c r="B75" s="375" t="s">
        <v>166</v>
      </c>
      <c r="C75" s="503"/>
      <c r="E75" s="339" t="s">
        <v>202</v>
      </c>
      <c r="H75" s="684">
        <f>+H73*H74</f>
        <v>3.8220000000000001</v>
      </c>
    </row>
    <row r="76" spans="1:29">
      <c r="A76" s="15"/>
      <c r="B76" s="375" t="s">
        <v>167</v>
      </c>
      <c r="C76" s="503"/>
      <c r="E76" s="339" t="s">
        <v>203</v>
      </c>
      <c r="H76" s="585">
        <v>3</v>
      </c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  <c r="AA76" s="335"/>
      <c r="AB76" s="335"/>
      <c r="AC76" s="335"/>
    </row>
    <row r="77" spans="1:29">
      <c r="A77" s="15"/>
      <c r="B77" s="411" t="s">
        <v>204</v>
      </c>
      <c r="E77" s="476"/>
      <c r="F77" s="476"/>
      <c r="G77" s="476"/>
      <c r="H77" s="476"/>
      <c r="I77" s="476">
        <f ca="1">($H75)*(I71)*(IF($H76=1,EP!I$185,IF($H76=2,EP!I$188,IF($H76=3,EP!I$191,0))))/unit</f>
        <v>533.38022390246761</v>
      </c>
      <c r="J77" s="476">
        <f ca="1">($H75)*(J71)*(IF($H76=1,EP!J$185,IF($H76=2,EP!J$188,IF($H76=3,EP!J$191,0))))/unit</f>
        <v>1594.8246044495661</v>
      </c>
      <c r="K77" s="476">
        <f ca="1">($H75)*(K71)*(IF($H76=1,EP!K$185,IF($H76=2,EP!K$188,IF($H76=3,EP!K$191,0))))/unit</f>
        <v>2645.7074369442093</v>
      </c>
      <c r="L77" s="476">
        <f ca="1">($H75)*(L71)*(IF($H76=1,EP!L$185,IF($H76=2,EP!L$188,IF($H76=3,EP!L$191,0))))/unit</f>
        <v>3686.1338105453865</v>
      </c>
      <c r="M77" s="476">
        <f ca="1">($H75)*(M71)*(IF($H76=1,EP!M$185,IF($H76=2,EP!M$188,IF($H76=3,EP!M$191,0))))/unit</f>
        <v>4675.2973254916169</v>
      </c>
      <c r="N77" s="476">
        <f ca="1">($H75)*(N71)*(IF($H76=1,EP!N$185,IF($H76=2,EP!N$188,IF($H76=3,EP!N$191,0))))/unit</f>
        <v>5463.9194509618774</v>
      </c>
      <c r="O77" s="476">
        <f ca="1">($H75)*(O71)*(IF($H76=1,EP!O$185,IF($H76=2,EP!O$188,IF($H76=3,EP!O$191,0))))/unit</f>
        <v>6079.5487571073782</v>
      </c>
      <c r="P77" s="476">
        <f ca="1">($H75)*(P71)*(IF($H76=1,EP!P$185,IF($H76=2,EP!P$188,IF($H76=3,EP!P$191,0))))/unit</f>
        <v>6560.1330957209939</v>
      </c>
      <c r="Q77" s="476">
        <f ca="1">($H75)*(Q71)*(IF($H76=1,EP!Q$185,IF($H76=2,EP!Q$188,IF($H76=3,EP!Q$191,0))))/unit</f>
        <v>6935.2960455921675</v>
      </c>
      <c r="R77" s="476">
        <f ca="1">($H75)*(R71)*(IF($H76=1,EP!R$185,IF($H76=2,EP!R$188,IF($H76=3,EP!R$191,0))))/unit</f>
        <v>7228.1629321038345</v>
      </c>
      <c r="S77" s="476">
        <f ca="1">($H75)*(S71)*(IF($H76=1,EP!S$185,IF($H76=2,EP!S$188,IF($H76=3,EP!S$191,0))))/unit</f>
        <v>7456.7862896195238</v>
      </c>
      <c r="T77" s="476">
        <f ca="1">($H75)*(T71)*(IF($H76=1,EP!T$185,IF($H76=2,EP!T$188,IF($H76=3,EP!T$191,0))))/unit</f>
        <v>7635.2586332303608</v>
      </c>
      <c r="U77" s="476">
        <f ca="1">($H75)*(U71)*(IF($H76=1,EP!U$185,IF($H76=2,EP!U$188,IF($H76=3,EP!U$191,0))))/unit</f>
        <v>7774.581131946441</v>
      </c>
      <c r="V77" s="476">
        <f ca="1">($H75)*(V71)*(IF($H76=1,EP!V$185,IF($H76=2,EP!V$188,IF($H76=3,EP!V$191,0))))/unit</f>
        <v>7883.3417289990448</v>
      </c>
      <c r="W77" s="476">
        <f ca="1">($H75)*(W71)*(IF($H76=1,EP!W$185,IF($H76=2,EP!W$188,IF($H76=3,EP!W$191,0))))/unit</f>
        <v>7968.2445090973533</v>
      </c>
      <c r="X77" s="476">
        <f ca="1">($H75)*(X71)*(IF($H76=1,EP!X$185,IF($H76=2,EP!X$188,IF($H76=3,EP!X$191,0))))/unit</f>
        <v>8034.5229432340811</v>
      </c>
      <c r="Y77" s="476">
        <f ca="1">($H75)*(Y71)*(IF($H76=1,EP!Y$185,IF($H76=2,EP!Y$188,IF($H76=3,EP!Y$191,0))))/unit</f>
        <v>8086.262483759494</v>
      </c>
      <c r="Z77" s="476">
        <f ca="1">($H75)*(Z71)*(IF($H76=1,EP!Z$185,IF($H76=2,EP!Z$188,IF($H76=3,EP!Z$191,0))))/unit</f>
        <v>8126.6523947259793</v>
      </c>
      <c r="AA77" s="476">
        <f ca="1">($H75)*(AA71)*(IF($H76=1,EP!AA$185,IF($H76=2,EP!AA$188,IF($H76=3,EP!AA$191,0))))/unit</f>
        <v>8158.1823405143368</v>
      </c>
      <c r="AB77" s="476">
        <f ca="1">($H75)*(AB71)*(IF($H76=1,EP!AB$185,IF($H76=2,EP!AB$188,IF($H76=3,EP!AB$191,0))))/unit</f>
        <v>8182.7958506119867</v>
      </c>
      <c r="AC77" s="476">
        <f ca="1">($H75)*(AC71)*(IF($H76=1,EP!AC$185,IF($H76=2,EP!AC$188,IF($H76=3,EP!AC$191,0))))/unit</f>
        <v>8202.0101202270889</v>
      </c>
    </row>
    <row r="78" spans="1:29">
      <c r="A78" s="15"/>
      <c r="B78" s="411"/>
      <c r="E78" s="476"/>
      <c r="F78" s="476"/>
      <c r="G78" s="476"/>
      <c r="H78" s="476"/>
      <c r="I78" s="476"/>
      <c r="J78" s="476"/>
      <c r="K78" s="476"/>
      <c r="L78" s="476"/>
      <c r="M78" s="476"/>
      <c r="N78" s="476"/>
      <c r="O78" s="476"/>
      <c r="P78" s="476"/>
      <c r="Q78" s="476"/>
      <c r="R78" s="476"/>
      <c r="S78" s="476"/>
      <c r="T78" s="476"/>
      <c r="U78" s="476"/>
      <c r="V78" s="476"/>
      <c r="W78" s="476"/>
      <c r="X78" s="476"/>
      <c r="Y78" s="476"/>
      <c r="Z78" s="476"/>
      <c r="AA78" s="476"/>
      <c r="AB78" s="476"/>
      <c r="AC78" s="476"/>
    </row>
    <row r="79" spans="1:29">
      <c r="A79" s="15"/>
      <c r="B79" s="411" t="s">
        <v>205</v>
      </c>
      <c r="E79" s="619" t="s">
        <v>206</v>
      </c>
      <c r="F79" s="476"/>
      <c r="G79" s="476"/>
      <c r="H79" s="579">
        <v>9.1999999999999998E-2</v>
      </c>
      <c r="I79" s="476">
        <f ca="1">+$H79*I67</f>
        <v>0</v>
      </c>
      <c r="J79" s="476">
        <f t="shared" ref="J79:Y79" ca="1" si="38">+$H79*J67</f>
        <v>732.90229143267356</v>
      </c>
      <c r="K79" s="476">
        <f t="shared" ca="1" si="38"/>
        <v>1077.6066994933533</v>
      </c>
      <c r="L79" s="476">
        <f t="shared" ca="1" si="38"/>
        <v>1461.2616916689931</v>
      </c>
      <c r="M79" s="476">
        <f t="shared" ca="1" si="38"/>
        <v>1857.298804984624</v>
      </c>
      <c r="N79" s="476">
        <f t="shared" ca="1" si="38"/>
        <v>2184.9606305703019</v>
      </c>
      <c r="O79" s="476">
        <f t="shared" ca="1" si="38"/>
        <v>2449.1756972569165</v>
      </c>
      <c r="P79" s="476">
        <f t="shared" ca="1" si="38"/>
        <v>2666.5982130995039</v>
      </c>
      <c r="Q79" s="476">
        <f t="shared" ca="1" si="38"/>
        <v>2849.2960354047927</v>
      </c>
      <c r="R79" s="476">
        <f t="shared" ca="1" si="38"/>
        <v>3007.3399757116754</v>
      </c>
      <c r="S79" s="476">
        <f t="shared" ca="1" si="38"/>
        <v>3148.7386334455909</v>
      </c>
      <c r="T79" s="476">
        <f t="shared" ca="1" si="38"/>
        <v>3278.081760926033</v>
      </c>
      <c r="U79" s="476">
        <f t="shared" ca="1" si="38"/>
        <v>3399.6986853682442</v>
      </c>
      <c r="V79" s="476">
        <f t="shared" ca="1" si="38"/>
        <v>3514.7180557385459</v>
      </c>
      <c r="W79" s="476">
        <f t="shared" ca="1" si="38"/>
        <v>3624.1879771535555</v>
      </c>
      <c r="X79" s="476">
        <f t="shared" ca="1" si="38"/>
        <v>3768.4524209123629</v>
      </c>
      <c r="Y79" s="476">
        <f t="shared" ca="1" si="38"/>
        <v>3909.6128447732767</v>
      </c>
      <c r="Z79" s="476">
        <f ca="1">+$H79*Z67</f>
        <v>4025.148579254002</v>
      </c>
      <c r="AA79" s="476">
        <f ca="1">+$H79*AA67</f>
        <v>4140.5887526161659</v>
      </c>
      <c r="AB79" s="476">
        <f ca="1">+$H79*AB67</f>
        <v>4256.7395011180888</v>
      </c>
      <c r="AC79" s="476">
        <f ca="1">+$H79*AC67</f>
        <v>4363.9174686581164</v>
      </c>
    </row>
    <row r="80" spans="1:29">
      <c r="A80" s="15"/>
      <c r="B80" s="411"/>
      <c r="E80" s="476"/>
      <c r="F80" s="476"/>
      <c r="G80" s="476"/>
      <c r="H80" s="476"/>
      <c r="I80" s="476"/>
      <c r="J80" s="476"/>
      <c r="K80" s="476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6"/>
      <c r="AA80" s="476"/>
      <c r="AB80" s="476"/>
      <c r="AC80" s="476"/>
    </row>
    <row r="81" spans="1:29">
      <c r="A81" s="15"/>
      <c r="B81" s="346" t="s">
        <v>207</v>
      </c>
      <c r="E81" s="476"/>
      <c r="F81" s="476"/>
      <c r="G81" s="476"/>
      <c r="H81" s="476"/>
      <c r="I81" s="476"/>
      <c r="J81" s="476"/>
      <c r="K81" s="476"/>
      <c r="L81" s="476"/>
      <c r="M81" s="476"/>
      <c r="N81" s="476"/>
      <c r="O81" s="476"/>
      <c r="P81" s="476"/>
      <c r="Q81" s="476"/>
      <c r="R81" s="476"/>
      <c r="S81" s="476"/>
      <c r="T81" s="476"/>
      <c r="U81" s="476"/>
      <c r="V81" s="476"/>
      <c r="W81" s="476"/>
      <c r="X81" s="476"/>
      <c r="Y81" s="476"/>
      <c r="Z81" s="476"/>
      <c r="AA81" s="476"/>
      <c r="AB81" s="476"/>
      <c r="AC81" s="476"/>
    </row>
    <row r="82" spans="1:29">
      <c r="A82" s="15"/>
      <c r="B82" s="410" t="s">
        <v>164</v>
      </c>
      <c r="C82" s="503" t="s">
        <v>19</v>
      </c>
      <c r="E82" s="339" t="s">
        <v>208</v>
      </c>
      <c r="H82" s="585">
        <v>0</v>
      </c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/>
      <c r="T82" s="334"/>
      <c r="U82" s="334"/>
      <c r="V82" s="334"/>
      <c r="W82" s="334"/>
      <c r="X82" s="334"/>
      <c r="Y82" s="334"/>
      <c r="Z82" s="334"/>
      <c r="AA82" s="334"/>
      <c r="AB82" s="334"/>
      <c r="AC82" s="334"/>
    </row>
    <row r="83" spans="1:29">
      <c r="A83" s="15"/>
      <c r="B83" s="375" t="s">
        <v>165</v>
      </c>
      <c r="C83" s="503"/>
      <c r="E83" t="s">
        <v>201</v>
      </c>
      <c r="H83" s="579">
        <v>1</v>
      </c>
      <c r="I83" s="208"/>
      <c r="J83" s="208"/>
      <c r="K83" s="208"/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</row>
    <row r="84" spans="1:29">
      <c r="A84" s="15"/>
      <c r="B84" s="375" t="s">
        <v>166</v>
      </c>
      <c r="C84" s="503"/>
      <c r="E84" s="339" t="s">
        <v>202</v>
      </c>
      <c r="H84" s="476">
        <f>+H82*H83</f>
        <v>0</v>
      </c>
    </row>
    <row r="85" spans="1:29">
      <c r="A85" s="15"/>
      <c r="B85" s="375" t="s">
        <v>167</v>
      </c>
      <c r="C85" s="503"/>
      <c r="E85" s="339" t="s">
        <v>203</v>
      </c>
      <c r="H85" s="585">
        <v>3</v>
      </c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  <c r="AA85" s="335"/>
      <c r="AB85" s="335"/>
      <c r="AC85" s="335"/>
    </row>
    <row r="86" spans="1:29">
      <c r="A86" s="15"/>
      <c r="B86" s="411" t="s">
        <v>209</v>
      </c>
      <c r="E86" s="476"/>
      <c r="F86" s="476"/>
      <c r="G86" s="476"/>
      <c r="H86" s="476"/>
      <c r="I86" s="476">
        <f ca="1">($H84)*(IF($H85=1,EP!I$185,IF($H85=2,EP!I$188,IF($H85=3,EP!I$191,0))))*(stub)</f>
        <v>0</v>
      </c>
      <c r="J86" s="476">
        <f ca="1">($H84)*(IF($H85=1,EP!J$185,IF($H85=2,EP!J$188,IF($H85=3,EP!J$191,0))))</f>
        <v>0</v>
      </c>
      <c r="K86" s="476">
        <f ca="1">($H84)*(IF($H85=1,EP!K$185,IF($H85=2,EP!K$188,IF($H85=3,EP!K$191,0))))</f>
        <v>0</v>
      </c>
      <c r="L86" s="476">
        <f ca="1">($H84)*(IF($H85=1,EP!L$185,IF($H85=2,EP!L$188,IF($H85=3,EP!L$191,0))))</f>
        <v>0</v>
      </c>
      <c r="M86" s="476">
        <f ca="1">($H84)*(IF($H85=1,EP!M$185,IF($H85=2,EP!M$188,IF($H85=3,EP!M$191,0))))</f>
        <v>0</v>
      </c>
      <c r="N86" s="476">
        <f ca="1">($H84)*(IF($H85=1,EP!N$185,IF($H85=2,EP!N$188,IF($H85=3,EP!N$191,0))))</f>
        <v>0</v>
      </c>
      <c r="O86" s="476">
        <f ca="1">($H84)*(IF($H85=1,EP!O$185,IF($H85=2,EP!O$188,IF($H85=3,EP!O$191,0))))</f>
        <v>0</v>
      </c>
      <c r="P86" s="476">
        <f ca="1">($H84)*(IF($H85=1,EP!P$185,IF($H85=2,EP!P$188,IF($H85=3,EP!P$191,0))))</f>
        <v>0</v>
      </c>
      <c r="Q86" s="476">
        <f ca="1">($H84)*(IF($H85=1,EP!Q$185,IF($H85=2,EP!Q$188,IF($H85=3,EP!Q$191,0))))</f>
        <v>0</v>
      </c>
      <c r="R86" s="476">
        <f ca="1">($H84)*(IF($H85=1,EP!R$185,IF($H85=2,EP!R$188,IF($H85=3,EP!R$191,0))))</f>
        <v>0</v>
      </c>
      <c r="S86" s="476">
        <f ca="1">($H84)*(IF($H85=1,EP!S$185,IF($H85=2,EP!S$188,IF($H85=3,EP!S$191,0))))</f>
        <v>0</v>
      </c>
      <c r="T86" s="476">
        <f ca="1">($H84)*(IF($H85=1,EP!T$185,IF($H85=2,EP!T$188,IF($H85=3,EP!T$191,0))))</f>
        <v>0</v>
      </c>
      <c r="U86" s="476">
        <f ca="1">($H84)*(IF($H85=1,EP!U$185,IF($H85=2,EP!U$188,IF($H85=3,EP!U$191,0))))</f>
        <v>0</v>
      </c>
      <c r="V86" s="476">
        <f ca="1">($H84)*(IF($H85=1,EP!V$185,IF($H85=2,EP!V$188,IF($H85=3,EP!V$191,0))))</f>
        <v>0</v>
      </c>
      <c r="W86" s="476">
        <f ca="1">($H84)*(IF($H85=1,EP!W$185,IF($H85=2,EP!W$188,IF($H85=3,EP!W$191,0))))</f>
        <v>0</v>
      </c>
      <c r="X86" s="476">
        <f ca="1">($H84)*(IF($H85=1,EP!X$185,IF($H85=2,EP!X$188,IF($H85=3,EP!X$191,0))))</f>
        <v>0</v>
      </c>
      <c r="Y86" s="476">
        <f ca="1">($H84)*(IF($H85=1,EP!Y$185,IF($H85=2,EP!Y$188,IF($H85=3,EP!Y$191,0))))</f>
        <v>0</v>
      </c>
      <c r="Z86" s="476">
        <f ca="1">($H84)*(IF($H85=1,EP!Z$185,IF($H85=2,EP!Z$188,IF($H85=3,EP!Z$191,0))))</f>
        <v>0</v>
      </c>
      <c r="AA86" s="476">
        <f ca="1">($H84)*(IF($H85=1,EP!AA$185,IF($H85=2,EP!AA$188,IF($H85=3,EP!AA$191,0))))</f>
        <v>0</v>
      </c>
      <c r="AB86" s="476">
        <f ca="1">($H84)*(IF($H85=1,EP!AB$185,IF($H85=2,EP!AB$188,IF($H85=3,EP!AB$191,0))))</f>
        <v>0</v>
      </c>
      <c r="AC86" s="476">
        <f ca="1">($H84)*(IF($H85=1,EP!AC$185,IF($H85=2,EP!AC$188,IF($H85=3,EP!AC$191,0))))</f>
        <v>0</v>
      </c>
    </row>
    <row r="87" spans="1:29">
      <c r="A87" s="15"/>
      <c r="B87" s="411"/>
      <c r="E87" s="476"/>
      <c r="F87" s="476"/>
      <c r="G87" s="476"/>
      <c r="H87" s="476"/>
      <c r="I87" s="476"/>
      <c r="J87" s="476"/>
      <c r="K87" s="476"/>
      <c r="L87" s="476"/>
      <c r="M87" s="476"/>
      <c r="N87" s="476"/>
      <c r="O87" s="476"/>
      <c r="P87" s="476"/>
      <c r="Q87" s="476"/>
      <c r="R87" s="476"/>
      <c r="S87" s="476"/>
      <c r="T87" s="476"/>
      <c r="U87" s="476"/>
      <c r="V87" s="476"/>
      <c r="W87" s="476"/>
      <c r="X87" s="476"/>
      <c r="Y87" s="476"/>
      <c r="Z87" s="476"/>
      <c r="AA87" s="476"/>
      <c r="AB87" s="476"/>
      <c r="AC87" s="476"/>
    </row>
    <row r="88" spans="1:29">
      <c r="A88" s="15"/>
      <c r="B88" s="411" t="s">
        <v>210</v>
      </c>
      <c r="E88" s="476"/>
      <c r="F88" s="476"/>
      <c r="G88" s="476"/>
      <c r="H88" s="476"/>
      <c r="I88" s="504">
        <v>0</v>
      </c>
      <c r="J88" s="504">
        <v>0</v>
      </c>
      <c r="K88" s="504">
        <v>0</v>
      </c>
      <c r="L88" s="504">
        <v>0</v>
      </c>
      <c r="M88" s="504">
        <v>0</v>
      </c>
      <c r="N88" s="504">
        <v>0</v>
      </c>
      <c r="O88" s="504">
        <v>0</v>
      </c>
      <c r="P88" s="504">
        <v>0</v>
      </c>
      <c r="Q88" s="504">
        <v>0</v>
      </c>
      <c r="R88" s="504">
        <v>0</v>
      </c>
      <c r="S88" s="504">
        <v>0</v>
      </c>
      <c r="T88" s="504">
        <v>0</v>
      </c>
      <c r="U88" s="504">
        <v>0</v>
      </c>
      <c r="V88" s="504">
        <v>0</v>
      </c>
      <c r="W88" s="504">
        <v>0</v>
      </c>
      <c r="X88" s="504">
        <v>0</v>
      </c>
      <c r="Y88" s="504">
        <v>0</v>
      </c>
      <c r="Z88" s="504">
        <v>0</v>
      </c>
      <c r="AA88" s="504">
        <v>0</v>
      </c>
      <c r="AB88" s="504">
        <v>0</v>
      </c>
      <c r="AC88" s="504">
        <v>0</v>
      </c>
    </row>
    <row r="89" spans="1:29">
      <c r="A89" s="15"/>
      <c r="B89" s="417" t="s">
        <v>211</v>
      </c>
      <c r="I89" s="620">
        <f ca="1">+I86+I77+I79+I88</f>
        <v>533.38022390246761</v>
      </c>
      <c r="J89" s="620">
        <f t="shared" ref="J89:Y89" ca="1" si="39">+J86+J77+J79+J88</f>
        <v>2327.7268958822397</v>
      </c>
      <c r="K89" s="620">
        <f t="shared" ca="1" si="39"/>
        <v>3723.3141364375624</v>
      </c>
      <c r="L89" s="620">
        <f t="shared" ca="1" si="39"/>
        <v>5147.39550221438</v>
      </c>
      <c r="M89" s="620">
        <f t="shared" ca="1" si="39"/>
        <v>6532.5961304762404</v>
      </c>
      <c r="N89" s="620">
        <f t="shared" ca="1" si="39"/>
        <v>7648.8800815321792</v>
      </c>
      <c r="O89" s="620">
        <f t="shared" ca="1" si="39"/>
        <v>8528.7244543642955</v>
      </c>
      <c r="P89" s="620">
        <f t="shared" ca="1" si="39"/>
        <v>9226.7313088204974</v>
      </c>
      <c r="Q89" s="620">
        <f t="shared" ca="1" si="39"/>
        <v>9784.5920809969612</v>
      </c>
      <c r="R89" s="620">
        <f t="shared" ca="1" si="39"/>
        <v>10235.502907815509</v>
      </c>
      <c r="S89" s="620">
        <f t="shared" ca="1" si="39"/>
        <v>10605.524923065115</v>
      </c>
      <c r="T89" s="620">
        <f t="shared" ca="1" si="39"/>
        <v>10913.340394156394</v>
      </c>
      <c r="U89" s="620">
        <f t="shared" ca="1" si="39"/>
        <v>11174.279817314686</v>
      </c>
      <c r="V89" s="620">
        <f t="shared" ca="1" si="39"/>
        <v>11398.05978473759</v>
      </c>
      <c r="W89" s="620">
        <f t="shared" ca="1" si="39"/>
        <v>11592.432486250909</v>
      </c>
      <c r="X89" s="620">
        <f t="shared" ca="1" si="39"/>
        <v>11802.975364146445</v>
      </c>
      <c r="Y89" s="620">
        <f t="shared" ca="1" si="39"/>
        <v>11995.875328532771</v>
      </c>
      <c r="Z89" s="620">
        <f ca="1">+Z86+Z77+Z79+Z88</f>
        <v>12151.800973979982</v>
      </c>
      <c r="AA89" s="620">
        <f ca="1">+AA86+AA77+AA79+AA88</f>
        <v>12298.771093130503</v>
      </c>
      <c r="AB89" s="620">
        <f ca="1">+AB86+AB77+AB79+AB88</f>
        <v>12439.535351730075</v>
      </c>
      <c r="AC89" s="620">
        <f ca="1">+AC86+AC77+AC79+AC88</f>
        <v>12565.927588885206</v>
      </c>
    </row>
    <row r="90" spans="1:29">
      <c r="A90" s="15"/>
      <c r="B90" s="15" t="s">
        <v>212</v>
      </c>
      <c r="D90" s="5"/>
      <c r="I90" s="617">
        <f t="shared" ref="I90:U90" ca="1" si="40">+I67-I89</f>
        <v>-533.38022390246761</v>
      </c>
      <c r="J90" s="617">
        <f t="shared" ca="1" si="40"/>
        <v>5638.6023588207336</v>
      </c>
      <c r="K90" s="617">
        <f t="shared" ca="1" si="40"/>
        <v>7989.8021624032335</v>
      </c>
      <c r="L90" s="617">
        <f t="shared" ca="1" si="40"/>
        <v>10735.883755057284</v>
      </c>
      <c r="M90" s="617">
        <f t="shared" ca="1" si="40"/>
        <v>13655.434358487064</v>
      </c>
      <c r="N90" s="617">
        <f t="shared" ca="1" si="40"/>
        <v>16100.691989884146</v>
      </c>
      <c r="O90" s="617">
        <f t="shared" ca="1" si="40"/>
        <v>18092.750515819578</v>
      </c>
      <c r="P90" s="617">
        <f t="shared" ca="1" si="40"/>
        <v>19758.031877043675</v>
      </c>
      <c r="Q90" s="617">
        <f t="shared" ca="1" si="40"/>
        <v>21186.016999489919</v>
      </c>
      <c r="R90" s="617">
        <f t="shared" ca="1" si="40"/>
        <v>22452.975089050527</v>
      </c>
      <c r="S90" s="617">
        <f t="shared" ca="1" si="40"/>
        <v>23619.895005691309</v>
      </c>
      <c r="T90" s="617">
        <f t="shared" ca="1" si="40"/>
        <v>24717.983094170049</v>
      </c>
      <c r="U90" s="617">
        <f t="shared" ca="1" si="40"/>
        <v>25778.966762774922</v>
      </c>
      <c r="V90" s="617">
        <f t="shared" ref="V90:AC90" ca="1" si="41">+V67-V89</f>
        <v>26805.3973428553</v>
      </c>
      <c r="W90" s="617">
        <f t="shared" ca="1" si="41"/>
        <v>27800.915091505129</v>
      </c>
      <c r="X90" s="617">
        <f t="shared" ca="1" si="41"/>
        <v>29158.46399359663</v>
      </c>
      <c r="Y90" s="617">
        <f t="shared" ca="1" si="41"/>
        <v>30499.916462481109</v>
      </c>
      <c r="Z90" s="617">
        <f t="shared" ca="1" si="41"/>
        <v>31599.814017911347</v>
      </c>
      <c r="AA90" s="617">
        <f t="shared" ca="1" si="41"/>
        <v>32707.62839182782</v>
      </c>
      <c r="AB90" s="617">
        <f t="shared" ca="1" si="41"/>
        <v>33829.372269118721</v>
      </c>
      <c r="AC90" s="617">
        <f t="shared" ca="1" si="41"/>
        <v>34867.957940007364</v>
      </c>
    </row>
    <row r="91" spans="1:29">
      <c r="A91" s="15"/>
      <c r="B91" s="5"/>
      <c r="D91" s="5"/>
      <c r="E91" s="141"/>
      <c r="F91" s="141"/>
      <c r="G91" s="141"/>
      <c r="H91" s="614"/>
      <c r="I91" s="614"/>
      <c r="J91" s="614"/>
      <c r="K91" s="614"/>
      <c r="L91" s="614"/>
      <c r="M91" s="614"/>
      <c r="N91" s="614"/>
      <c r="O91" s="614"/>
      <c r="P91" s="614"/>
      <c r="Q91" s="614"/>
      <c r="R91" s="614"/>
      <c r="S91" s="614"/>
      <c r="T91" s="614"/>
      <c r="U91" s="614"/>
      <c r="V91" s="614"/>
      <c r="W91" s="614"/>
      <c r="X91" s="614"/>
      <c r="Y91" s="616"/>
      <c r="Z91" s="616"/>
      <c r="AA91" s="616"/>
      <c r="AB91" s="616"/>
      <c r="AC91" s="616"/>
    </row>
    <row r="92" spans="1:29" ht="12" thickBot="1"/>
    <row r="93" spans="1:29" ht="12.75" thickTop="1" thickBot="1">
      <c r="A93" s="608"/>
      <c r="B93" s="301"/>
      <c r="C93" s="301"/>
      <c r="D93" s="301"/>
      <c r="E93" s="301"/>
      <c r="F93" s="301"/>
      <c r="G93" s="301"/>
      <c r="H93" s="301"/>
      <c r="I93" s="609"/>
      <c r="J93" s="609"/>
      <c r="K93" s="609"/>
      <c r="L93" s="609"/>
      <c r="M93" s="609"/>
      <c r="N93" s="609"/>
      <c r="O93" s="609"/>
      <c r="P93" s="609"/>
      <c r="Q93" s="609"/>
      <c r="R93" s="609"/>
      <c r="S93" s="609"/>
      <c r="T93" s="609"/>
      <c r="U93" s="609"/>
      <c r="V93" s="609"/>
      <c r="W93" s="609"/>
      <c r="X93" s="609"/>
      <c r="Y93" s="609"/>
      <c r="Z93" s="609"/>
      <c r="AA93" s="609"/>
      <c r="AB93" s="609"/>
      <c r="AC93" s="609"/>
    </row>
    <row r="94" spans="1:29" ht="12.75" thickTop="1" thickBot="1">
      <c r="A94" s="15" t="s">
        <v>213</v>
      </c>
      <c r="H94" s="402">
        <f ca="1">+EOP</f>
        <v>36341</v>
      </c>
      <c r="I94" s="402">
        <f t="shared" ref="I94:W94" si="42">+EOP</f>
        <v>36525</v>
      </c>
      <c r="J94" s="402">
        <f t="shared" si="42"/>
        <v>36891</v>
      </c>
      <c r="K94" s="402">
        <f t="shared" si="42"/>
        <v>37256</v>
      </c>
      <c r="L94" s="402">
        <f t="shared" si="42"/>
        <v>37621</v>
      </c>
      <c r="M94" s="402">
        <f t="shared" si="42"/>
        <v>37986</v>
      </c>
      <c r="N94" s="402">
        <f t="shared" si="42"/>
        <v>38352</v>
      </c>
      <c r="O94" s="402">
        <f t="shared" si="42"/>
        <v>38717</v>
      </c>
      <c r="P94" s="402">
        <f t="shared" si="42"/>
        <v>39082</v>
      </c>
      <c r="Q94" s="402">
        <f t="shared" si="42"/>
        <v>39447</v>
      </c>
      <c r="R94" s="402">
        <f t="shared" si="42"/>
        <v>39813</v>
      </c>
      <c r="S94" s="402">
        <f t="shared" si="42"/>
        <v>40178</v>
      </c>
      <c r="T94" s="402">
        <f t="shared" si="42"/>
        <v>40543</v>
      </c>
      <c r="U94" s="402">
        <f t="shared" si="42"/>
        <v>40908</v>
      </c>
      <c r="V94" s="402">
        <f t="shared" si="42"/>
        <v>41274</v>
      </c>
      <c r="W94" s="402">
        <f t="shared" si="42"/>
        <v>41639</v>
      </c>
      <c r="X94" s="402">
        <f t="shared" ref="X94:AC94" si="43">+EOP</f>
        <v>42004</v>
      </c>
      <c r="Y94" s="402">
        <f t="shared" si="43"/>
        <v>42369</v>
      </c>
      <c r="Z94" s="402">
        <f t="shared" si="43"/>
        <v>42735</v>
      </c>
      <c r="AA94" s="402">
        <f t="shared" si="43"/>
        <v>43100</v>
      </c>
      <c r="AB94" s="402">
        <f t="shared" si="43"/>
        <v>43465</v>
      </c>
      <c r="AC94" s="402">
        <f t="shared" si="43"/>
        <v>43830</v>
      </c>
    </row>
    <row r="95" spans="1:29" ht="12" thickTop="1"/>
    <row r="96" spans="1:29">
      <c r="B96" t="s">
        <v>214</v>
      </c>
      <c r="H96" s="610"/>
      <c r="I96">
        <v>0</v>
      </c>
      <c r="J96" s="5">
        <f ca="1">+I96+I97-I103</f>
        <v>9959.8693821491597</v>
      </c>
      <c r="K96" s="5">
        <f t="shared" ref="K96:Z96" ca="1" si="44">+J96+J97-J103</f>
        <v>19719.402143651379</v>
      </c>
      <c r="L96" s="5">
        <f t="shared" ca="1" si="44"/>
        <v>29118.185310402892</v>
      </c>
      <c r="M96" s="5">
        <f t="shared" ca="1" si="44"/>
        <v>37992.868506007631</v>
      </c>
      <c r="N96" s="5">
        <f t="shared" ca="1" si="44"/>
        <v>46189.902383427041</v>
      </c>
      <c r="O96" s="5">
        <f t="shared" ca="1" si="44"/>
        <v>53626.635344339797</v>
      </c>
      <c r="P96" s="5">
        <f t="shared" ca="1" si="44"/>
        <v>60242.72133003104</v>
      </c>
      <c r="Q96" s="5">
        <f t="shared" ca="1" si="44"/>
        <v>65985.194724467161</v>
      </c>
      <c r="R96" s="5">
        <f t="shared" ca="1" si="44"/>
        <v>70802.063521774282</v>
      </c>
      <c r="S96" s="5">
        <f t="shared" ca="1" si="44"/>
        <v>74637.08357720029</v>
      </c>
      <c r="T96" s="5">
        <f t="shared" ca="1" si="44"/>
        <v>77424.988225656329</v>
      </c>
      <c r="U96" s="5">
        <f t="shared" ca="1" si="44"/>
        <v>79086.487887486976</v>
      </c>
      <c r="V96" s="5">
        <f t="shared" ca="1" si="44"/>
        <v>79522.241706649555</v>
      </c>
      <c r="W96" s="5">
        <f t="shared" ca="1" si="44"/>
        <v>78604.660433540397</v>
      </c>
      <c r="X96" s="5">
        <f t="shared" ca="1" si="44"/>
        <v>76165.61647792958</v>
      </c>
      <c r="Y96" s="5">
        <f t="shared" ca="1" si="44"/>
        <v>71976.365073942492</v>
      </c>
      <c r="Z96" s="5">
        <f t="shared" ca="1" si="44"/>
        <v>65711.66834118402</v>
      </c>
      <c r="AA96" s="5">
        <f ca="1">+Z96+Z97-Z103</f>
        <v>56878.207135744859</v>
      </c>
      <c r="AB96" s="5">
        <f ca="1">+AA96+AA97-AA103</f>
        <v>44647.637593905463</v>
      </c>
      <c r="AC96" s="5">
        <f ca="1">+AB96+AB97-AB103</f>
        <v>27355.861118492168</v>
      </c>
    </row>
    <row r="97" spans="1:29">
      <c r="B97" s="349" t="s">
        <v>215</v>
      </c>
      <c r="E97" s="227"/>
      <c r="F97" s="5"/>
      <c r="G97" s="5"/>
      <c r="H97" s="232">
        <v>0</v>
      </c>
      <c r="I97" s="5">
        <f ca="1">+I23</f>
        <v>10000</v>
      </c>
      <c r="J97" s="5">
        <f t="shared" ref="J97:Y97" ca="1" si="45">+J23</f>
        <v>10000</v>
      </c>
      <c r="K97" s="5">
        <f t="shared" ca="1" si="45"/>
        <v>10000</v>
      </c>
      <c r="L97" s="5">
        <f t="shared" ca="1" si="45"/>
        <v>10000</v>
      </c>
      <c r="M97" s="5">
        <f t="shared" ca="1" si="45"/>
        <v>10000</v>
      </c>
      <c r="N97" s="5">
        <f t="shared" ca="1" si="45"/>
        <v>10000</v>
      </c>
      <c r="O97" s="5">
        <f t="shared" ca="1" si="45"/>
        <v>10000</v>
      </c>
      <c r="P97" s="5">
        <f t="shared" ca="1" si="45"/>
        <v>10000</v>
      </c>
      <c r="Q97" s="5">
        <f t="shared" ca="1" si="45"/>
        <v>10000</v>
      </c>
      <c r="R97" s="5">
        <f t="shared" ca="1" si="45"/>
        <v>10000</v>
      </c>
      <c r="S97" s="5">
        <f t="shared" ca="1" si="45"/>
        <v>10000</v>
      </c>
      <c r="T97" s="5">
        <f t="shared" ca="1" si="45"/>
        <v>10000</v>
      </c>
      <c r="U97" s="5">
        <f t="shared" ca="1" si="45"/>
        <v>10000</v>
      </c>
      <c r="V97" s="5">
        <f t="shared" ca="1" si="45"/>
        <v>10000</v>
      </c>
      <c r="W97" s="5">
        <f t="shared" ca="1" si="45"/>
        <v>10000</v>
      </c>
      <c r="X97" s="5">
        <f t="shared" ca="1" si="45"/>
        <v>10000</v>
      </c>
      <c r="Y97" s="5">
        <f t="shared" ca="1" si="45"/>
        <v>10000</v>
      </c>
      <c r="Z97" s="5">
        <f ca="1">+Z23</f>
        <v>10000</v>
      </c>
      <c r="AA97" s="5">
        <f ca="1">+AA23</f>
        <v>10000</v>
      </c>
      <c r="AB97" s="5">
        <f ca="1">+AB23</f>
        <v>10000</v>
      </c>
      <c r="AC97" s="5">
        <f ca="1">+AC23</f>
        <v>10000</v>
      </c>
    </row>
    <row r="98" spans="1:29">
      <c r="A98" s="5"/>
      <c r="B98" s="5"/>
      <c r="E98" s="5"/>
      <c r="F98" s="5"/>
      <c r="G98" s="7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69"/>
      <c r="Y98" s="69"/>
      <c r="Z98" s="69"/>
      <c r="AA98" s="69"/>
      <c r="AB98" s="69"/>
      <c r="AC98" s="69"/>
    </row>
    <row r="99" spans="1:29">
      <c r="B99" s="5"/>
      <c r="D99" s="193" t="s">
        <v>216</v>
      </c>
      <c r="E99" s="5"/>
      <c r="F99" s="5"/>
      <c r="G99" s="71" t="s">
        <v>217</v>
      </c>
      <c r="I99" s="5">
        <f ca="1">+I71</f>
        <v>139555.26528060378</v>
      </c>
      <c r="J99" s="5">
        <f t="shared" ref="J99:Y99" ca="1" si="46">+J71</f>
        <v>417274.88342479488</v>
      </c>
      <c r="K99" s="5">
        <f t="shared" ca="1" si="46"/>
        <v>692231.14519733377</v>
      </c>
      <c r="L99" s="5">
        <f t="shared" ca="1" si="46"/>
        <v>964451.54645352857</v>
      </c>
      <c r="M99" s="5">
        <f t="shared" ca="1" si="46"/>
        <v>1223259.3734933585</v>
      </c>
      <c r="N99" s="5">
        <f t="shared" ca="1" si="46"/>
        <v>1429596.9259450228</v>
      </c>
      <c r="O99" s="5">
        <f t="shared" ca="1" si="46"/>
        <v>1590672.097620978</v>
      </c>
      <c r="P99" s="5">
        <f t="shared" ca="1" si="46"/>
        <v>1716413.6828155401</v>
      </c>
      <c r="Q99" s="5">
        <f t="shared" ca="1" si="46"/>
        <v>1814572.4870727805</v>
      </c>
      <c r="R99" s="5">
        <f t="shared" ca="1" si="46"/>
        <v>1891199.0926488314</v>
      </c>
      <c r="S99" s="5">
        <f t="shared" ca="1" si="46"/>
        <v>1951016.8209365578</v>
      </c>
      <c r="T99" s="5">
        <f t="shared" ca="1" si="46"/>
        <v>1997712.8815359396</v>
      </c>
      <c r="U99" s="5">
        <f t="shared" ca="1" si="46"/>
        <v>2034165.6546170698</v>
      </c>
      <c r="V99" s="5">
        <f t="shared" ca="1" si="46"/>
        <v>2062622.1164309378</v>
      </c>
      <c r="W99" s="5">
        <f t="shared" ca="1" si="46"/>
        <v>2084836.3446094594</v>
      </c>
      <c r="X99" s="5">
        <f t="shared" ca="1" si="46"/>
        <v>2102177.6408252437</v>
      </c>
      <c r="Y99" s="5">
        <f t="shared" ca="1" si="46"/>
        <v>2115714.9355728659</v>
      </c>
      <c r="Z99" s="5">
        <f ca="1">+Z71</f>
        <v>2126282.6778456252</v>
      </c>
      <c r="AA99" s="5">
        <f ca="1">+AA71</f>
        <v>2134532.2711968436</v>
      </c>
      <c r="AB99" s="5">
        <f ca="1">+AB71</f>
        <v>2140972.226743063</v>
      </c>
      <c r="AC99" s="5">
        <f ca="1">+AC71</f>
        <v>2145999.5081703528</v>
      </c>
    </row>
    <row r="100" spans="1:29">
      <c r="D100" s="611">
        <f>+EP!D137</f>
        <v>6</v>
      </c>
      <c r="G100" s="6" t="s">
        <v>218</v>
      </c>
      <c r="I100" s="79">
        <f ca="1">+I97+I96</f>
        <v>10000</v>
      </c>
      <c r="J100" s="79">
        <f t="shared" ref="J100:Y100" ca="1" si="47">+J97+J96</f>
        <v>19959.869382149162</v>
      </c>
      <c r="K100" s="79">
        <f t="shared" ca="1" si="47"/>
        <v>29719.402143651379</v>
      </c>
      <c r="L100" s="79">
        <f t="shared" ca="1" si="47"/>
        <v>39118.185310402892</v>
      </c>
      <c r="M100" s="79">
        <f t="shared" ca="1" si="47"/>
        <v>47992.868506007631</v>
      </c>
      <c r="N100" s="79">
        <f t="shared" ca="1" si="47"/>
        <v>56189.902383427041</v>
      </c>
      <c r="O100" s="79">
        <f t="shared" ca="1" si="47"/>
        <v>63626.635344339797</v>
      </c>
      <c r="P100" s="79">
        <f t="shared" ca="1" si="47"/>
        <v>70242.72133003104</v>
      </c>
      <c r="Q100" s="79">
        <f t="shared" ca="1" si="47"/>
        <v>75985.194724467161</v>
      </c>
      <c r="R100" s="79">
        <f t="shared" ca="1" si="47"/>
        <v>80802.063521774282</v>
      </c>
      <c r="S100" s="79">
        <f t="shared" ca="1" si="47"/>
        <v>84637.08357720029</v>
      </c>
      <c r="T100" s="79">
        <f t="shared" ca="1" si="47"/>
        <v>87424.988225656329</v>
      </c>
      <c r="U100" s="79">
        <f t="shared" ca="1" si="47"/>
        <v>89086.487887486976</v>
      </c>
      <c r="V100" s="79">
        <f t="shared" ca="1" si="47"/>
        <v>89522.241706649555</v>
      </c>
      <c r="W100" s="79">
        <f t="shared" ca="1" si="47"/>
        <v>88604.660433540397</v>
      </c>
      <c r="X100" s="79">
        <f t="shared" ca="1" si="47"/>
        <v>86165.61647792958</v>
      </c>
      <c r="Y100" s="79">
        <f t="shared" ca="1" si="47"/>
        <v>81976.365073942492</v>
      </c>
      <c r="Z100" s="79">
        <f ca="1">+Z97+Z96</f>
        <v>75711.66834118402</v>
      </c>
      <c r="AA100" s="79">
        <f ca="1">+AA97+AA96</f>
        <v>66878.207135744859</v>
      </c>
      <c r="AB100" s="79">
        <f ca="1">+AB97+AB96</f>
        <v>54647.637593905463</v>
      </c>
      <c r="AC100" s="79">
        <f ca="1">+AC97+AC96</f>
        <v>37355.861118492168</v>
      </c>
    </row>
    <row r="101" spans="1:29">
      <c r="A101" s="74"/>
      <c r="G101" s="295" t="s">
        <v>219</v>
      </c>
      <c r="I101" s="79">
        <f ca="1">SUM(I99:$AC99)</f>
        <v>34775259.578436732</v>
      </c>
      <c r="J101" s="79">
        <f ca="1">SUM(J99:$AC99)</f>
        <v>34635704.313156128</v>
      </c>
      <c r="K101" s="79">
        <f ca="1">SUM(K99:$AC99)</f>
        <v>34218429.429731332</v>
      </c>
      <c r="L101" s="79">
        <f ca="1">SUM(L99:$AC99)</f>
        <v>33526198.284533992</v>
      </c>
      <c r="M101" s="79">
        <f ca="1">SUM(M99:$AC99)</f>
        <v>32561746.738080464</v>
      </c>
      <c r="N101" s="79">
        <f ca="1">SUM(N99:$AC99)</f>
        <v>31338487.364587113</v>
      </c>
      <c r="O101" s="79">
        <f ca="1">SUM(O99:$AC99)</f>
        <v>29908890.438642085</v>
      </c>
      <c r="P101" s="79">
        <f ca="1">SUM(P99:$AC99)</f>
        <v>28318218.341021106</v>
      </c>
      <c r="Q101" s="79">
        <f ca="1">SUM(Q99:$AC99)</f>
        <v>26601804.658205569</v>
      </c>
      <c r="R101" s="79">
        <f ca="1">SUM(R99:$AC99)</f>
        <v>24787232.171132788</v>
      </c>
      <c r="S101" s="79">
        <f ca="1">SUM(S99:$AC99)</f>
        <v>22896033.078483962</v>
      </c>
      <c r="T101" s="79">
        <f ca="1">SUM(T99:$AC99)</f>
        <v>20945016.257547401</v>
      </c>
      <c r="U101" s="79">
        <f ca="1">SUM(U99:$AC99)</f>
        <v>18947303.376011461</v>
      </c>
      <c r="V101" s="79">
        <f ca="1">SUM(V99:$AC99)</f>
        <v>16913137.72139439</v>
      </c>
      <c r="W101" s="79">
        <f ca="1">SUM(W99:$AC99)</f>
        <v>14850515.604963453</v>
      </c>
      <c r="X101" s="79">
        <f ca="1">SUM(X99:$AC99)</f>
        <v>12765679.260353995</v>
      </c>
      <c r="Y101" s="79">
        <f ca="1">SUM(Y99:$AC99)</f>
        <v>10663501.619528752</v>
      </c>
      <c r="Z101" s="79">
        <f ca="1">SUM(Z99:$AC99)</f>
        <v>8547786.6839558855</v>
      </c>
      <c r="AA101" s="79">
        <f ca="1">SUM(AA99:$AC99)</f>
        <v>6421504.0061102603</v>
      </c>
      <c r="AB101" s="79">
        <f ca="1">SUM(AB99:$AC99)</f>
        <v>4286971.7349134162</v>
      </c>
      <c r="AC101" s="79">
        <f ca="1">SUM(AC99:$AC99)</f>
        <v>2145999.5081703528</v>
      </c>
    </row>
    <row r="102" spans="1:29">
      <c r="D102" s="604"/>
      <c r="G102" s="6" t="s">
        <v>220</v>
      </c>
      <c r="I102" s="604">
        <f t="shared" ref="I102:Q102" ca="1" si="48">IF(I101=0,0,I100/I101)</f>
        <v>2.8756075788434227E-4</v>
      </c>
      <c r="J102" s="604">
        <f t="shared" ca="1" si="48"/>
        <v>5.762801645863325E-4</v>
      </c>
      <c r="K102" s="604">
        <f t="shared" ca="1" si="48"/>
        <v>8.6852034529174248E-4</v>
      </c>
      <c r="L102" s="604">
        <f t="shared" ca="1" si="48"/>
        <v>1.1667945461161502E-3</v>
      </c>
      <c r="M102" s="604">
        <f t="shared" ca="1" si="48"/>
        <v>1.4739033778516774E-3</v>
      </c>
      <c r="N102" s="604">
        <f t="shared" ca="1" si="48"/>
        <v>1.79299982573257E-3</v>
      </c>
      <c r="O102" s="604">
        <f t="shared" ca="1" si="48"/>
        <v>2.1273485713175977E-3</v>
      </c>
      <c r="P102" s="604">
        <f t="shared" ca="1" si="48"/>
        <v>2.4804781319267915E-3</v>
      </c>
      <c r="Q102" s="604">
        <f t="shared" ca="1" si="48"/>
        <v>2.8563924779076533E-3</v>
      </c>
      <c r="R102" s="604">
        <f t="shared" ref="R102:AC102" ca="1" si="49">IF(R101=0,0,R100/R101)</f>
        <v>3.259825984761476E-3</v>
      </c>
      <c r="S102" s="604">
        <f t="shared" ca="1" si="49"/>
        <v>3.6965828659959489E-3</v>
      </c>
      <c r="T102" s="604">
        <f t="shared" ca="1" si="49"/>
        <v>4.174023412092282E-3</v>
      </c>
      <c r="U102" s="604">
        <f t="shared" ca="1" si="49"/>
        <v>4.7018030017018861E-3</v>
      </c>
      <c r="V102" s="604">
        <f t="shared" ca="1" si="49"/>
        <v>5.2930593471965746E-3</v>
      </c>
      <c r="W102" s="604">
        <f t="shared" ca="1" si="49"/>
        <v>5.9664366403497978E-3</v>
      </c>
      <c r="X102" s="604">
        <f t="shared" ca="1" si="49"/>
        <v>6.7497870438850572E-3</v>
      </c>
      <c r="Y102" s="604">
        <f t="shared" ca="1" si="49"/>
        <v>7.687565304422511E-3</v>
      </c>
      <c r="Z102" s="604">
        <f t="shared" ca="1" si="49"/>
        <v>8.8574587949526284E-3</v>
      </c>
      <c r="AA102" s="604">
        <f t="shared" ca="1" si="49"/>
        <v>1.0414726374398921E-2</v>
      </c>
      <c r="AB102" s="604">
        <f t="shared" ca="1" si="49"/>
        <v>1.2747375297310929E-2</v>
      </c>
      <c r="AC102" s="604">
        <f t="shared" ca="1" si="49"/>
        <v>1.7407208611311016E-2</v>
      </c>
    </row>
    <row r="103" spans="1:29">
      <c r="A103" s="5"/>
      <c r="B103" s="5"/>
      <c r="E103" s="5"/>
      <c r="F103" s="5"/>
      <c r="G103" s="6" t="s">
        <v>221</v>
      </c>
      <c r="I103" s="476">
        <f t="shared" ref="I103:Q103" ca="1" si="50">I102*I99</f>
        <v>40.130617850840864</v>
      </c>
      <c r="J103" s="476">
        <f t="shared" ca="1" si="50"/>
        <v>240.46723849778351</v>
      </c>
      <c r="K103" s="476">
        <f t="shared" ca="1" si="50"/>
        <v>601.21683324848664</v>
      </c>
      <c r="L103" s="476">
        <f t="shared" ca="1" si="50"/>
        <v>1125.3168043952639</v>
      </c>
      <c r="M103" s="476">
        <f t="shared" ca="1" si="50"/>
        <v>1802.9661225805878</v>
      </c>
      <c r="N103" s="476">
        <f t="shared" ca="1" si="50"/>
        <v>2563.2670390872436</v>
      </c>
      <c r="O103" s="476">
        <f t="shared" ca="1" si="50"/>
        <v>3383.9140143087538</v>
      </c>
      <c r="P103" s="476">
        <f t="shared" ca="1" si="50"/>
        <v>4257.5266055638749</v>
      </c>
      <c r="Q103" s="476">
        <f t="shared" ca="1" si="50"/>
        <v>5183.1312026928726</v>
      </c>
      <c r="R103" s="476">
        <f t="shared" ref="R103:AC103" ca="1" si="51">R102*R99</f>
        <v>6164.9799445739864</v>
      </c>
      <c r="S103" s="476">
        <f t="shared" ca="1" si="51"/>
        <v>7212.095351543966</v>
      </c>
      <c r="T103" s="476">
        <f t="shared" ca="1" si="51"/>
        <v>8338.5003381693477</v>
      </c>
      <c r="U103" s="476">
        <f t="shared" ca="1" si="51"/>
        <v>9564.246180837421</v>
      </c>
      <c r="V103" s="476">
        <f t="shared" ca="1" si="51"/>
        <v>10917.581273109157</v>
      </c>
      <c r="W103" s="476">
        <f t="shared" ca="1" si="51"/>
        <v>12439.043955610816</v>
      </c>
      <c r="X103" s="476">
        <f t="shared" ca="1" si="51"/>
        <v>14189.251403987086</v>
      </c>
      <c r="Y103" s="476">
        <f t="shared" ca="1" si="51"/>
        <v>16264.696732758472</v>
      </c>
      <c r="Z103" s="476">
        <f t="shared" ca="1" si="51"/>
        <v>18833.461205439158</v>
      </c>
      <c r="AA103" s="476">
        <f t="shared" ca="1" si="51"/>
        <v>22230.569541839395</v>
      </c>
      <c r="AB103" s="476">
        <f t="shared" ca="1" si="51"/>
        <v>27291.776475413295</v>
      </c>
      <c r="AC103" s="476">
        <f t="shared" ca="1" si="51"/>
        <v>37355.861118492168</v>
      </c>
    </row>
    <row r="104" spans="1:29">
      <c r="A104" s="337"/>
      <c r="I104" s="335">
        <f ca="1">SUM(I97:AC97)-SUM(I103:AC103)</f>
        <v>0</v>
      </c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  <c r="AA104" s="335"/>
      <c r="AB104" s="335"/>
      <c r="AC104" s="335"/>
    </row>
    <row r="105" spans="1:29" ht="12" thickBot="1">
      <c r="A105" s="302"/>
      <c r="B105" s="302"/>
      <c r="C105" s="302"/>
      <c r="D105" s="302"/>
      <c r="E105" s="302"/>
      <c r="F105" s="302"/>
      <c r="G105" s="302"/>
      <c r="H105" s="302"/>
      <c r="I105" s="302"/>
      <c r="J105" s="302"/>
      <c r="K105" s="302"/>
      <c r="L105" s="302"/>
      <c r="M105" s="302"/>
      <c r="N105" s="302"/>
      <c r="O105" s="302"/>
      <c r="P105" s="302"/>
      <c r="Q105" s="302"/>
      <c r="R105" s="302"/>
      <c r="S105" s="302"/>
      <c r="T105" s="302"/>
      <c r="U105" s="302"/>
      <c r="V105" s="302"/>
      <c r="W105" s="302"/>
      <c r="X105" s="302"/>
      <c r="Y105" s="302"/>
      <c r="Z105" s="302"/>
      <c r="AA105" s="302"/>
      <c r="AB105" s="302"/>
      <c r="AC105" s="302"/>
    </row>
    <row r="106" spans="1:29" ht="12.75" thickTop="1" thickBot="1">
      <c r="F106" s="339"/>
    </row>
    <row r="107" spans="1:29" ht="12.75" thickTop="1" thickBot="1">
      <c r="A107" s="413" t="s">
        <v>222</v>
      </c>
      <c r="C107" s="5"/>
      <c r="D107" s="5"/>
      <c r="E107" s="5"/>
      <c r="F107" s="5"/>
      <c r="G107" s="5"/>
      <c r="H107" s="5"/>
      <c r="I107" s="166" t="str">
        <f ca="1">+I$3</f>
        <v xml:space="preserve">6 M/1999 </v>
      </c>
      <c r="J107" s="166">
        <f t="shared" ref="J107:Y107" si="52">+J$3</f>
        <v>2000</v>
      </c>
      <c r="K107" s="166">
        <f t="shared" si="52"/>
        <v>2001</v>
      </c>
      <c r="L107" s="166">
        <f t="shared" si="52"/>
        <v>2002</v>
      </c>
      <c r="M107" s="166">
        <f t="shared" si="52"/>
        <v>2003</v>
      </c>
      <c r="N107" s="166">
        <f t="shared" si="52"/>
        <v>2004</v>
      </c>
      <c r="O107" s="166">
        <f t="shared" si="52"/>
        <v>2005</v>
      </c>
      <c r="P107" s="166">
        <f t="shared" si="52"/>
        <v>2006</v>
      </c>
      <c r="Q107" s="166">
        <f t="shared" si="52"/>
        <v>2007</v>
      </c>
      <c r="R107" s="166">
        <f t="shared" si="52"/>
        <v>2008</v>
      </c>
      <c r="S107" s="166">
        <f t="shared" si="52"/>
        <v>2009</v>
      </c>
      <c r="T107" s="166">
        <f t="shared" si="52"/>
        <v>2010</v>
      </c>
      <c r="U107" s="166">
        <f t="shared" si="52"/>
        <v>2011</v>
      </c>
      <c r="V107" s="166">
        <f t="shared" si="52"/>
        <v>2012</v>
      </c>
      <c r="W107" s="166">
        <f t="shared" si="52"/>
        <v>2013</v>
      </c>
      <c r="X107" s="166">
        <f t="shared" si="52"/>
        <v>2014</v>
      </c>
      <c r="Y107" s="166">
        <f t="shared" si="52"/>
        <v>2015</v>
      </c>
      <c r="Z107" s="166">
        <f>+Z$3</f>
        <v>2016</v>
      </c>
      <c r="AA107" s="166">
        <f>+AA$3</f>
        <v>2017</v>
      </c>
      <c r="AB107" s="166">
        <f>+AB$3</f>
        <v>2018</v>
      </c>
      <c r="AC107" s="166">
        <f>+AC$3</f>
        <v>2019</v>
      </c>
    </row>
    <row r="108" spans="1:29" ht="12" thickTop="1">
      <c r="A108" s="398" t="s">
        <v>223</v>
      </c>
      <c r="C108" s="5"/>
      <c r="D108" s="5"/>
      <c r="E108" s="5"/>
      <c r="F108" s="5"/>
      <c r="G108" s="5"/>
      <c r="H108" s="5"/>
      <c r="I108" s="281"/>
      <c r="J108" s="281"/>
      <c r="K108" s="281"/>
      <c r="L108" s="281"/>
      <c r="M108" s="281"/>
      <c r="N108" s="281"/>
      <c r="O108" s="281"/>
      <c r="P108" s="281"/>
      <c r="Q108" s="281"/>
      <c r="R108" s="281"/>
      <c r="S108" s="281"/>
      <c r="T108" s="281"/>
      <c r="U108" s="281"/>
      <c r="V108" s="281"/>
      <c r="W108" s="281"/>
      <c r="X108" s="281"/>
      <c r="Y108" s="281"/>
      <c r="Z108" s="281"/>
      <c r="AA108" s="281"/>
      <c r="AB108" s="281"/>
      <c r="AC108" s="281"/>
    </row>
    <row r="109" spans="1:29">
      <c r="A109" s="5" t="s">
        <v>224</v>
      </c>
      <c r="C109" s="330"/>
      <c r="D109" s="330"/>
      <c r="E109" s="614"/>
      <c r="F109" s="614"/>
      <c r="G109" s="614"/>
      <c r="H109" s="614"/>
      <c r="I109" s="614"/>
      <c r="J109" s="614"/>
      <c r="K109" s="614"/>
      <c r="L109" s="614"/>
      <c r="M109" s="614"/>
      <c r="N109" s="614"/>
      <c r="O109" s="614"/>
      <c r="P109" s="614"/>
      <c r="Q109" s="614"/>
      <c r="R109" s="614"/>
      <c r="S109" s="614"/>
      <c r="T109" s="614"/>
      <c r="U109" s="614"/>
      <c r="V109" s="614"/>
      <c r="W109" s="614"/>
      <c r="X109" s="614"/>
      <c r="Y109" s="614"/>
      <c r="Z109" s="614"/>
      <c r="AA109" s="614"/>
      <c r="AB109" s="614"/>
      <c r="AC109" s="614"/>
    </row>
    <row r="110" spans="1:29">
      <c r="A110" s="346"/>
      <c r="B110" s="410" t="s">
        <v>164</v>
      </c>
      <c r="C110" s="503" t="s">
        <v>19</v>
      </c>
      <c r="E110" s="339" t="s">
        <v>208</v>
      </c>
      <c r="H110" s="585">
        <v>0</v>
      </c>
      <c r="I110" s="334"/>
      <c r="J110" s="334"/>
      <c r="K110" s="334"/>
      <c r="L110" s="334"/>
      <c r="M110" s="334"/>
      <c r="N110" s="334"/>
      <c r="O110" s="334"/>
      <c r="P110" s="334"/>
      <c r="Q110" s="334"/>
      <c r="R110" s="334"/>
      <c r="S110" s="334"/>
      <c r="T110" s="334"/>
      <c r="U110" s="334"/>
      <c r="V110" s="334"/>
      <c r="W110" s="334"/>
      <c r="X110" s="334"/>
      <c r="Y110" s="334"/>
      <c r="Z110" s="334"/>
      <c r="AA110" s="334"/>
      <c r="AB110" s="334"/>
      <c r="AC110" s="334"/>
    </row>
    <row r="111" spans="1:29">
      <c r="A111" s="208"/>
      <c r="B111" s="375" t="s">
        <v>165</v>
      </c>
      <c r="C111" s="503"/>
      <c r="E111" t="s">
        <v>201</v>
      </c>
      <c r="H111" s="579">
        <v>1</v>
      </c>
      <c r="I111" s="208"/>
      <c r="J111" s="208"/>
      <c r="K111" s="208"/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</row>
    <row r="112" spans="1:29">
      <c r="B112" s="375" t="s">
        <v>166</v>
      </c>
      <c r="C112" s="503"/>
      <c r="E112" s="339" t="s">
        <v>202</v>
      </c>
      <c r="H112" s="476">
        <f>+H110*H111</f>
        <v>0</v>
      </c>
    </row>
    <row r="113" spans="1:29">
      <c r="A113" s="346"/>
      <c r="B113" s="375" t="s">
        <v>167</v>
      </c>
      <c r="C113" s="503"/>
      <c r="E113" s="339" t="s">
        <v>203</v>
      </c>
      <c r="H113" s="585">
        <v>1</v>
      </c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  <c r="AA113" s="335"/>
      <c r="AB113" s="335"/>
      <c r="AC113" s="335"/>
    </row>
    <row r="114" spans="1:29">
      <c r="A114" s="346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  <c r="AA114" s="335"/>
      <c r="AB114" s="335"/>
      <c r="AC114" s="335"/>
    </row>
    <row r="115" spans="1:29">
      <c r="A115" s="346"/>
      <c r="B115" s="346" t="s">
        <v>141</v>
      </c>
      <c r="E115" s="343">
        <v>0</v>
      </c>
      <c r="F115" s="343">
        <v>0</v>
      </c>
      <c r="G115" s="343">
        <v>0</v>
      </c>
      <c r="H115" s="343">
        <v>0</v>
      </c>
      <c r="I115" s="476">
        <f ca="1">($H112)*(IF($H113=1,EP!I$185,IF($H113=2,EP!I$188,IF($H113=3,EP!I$191,0))))*(stub)</f>
        <v>0</v>
      </c>
      <c r="J115" s="476">
        <f ca="1">($H112)*(IF($H113=1,EP!J$185,IF($H113=2,EP!J$188,IF($H113=3,EP!J$191,0))))</f>
        <v>0</v>
      </c>
      <c r="K115" s="476">
        <f ca="1">($H112)*(IF($H113=1,EP!K$185,IF($H113=2,EP!K$188,IF($H113=3,EP!K$191,0))))</f>
        <v>0</v>
      </c>
      <c r="L115" s="476">
        <f ca="1">($H112)*(IF($H113=1,EP!L$185,IF($H113=2,EP!L$188,IF($H113=3,EP!L$191,0))))</f>
        <v>0</v>
      </c>
      <c r="M115" s="476">
        <f ca="1">($H112)*(IF($H113=1,EP!M$185,IF($H113=2,EP!M$188,IF($H113=3,EP!M$191,0))))</f>
        <v>0</v>
      </c>
      <c r="N115" s="476">
        <f ca="1">($H112)*(IF($H113=1,EP!N$185,IF($H113=2,EP!N$188,IF($H113=3,EP!N$191,0))))</f>
        <v>0</v>
      </c>
      <c r="O115" s="476">
        <f ca="1">($H112)*(IF($H113=1,EP!O$185,IF($H113=2,EP!O$188,IF($H113=3,EP!O$191,0))))</f>
        <v>0</v>
      </c>
      <c r="P115" s="476">
        <f ca="1">($H112)*(IF($H113=1,EP!P$185,IF($H113=2,EP!P$188,IF($H113=3,EP!P$191,0))))</f>
        <v>0</v>
      </c>
      <c r="Q115" s="476">
        <f ca="1">($H112)*(IF($H113=1,EP!Q$185,IF($H113=2,EP!Q$188,IF($H113=3,EP!Q$191,0))))</f>
        <v>0</v>
      </c>
      <c r="R115" s="476">
        <f ca="1">($H112)*(IF($H113=1,EP!R$185,IF($H113=2,EP!R$188,IF($H113=3,EP!R$191,0))))</f>
        <v>0</v>
      </c>
      <c r="S115" s="476">
        <f ca="1">($H112)*(IF($H113=1,EP!S$185,IF($H113=2,EP!S$188,IF($H113=3,EP!S$191,0))))</f>
        <v>0</v>
      </c>
      <c r="T115" s="476">
        <f ca="1">($H112)*(IF($H113=1,EP!T$185,IF($H113=2,EP!T$188,IF($H113=3,EP!T$191,0))))</f>
        <v>0</v>
      </c>
      <c r="U115" s="476">
        <f ca="1">($H112)*(IF($H113=1,EP!U$185,IF($H113=2,EP!U$188,IF($H113=3,EP!U$191,0))))</f>
        <v>0</v>
      </c>
      <c r="V115" s="476">
        <f ca="1">($H112)*(IF($H113=1,EP!V$185,IF($H113=2,EP!V$188,IF($H113=3,EP!V$191,0))))</f>
        <v>0</v>
      </c>
      <c r="W115" s="476">
        <f ca="1">($H112)*(IF($H113=1,EP!W$185,IF($H113=2,EP!W$188,IF($H113=3,EP!W$191,0))))</f>
        <v>0</v>
      </c>
      <c r="X115" s="476">
        <f ca="1">($H112)*(IF($H113=1,EP!X$185,IF($H113=2,EP!X$188,IF($H113=3,EP!X$191,0))))</f>
        <v>0</v>
      </c>
      <c r="Y115" s="476">
        <f ca="1">($H112)*(IF($H113=1,EP!Y$185,IF($H113=2,EP!Y$188,IF($H113=3,EP!Y$191,0))))</f>
        <v>0</v>
      </c>
      <c r="Z115" s="476">
        <f ca="1">($H112)*(IF($H113=1,EP!Z$185,IF($H113=2,EP!Z$188,IF($H113=3,EP!Z$191,0))))</f>
        <v>0</v>
      </c>
      <c r="AA115" s="476">
        <f ca="1">($H112)*(IF($H113=1,EP!AA$185,IF($H113=2,EP!AA$188,IF($H113=3,EP!AA$191,0))))</f>
        <v>0</v>
      </c>
      <c r="AB115" s="476">
        <f ca="1">($H112)*(IF($H113=1,EP!AB$185,IF($H113=2,EP!AB$188,IF($H113=3,EP!AB$191,0))))</f>
        <v>0</v>
      </c>
      <c r="AC115" s="476">
        <f ca="1">($H112)*(IF($H113=1,EP!AC$185,IF($H113=2,EP!AC$188,IF($H113=3,EP!AC$191,0))))</f>
        <v>0</v>
      </c>
    </row>
    <row r="116" spans="1:29">
      <c r="A116" s="346"/>
      <c r="H116" s="208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  <c r="AA116" s="335"/>
      <c r="AB116" s="335"/>
      <c r="AC116" s="335"/>
    </row>
    <row r="117" spans="1:29">
      <c r="A117" s="346" t="s">
        <v>225</v>
      </c>
      <c r="H117" s="208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  <c r="AA117" s="335"/>
      <c r="AB117" s="335"/>
      <c r="AC117" s="335"/>
    </row>
    <row r="118" spans="1:29">
      <c r="B118" s="410" t="s">
        <v>164</v>
      </c>
      <c r="C118" s="503" t="s">
        <v>19</v>
      </c>
      <c r="E118" s="339" t="s">
        <v>226</v>
      </c>
      <c r="H118" s="579">
        <v>0</v>
      </c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  <c r="AA118" s="335"/>
      <c r="AB118" s="335"/>
      <c r="AC118" s="335"/>
    </row>
    <row r="119" spans="1:29">
      <c r="A119" s="411"/>
      <c r="B119" s="375" t="s">
        <v>165</v>
      </c>
      <c r="C119" s="503"/>
      <c r="E119" t="s">
        <v>201</v>
      </c>
      <c r="H119" s="579">
        <v>1</v>
      </c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  <c r="AA119" s="335"/>
      <c r="AB119" s="335"/>
      <c r="AC119" s="335"/>
    </row>
    <row r="120" spans="1:29">
      <c r="A120" s="411"/>
      <c r="B120" s="375" t="s">
        <v>166</v>
      </c>
      <c r="C120" s="503"/>
      <c r="E120" s="339" t="s">
        <v>202</v>
      </c>
      <c r="H120" s="603">
        <f>+H118*H119</f>
        <v>0</v>
      </c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  <c r="AA120" s="335"/>
      <c r="AB120" s="335"/>
      <c r="AC120" s="335"/>
    </row>
    <row r="121" spans="1:29">
      <c r="A121" s="411"/>
      <c r="B121" s="375" t="s">
        <v>167</v>
      </c>
      <c r="C121" s="503"/>
      <c r="E121" s="339" t="s">
        <v>203</v>
      </c>
      <c r="H121" s="584">
        <v>1</v>
      </c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  <c r="AA121" s="335"/>
      <c r="AB121" s="335"/>
      <c r="AC121" s="335"/>
    </row>
    <row r="122" spans="1:29">
      <c r="A122" s="411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  <c r="AA122" s="335"/>
      <c r="AB122" s="335"/>
      <c r="AC122" s="335"/>
    </row>
    <row r="123" spans="1:29">
      <c r="A123" s="411"/>
      <c r="B123" s="346" t="s">
        <v>227</v>
      </c>
      <c r="I123" s="476">
        <f ca="1">($H120*I67)*(IF($H121=1,EP!I$185,IF($H121=2,EP!I$188,IF($H121=3,EP!I$191,0))))</f>
        <v>0</v>
      </c>
      <c r="J123" s="476">
        <f ca="1">($H120*J67)*(IF($H121=1,EP!J$185,IF($H121=2,EP!J$188,IF($H121=3,EP!J$191,0))))</f>
        <v>0</v>
      </c>
      <c r="K123" s="476">
        <f ca="1">($H120*K67)*(IF($H121=1,EP!K$185,IF($H121=2,EP!K$188,IF($H121=3,EP!K$191,0))))</f>
        <v>0</v>
      </c>
      <c r="L123" s="476">
        <f ca="1">($H120*L67)*(IF($H121=1,EP!L$185,IF($H121=2,EP!L$188,IF($H121=3,EP!L$191,0))))</f>
        <v>0</v>
      </c>
      <c r="M123" s="476">
        <f ca="1">($H120*M67)*(IF($H121=1,EP!M$185,IF($H121=2,EP!M$188,IF($H121=3,EP!M$191,0))))</f>
        <v>0</v>
      </c>
      <c r="N123" s="476">
        <f ca="1">($H120*N67)*(IF($H121=1,EP!N$185,IF($H121=2,EP!N$188,IF($H121=3,EP!N$191,0))))</f>
        <v>0</v>
      </c>
      <c r="O123" s="476">
        <f ca="1">($H120*O67)*(IF($H121=1,EP!O$185,IF($H121=2,EP!O$188,IF($H121=3,EP!O$191,0))))</f>
        <v>0</v>
      </c>
      <c r="P123" s="476">
        <f ca="1">($H120*P67)*(IF($H121=1,EP!P$185,IF($H121=2,EP!P$188,IF($H121=3,EP!P$191,0))))</f>
        <v>0</v>
      </c>
      <c r="Q123" s="476">
        <f ca="1">($H120*Q67)*(IF($H121=1,EP!Q$185,IF($H121=2,EP!Q$188,IF($H121=3,EP!Q$191,0))))</f>
        <v>0</v>
      </c>
      <c r="R123" s="476">
        <f ca="1">($H120*R67)*(IF($H121=1,EP!R$185,IF($H121=2,EP!R$188,IF($H121=3,EP!R$191,0))))</f>
        <v>0</v>
      </c>
      <c r="S123" s="476">
        <f ca="1">($H120*S67)*(IF($H121=1,EP!S$185,IF($H121=2,EP!S$188,IF($H121=3,EP!S$191,0))))</f>
        <v>0</v>
      </c>
      <c r="T123" s="476">
        <f ca="1">($H120*T67)*(IF($H121=1,EP!T$185,IF($H121=2,EP!T$188,IF($H121=3,EP!T$191,0))))</f>
        <v>0</v>
      </c>
      <c r="U123" s="476">
        <f ca="1">($H120*U67)*(IF($H121=1,EP!U$185,IF($H121=2,EP!U$188,IF($H121=3,EP!U$191,0))))</f>
        <v>0</v>
      </c>
      <c r="V123" s="476">
        <f ca="1">($H120*V67)*(IF($H121=1,EP!V$185,IF($H121=2,EP!V$188,IF($H121=3,EP!V$191,0))))</f>
        <v>0</v>
      </c>
      <c r="W123" s="476">
        <f ca="1">($H120*W67)*(IF($H121=1,EP!W$185,IF($H121=2,EP!W$188,IF($H121=3,EP!W$191,0))))</f>
        <v>0</v>
      </c>
      <c r="X123" s="476">
        <f ca="1">($H120*X67)*(IF($H121=1,EP!X$185,IF($H121=2,EP!X$188,IF($H121=3,EP!X$191,0))))</f>
        <v>0</v>
      </c>
      <c r="Y123" s="476">
        <f ca="1">($H120*Y67)*(IF($H121=1,EP!Y$185,IF($H121=2,EP!Y$188,IF($H121=3,EP!Y$191,0))))</f>
        <v>0</v>
      </c>
      <c r="Z123" s="476">
        <f ca="1">($H120*Z67)*(IF($H121=1,EP!Z$185,IF($H121=2,EP!Z$188,IF($H121=3,EP!Z$191,0))))</f>
        <v>0</v>
      </c>
      <c r="AA123" s="476">
        <f ca="1">($H120*AA67)*(IF($H121=1,EP!AA$185,IF($H121=2,EP!AA$188,IF($H121=3,EP!AA$191,0))))</f>
        <v>0</v>
      </c>
      <c r="AB123" s="476">
        <f ca="1">($H120*AB67)*(IF($H121=1,EP!AB$185,IF($H121=2,EP!AB$188,IF($H121=3,EP!AB$191,0))))</f>
        <v>0</v>
      </c>
      <c r="AC123" s="476">
        <f ca="1">($H120*AC67)*(IF($H121=1,EP!AC$185,IF($H121=2,EP!AC$188,IF($H121=3,EP!AC$191,0))))</f>
        <v>0</v>
      </c>
    </row>
    <row r="124" spans="1:29">
      <c r="A124" s="411"/>
      <c r="B124" s="346"/>
      <c r="I124" s="476"/>
      <c r="J124" s="476"/>
      <c r="K124" s="476"/>
      <c r="L124" s="476"/>
      <c r="M124" s="476"/>
      <c r="N124" s="476"/>
      <c r="O124" s="476"/>
      <c r="P124" s="476"/>
      <c r="Q124" s="476"/>
      <c r="R124" s="476"/>
      <c r="S124" s="476"/>
      <c r="T124" s="476"/>
      <c r="U124" s="476"/>
      <c r="V124" s="476"/>
      <c r="W124" s="476"/>
      <c r="X124" s="476"/>
      <c r="Y124" s="476"/>
      <c r="Z124" s="476"/>
      <c r="AA124" s="476"/>
      <c r="AB124" s="476"/>
      <c r="AC124" s="476"/>
    </row>
    <row r="125" spans="1:29">
      <c r="A125" s="83" t="s">
        <v>228</v>
      </c>
      <c r="C125" s="5"/>
      <c r="D125" s="5"/>
      <c r="I125" s="5">
        <f t="shared" ref="I125:U125" ca="1" si="53">+I123+I115</f>
        <v>0</v>
      </c>
      <c r="J125" s="5">
        <f t="shared" ca="1" si="53"/>
        <v>0</v>
      </c>
      <c r="K125" s="5">
        <f t="shared" ca="1" si="53"/>
        <v>0</v>
      </c>
      <c r="L125" s="5">
        <f t="shared" ca="1" si="53"/>
        <v>0</v>
      </c>
      <c r="M125" s="5">
        <f t="shared" ca="1" si="53"/>
        <v>0</v>
      </c>
      <c r="N125" s="5">
        <f t="shared" ca="1" si="53"/>
        <v>0</v>
      </c>
      <c r="O125" s="5">
        <f t="shared" ca="1" si="53"/>
        <v>0</v>
      </c>
      <c r="P125" s="5">
        <f t="shared" ca="1" si="53"/>
        <v>0</v>
      </c>
      <c r="Q125" s="5">
        <f t="shared" ca="1" si="53"/>
        <v>0</v>
      </c>
      <c r="R125" s="5">
        <f t="shared" ca="1" si="53"/>
        <v>0</v>
      </c>
      <c r="S125" s="5">
        <f t="shared" ca="1" si="53"/>
        <v>0</v>
      </c>
      <c r="T125" s="5">
        <f t="shared" ca="1" si="53"/>
        <v>0</v>
      </c>
      <c r="U125" s="5">
        <f t="shared" ca="1" si="53"/>
        <v>0</v>
      </c>
      <c r="V125" s="5">
        <f t="shared" ref="V125:AC125" ca="1" si="54">+V123+V115</f>
        <v>0</v>
      </c>
      <c r="W125" s="5">
        <f t="shared" ca="1" si="54"/>
        <v>0</v>
      </c>
      <c r="X125" s="5">
        <f t="shared" ca="1" si="54"/>
        <v>0</v>
      </c>
      <c r="Y125" s="5">
        <f t="shared" ca="1" si="54"/>
        <v>0</v>
      </c>
      <c r="Z125" s="5">
        <f t="shared" ca="1" si="54"/>
        <v>0</v>
      </c>
      <c r="AA125" s="5">
        <f t="shared" ca="1" si="54"/>
        <v>0</v>
      </c>
      <c r="AB125" s="5">
        <f t="shared" ca="1" si="54"/>
        <v>0</v>
      </c>
      <c r="AC125" s="5">
        <f t="shared" ca="1" si="54"/>
        <v>0</v>
      </c>
    </row>
    <row r="126" spans="1:29">
      <c r="A126" s="5" t="s">
        <v>229</v>
      </c>
      <c r="C126" s="5"/>
      <c r="D126" s="5"/>
      <c r="I126" s="231">
        <f t="shared" ref="I126:U126" ca="1" si="55">+I89</f>
        <v>533.38022390246761</v>
      </c>
      <c r="J126" s="231">
        <f t="shared" ca="1" si="55"/>
        <v>2327.7268958822397</v>
      </c>
      <c r="K126" s="231">
        <f t="shared" ca="1" si="55"/>
        <v>3723.3141364375624</v>
      </c>
      <c r="L126" s="231">
        <f t="shared" ca="1" si="55"/>
        <v>5147.39550221438</v>
      </c>
      <c r="M126" s="231">
        <f t="shared" ca="1" si="55"/>
        <v>6532.5961304762404</v>
      </c>
      <c r="N126" s="231">
        <f t="shared" ca="1" si="55"/>
        <v>7648.8800815321792</v>
      </c>
      <c r="O126" s="231">
        <f t="shared" ca="1" si="55"/>
        <v>8528.7244543642955</v>
      </c>
      <c r="P126" s="231">
        <f t="shared" ca="1" si="55"/>
        <v>9226.7313088204974</v>
      </c>
      <c r="Q126" s="231">
        <f t="shared" ca="1" si="55"/>
        <v>9784.5920809969612</v>
      </c>
      <c r="R126" s="231">
        <f t="shared" ca="1" si="55"/>
        <v>10235.502907815509</v>
      </c>
      <c r="S126" s="231">
        <f t="shared" ca="1" si="55"/>
        <v>10605.524923065115</v>
      </c>
      <c r="T126" s="231">
        <f t="shared" ca="1" si="55"/>
        <v>10913.340394156394</v>
      </c>
      <c r="U126" s="231">
        <f t="shared" ca="1" si="55"/>
        <v>11174.279817314686</v>
      </c>
      <c r="V126" s="231">
        <f t="shared" ref="V126:AC126" ca="1" si="56">+V89</f>
        <v>11398.05978473759</v>
      </c>
      <c r="W126" s="231">
        <f t="shared" ca="1" si="56"/>
        <v>11592.432486250909</v>
      </c>
      <c r="X126" s="231">
        <f t="shared" ca="1" si="56"/>
        <v>11802.975364146445</v>
      </c>
      <c r="Y126" s="231">
        <f t="shared" ca="1" si="56"/>
        <v>11995.875328532771</v>
      </c>
      <c r="Z126" s="231">
        <f t="shared" ca="1" si="56"/>
        <v>12151.800973979982</v>
      </c>
      <c r="AA126" s="231">
        <f t="shared" ca="1" si="56"/>
        <v>12298.771093130503</v>
      </c>
      <c r="AB126" s="231">
        <f t="shared" ca="1" si="56"/>
        <v>12439.535351730075</v>
      </c>
      <c r="AC126" s="231">
        <f t="shared" ca="1" si="56"/>
        <v>12565.927588885206</v>
      </c>
    </row>
    <row r="127" spans="1:29">
      <c r="A127" s="5" t="s">
        <v>230</v>
      </c>
      <c r="C127" s="5"/>
      <c r="D127" s="5"/>
      <c r="I127" s="414">
        <f t="shared" ref="I127:U127" ca="1" si="57">+I125+I126</f>
        <v>533.38022390246761</v>
      </c>
      <c r="J127" s="414">
        <f t="shared" ca="1" si="57"/>
        <v>2327.7268958822397</v>
      </c>
      <c r="K127" s="414">
        <f t="shared" ca="1" si="57"/>
        <v>3723.3141364375624</v>
      </c>
      <c r="L127" s="414">
        <f t="shared" ca="1" si="57"/>
        <v>5147.39550221438</v>
      </c>
      <c r="M127" s="414">
        <f t="shared" ca="1" si="57"/>
        <v>6532.5961304762404</v>
      </c>
      <c r="N127" s="414">
        <f t="shared" ca="1" si="57"/>
        <v>7648.8800815321792</v>
      </c>
      <c r="O127" s="414">
        <f t="shared" ca="1" si="57"/>
        <v>8528.7244543642955</v>
      </c>
      <c r="P127" s="414">
        <f t="shared" ca="1" si="57"/>
        <v>9226.7313088204974</v>
      </c>
      <c r="Q127" s="414">
        <f t="shared" ca="1" si="57"/>
        <v>9784.5920809969612</v>
      </c>
      <c r="R127" s="414">
        <f t="shared" ca="1" si="57"/>
        <v>10235.502907815509</v>
      </c>
      <c r="S127" s="414">
        <f t="shared" ca="1" si="57"/>
        <v>10605.524923065115</v>
      </c>
      <c r="T127" s="414">
        <f t="shared" ca="1" si="57"/>
        <v>10913.340394156394</v>
      </c>
      <c r="U127" s="414">
        <f t="shared" ca="1" si="57"/>
        <v>11174.279817314686</v>
      </c>
      <c r="V127" s="414">
        <f t="shared" ref="V127:AC127" ca="1" si="58">+V125+V126</f>
        <v>11398.05978473759</v>
      </c>
      <c r="W127" s="414">
        <f t="shared" ca="1" si="58"/>
        <v>11592.432486250909</v>
      </c>
      <c r="X127" s="414">
        <f t="shared" ca="1" si="58"/>
        <v>11802.975364146445</v>
      </c>
      <c r="Y127" s="414">
        <f t="shared" ca="1" si="58"/>
        <v>11995.875328532771</v>
      </c>
      <c r="Z127" s="414">
        <f t="shared" ca="1" si="58"/>
        <v>12151.800973979982</v>
      </c>
      <c r="AA127" s="414">
        <f t="shared" ca="1" si="58"/>
        <v>12298.771093130503</v>
      </c>
      <c r="AB127" s="414">
        <f t="shared" ca="1" si="58"/>
        <v>12439.535351730075</v>
      </c>
      <c r="AC127" s="414">
        <f t="shared" ca="1" si="58"/>
        <v>12565.927588885206</v>
      </c>
    </row>
    <row r="128" spans="1:29" ht="12" thickBot="1">
      <c r="A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69"/>
      <c r="Y128" s="69"/>
      <c r="Z128" s="69"/>
      <c r="AA128" s="69"/>
      <c r="AB128" s="69"/>
      <c r="AC128" s="69"/>
    </row>
    <row r="129" spans="1:29" ht="12" thickTop="1">
      <c r="A129" s="443"/>
      <c r="B129" s="443"/>
      <c r="C129" s="443"/>
      <c r="D129" s="443"/>
      <c r="E129" s="443"/>
      <c r="F129" s="443"/>
      <c r="G129" s="443"/>
      <c r="H129" s="443"/>
      <c r="I129" s="443"/>
      <c r="J129" s="443"/>
      <c r="K129" s="443"/>
      <c r="L129" s="443"/>
      <c r="M129" s="443"/>
      <c r="N129" s="443"/>
      <c r="O129" s="443"/>
      <c r="P129" s="443"/>
      <c r="Q129" s="443"/>
      <c r="R129" s="443"/>
      <c r="S129" s="443"/>
      <c r="T129" s="443"/>
      <c r="U129" s="443"/>
      <c r="V129" s="443"/>
      <c r="W129" s="443"/>
      <c r="X129" s="443"/>
      <c r="Y129" s="443"/>
      <c r="Z129" s="443"/>
      <c r="AA129" s="443"/>
      <c r="AB129" s="443"/>
      <c r="AC129" s="443"/>
    </row>
    <row r="130" spans="1:29">
      <c r="A130" s="337" t="s">
        <v>231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69"/>
      <c r="Y130" s="69"/>
      <c r="Z130" s="69"/>
      <c r="AA130" s="69"/>
      <c r="AB130" s="69"/>
      <c r="AC130" s="69"/>
    </row>
    <row r="131" spans="1:29">
      <c r="A131" s="83" t="s">
        <v>232</v>
      </c>
      <c r="C131" s="330"/>
      <c r="D131" s="330"/>
      <c r="E131" s="614"/>
      <c r="F131" s="614"/>
      <c r="G131" s="614"/>
      <c r="H131" s="614"/>
      <c r="I131" s="614"/>
      <c r="J131" s="614"/>
      <c r="K131" s="614"/>
      <c r="L131" s="614"/>
      <c r="M131" s="614"/>
      <c r="N131" s="614"/>
      <c r="O131" s="614"/>
      <c r="P131" s="614"/>
      <c r="Q131" s="614"/>
      <c r="R131" s="614"/>
      <c r="S131" s="614"/>
      <c r="T131" s="614"/>
      <c r="U131" s="614"/>
      <c r="V131" s="614"/>
      <c r="W131" s="614"/>
      <c r="X131" s="614"/>
      <c r="Y131" s="614"/>
      <c r="Z131" s="614"/>
      <c r="AA131" s="614"/>
      <c r="AB131" s="614"/>
      <c r="AC131" s="614"/>
    </row>
    <row r="132" spans="1:29">
      <c r="A132" s="346"/>
      <c r="B132" s="410" t="s">
        <v>164</v>
      </c>
      <c r="C132" s="503" t="s">
        <v>19</v>
      </c>
      <c r="E132" s="339" t="s">
        <v>208</v>
      </c>
      <c r="H132" s="585">
        <v>0</v>
      </c>
      <c r="I132" s="334"/>
      <c r="J132" s="334"/>
      <c r="K132" s="334"/>
      <c r="L132" s="334"/>
      <c r="M132" s="334"/>
      <c r="N132" s="334"/>
      <c r="O132" s="334"/>
      <c r="P132" s="334"/>
      <c r="Q132" s="334"/>
      <c r="R132" s="334"/>
      <c r="S132" s="334"/>
      <c r="T132" s="334"/>
      <c r="U132" s="334"/>
      <c r="V132" s="334"/>
      <c r="W132" s="334"/>
      <c r="X132" s="334"/>
      <c r="Y132" s="334"/>
      <c r="Z132" s="334"/>
      <c r="AA132" s="334"/>
      <c r="AB132" s="334"/>
      <c r="AC132" s="334"/>
    </row>
    <row r="133" spans="1:29">
      <c r="A133" s="208"/>
      <c r="B133" s="375" t="s">
        <v>165</v>
      </c>
      <c r="C133" s="503"/>
      <c r="E133" t="s">
        <v>201</v>
      </c>
      <c r="H133" s="579">
        <v>1</v>
      </c>
      <c r="I133" s="208"/>
      <c r="J133" s="208"/>
      <c r="K133" s="208"/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</row>
    <row r="134" spans="1:29">
      <c r="B134" s="375" t="s">
        <v>166</v>
      </c>
      <c r="C134" s="503"/>
      <c r="E134" s="339" t="s">
        <v>202</v>
      </c>
      <c r="H134" s="476">
        <f>+H132*H133</f>
        <v>0</v>
      </c>
    </row>
    <row r="135" spans="1:29">
      <c r="A135" s="346"/>
      <c r="B135" s="375" t="s">
        <v>167</v>
      </c>
      <c r="C135" s="503"/>
      <c r="E135" s="339" t="s">
        <v>203</v>
      </c>
      <c r="H135" s="585">
        <v>3</v>
      </c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  <c r="AA135" s="335"/>
      <c r="AB135" s="335"/>
      <c r="AC135" s="335"/>
    </row>
    <row r="136" spans="1:29">
      <c r="A136" s="346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  <c r="AA136" s="335"/>
      <c r="AB136" s="335"/>
      <c r="AC136" s="335"/>
    </row>
    <row r="137" spans="1:29">
      <c r="A137" s="346"/>
      <c r="B137" s="346" t="s">
        <v>141</v>
      </c>
      <c r="I137" s="476">
        <f ca="1">($H134)*(IF($H135=1,EP!I$185,IF($H135=2,EP!I$188,IF($H135=3,EP!I$191,0))))*(stub)</f>
        <v>0</v>
      </c>
      <c r="J137" s="476">
        <f ca="1">($H134)*(IF($H135=1,EP!J$185,IF($H135=2,EP!J$188,IF($H135=3,EP!J$191,0))))</f>
        <v>0</v>
      </c>
      <c r="K137" s="476">
        <f ca="1">($H134)*(IF($H135=1,EP!K$185,IF($H135=2,EP!K$188,IF($H135=3,EP!K$191,0))))</f>
        <v>0</v>
      </c>
      <c r="L137" s="476">
        <f ca="1">($H134)*(IF($H135=1,EP!L$185,IF($H135=2,EP!L$188,IF($H135=3,EP!L$191,0))))</f>
        <v>0</v>
      </c>
      <c r="M137" s="476">
        <f ca="1">($H134)*(IF($H135=1,EP!M$185,IF($H135=2,EP!M$188,IF($H135=3,EP!M$191,0))))</f>
        <v>0</v>
      </c>
      <c r="N137" s="476">
        <f ca="1">($H134)*(IF($H135=1,EP!N$185,IF($H135=2,EP!N$188,IF($H135=3,EP!N$191,0))))</f>
        <v>0</v>
      </c>
      <c r="O137" s="476">
        <f ca="1">($H134)*(IF($H135=1,EP!O$185,IF($H135=2,EP!O$188,IF($H135=3,EP!O$191,0))))</f>
        <v>0</v>
      </c>
      <c r="P137" s="476">
        <f ca="1">($H134)*(IF($H135=1,EP!P$185,IF($H135=2,EP!P$188,IF($H135=3,EP!P$191,0))))</f>
        <v>0</v>
      </c>
      <c r="Q137" s="476">
        <f ca="1">($H134)*(IF($H135=1,EP!Q$185,IF($H135=2,EP!Q$188,IF($H135=3,EP!Q$191,0))))</f>
        <v>0</v>
      </c>
      <c r="R137" s="476">
        <f ca="1">($H134)*(IF($H135=1,EP!R$185,IF($H135=2,EP!R$188,IF($H135=3,EP!R$191,0))))</f>
        <v>0</v>
      </c>
      <c r="S137" s="476">
        <f ca="1">($H134)*(IF($H135=1,EP!S$185,IF($H135=2,EP!S$188,IF($H135=3,EP!S$191,0))))</f>
        <v>0</v>
      </c>
      <c r="T137" s="476">
        <f ca="1">($H134)*(IF($H135=1,EP!T$185,IF($H135=2,EP!T$188,IF($H135=3,EP!T$191,0))))</f>
        <v>0</v>
      </c>
      <c r="U137" s="476">
        <f ca="1">($H134)*(IF($H135=1,EP!U$185,IF($H135=2,EP!U$188,IF($H135=3,EP!U$191,0))))</f>
        <v>0</v>
      </c>
      <c r="V137" s="476">
        <f ca="1">($H134)*(IF($H135=1,EP!V$185,IF($H135=2,EP!V$188,IF($H135=3,EP!V$191,0))))</f>
        <v>0</v>
      </c>
      <c r="W137" s="476">
        <f ca="1">($H134)*(IF($H135=1,EP!W$185,IF($H135=2,EP!W$188,IF($H135=3,EP!W$191,0))))</f>
        <v>0</v>
      </c>
      <c r="X137" s="476">
        <f ca="1">($H134)*(IF($H135=1,EP!X$185,IF($H135=2,EP!X$188,IF($H135=3,EP!X$191,0))))</f>
        <v>0</v>
      </c>
      <c r="Y137" s="476">
        <f ca="1">($H134)*(IF($H135=1,EP!Y$185,IF($H135=2,EP!Y$188,IF($H135=3,EP!Y$191,0))))</f>
        <v>0</v>
      </c>
      <c r="Z137" s="476">
        <f ca="1">($H134)*(IF($H135=1,EP!Z$185,IF($H135=2,EP!Z$188,IF($H135=3,EP!Z$191,0))))</f>
        <v>0</v>
      </c>
      <c r="AA137" s="476">
        <f ca="1">($H134)*(IF($H135=1,EP!AA$185,IF($H135=2,EP!AA$188,IF($H135=3,EP!AA$191,0))))</f>
        <v>0</v>
      </c>
      <c r="AB137" s="476">
        <f ca="1">($H134)*(IF($H135=1,EP!AB$185,IF($H135=2,EP!AB$188,IF($H135=3,EP!AB$191,0))))</f>
        <v>0</v>
      </c>
      <c r="AC137" s="476">
        <f ca="1">($H134)*(IF($H135=1,EP!AC$185,IF($H135=2,EP!AC$188,IF($H135=3,EP!AC$191,0))))</f>
        <v>0</v>
      </c>
    </row>
    <row r="138" spans="1:29">
      <c r="A138" s="346"/>
      <c r="H138" s="208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  <c r="AA138" s="335"/>
      <c r="AB138" s="335"/>
      <c r="AC138" s="335"/>
    </row>
    <row r="139" spans="1:29">
      <c r="A139" s="346" t="s">
        <v>233</v>
      </c>
      <c r="H139" s="208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  <c r="AA139" s="335"/>
      <c r="AB139" s="335"/>
      <c r="AC139" s="335"/>
    </row>
    <row r="140" spans="1:29">
      <c r="B140" s="410" t="s">
        <v>164</v>
      </c>
      <c r="C140" s="503" t="s">
        <v>19</v>
      </c>
      <c r="E140" s="339" t="s">
        <v>226</v>
      </c>
      <c r="H140" s="579">
        <v>0.3</v>
      </c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  <c r="AA140" s="335"/>
      <c r="AB140" s="335"/>
      <c r="AC140" s="335"/>
    </row>
    <row r="141" spans="1:29">
      <c r="A141" s="411"/>
      <c r="B141" s="375" t="s">
        <v>165</v>
      </c>
      <c r="C141" s="503"/>
      <c r="E141" t="s">
        <v>201</v>
      </c>
      <c r="H141" s="579">
        <v>1</v>
      </c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  <c r="AA141" s="335"/>
      <c r="AB141" s="335"/>
      <c r="AC141" s="335"/>
    </row>
    <row r="142" spans="1:29">
      <c r="A142" s="411"/>
      <c r="B142" s="375" t="s">
        <v>166</v>
      </c>
      <c r="C142" s="503"/>
      <c r="E142" s="339" t="s">
        <v>202</v>
      </c>
      <c r="H142" s="629">
        <f>+H140*H141</f>
        <v>0.3</v>
      </c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  <c r="AA142" s="335"/>
      <c r="AB142" s="335"/>
      <c r="AC142" s="335"/>
    </row>
    <row r="143" spans="1:29">
      <c r="A143" s="411"/>
      <c r="B143" s="375" t="s">
        <v>167</v>
      </c>
      <c r="C143" s="503"/>
      <c r="E143" s="339" t="s">
        <v>203</v>
      </c>
      <c r="H143" s="584">
        <v>1</v>
      </c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  <c r="AA143" s="335"/>
      <c r="AB143" s="335"/>
      <c r="AC143" s="335"/>
    </row>
    <row r="144" spans="1:29">
      <c r="A144" s="411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  <c r="AA144" s="335"/>
      <c r="AB144" s="335"/>
      <c r="AC144" s="335"/>
    </row>
    <row r="145" spans="1:29">
      <c r="A145" s="411"/>
      <c r="B145" s="346" t="s">
        <v>227</v>
      </c>
      <c r="I145" s="476">
        <f ca="1">($H142*I67)*(IF($H143=1,EP!I$185,IF($H143=2,EP!I$188,IF($H143=3,EP!I$191,0))))*(stub)</f>
        <v>0</v>
      </c>
      <c r="J145" s="476">
        <f ca="1">($H142*J67)*(IF($H143=1,EP!J$185,IF($H143=2,EP!J$188,IF($H143=3,EP!J$191,0))))</f>
        <v>2521.4762149792041</v>
      </c>
      <c r="K145" s="476">
        <f ca="1">($H142*K67)*(IF($H143=1,EP!K$185,IF($H143=2,EP!K$188,IF($H143=3,EP!K$191,0))))</f>
        <v>3907.0680287898454</v>
      </c>
      <c r="L145" s="476">
        <f ca="1">($H142*L67)*(IF($H143=1,EP!L$185,IF($H143=2,EP!L$188,IF($H143=3,EP!L$191,0))))</f>
        <v>5583.4236712074644</v>
      </c>
      <c r="M145" s="476">
        <f ca="1">($H142*M67)*(IF($H143=1,EP!M$185,IF($H143=2,EP!M$188,IF($H143=3,EP!M$191,0))))</f>
        <v>7478.8747108490952</v>
      </c>
      <c r="N145" s="476">
        <f ca="1">($H142*N67)*(IF($H143=1,EP!N$185,IF($H143=2,EP!N$188,IF($H143=3,EP!N$191,0))))</f>
        <v>9272.1401762844034</v>
      </c>
      <c r="O145" s="476">
        <f ca="1">($H142*O67)*(IF($H143=1,EP!O$185,IF($H143=2,EP!O$188,IF($H143=3,EP!O$191,0))))</f>
        <v>10953.129136580936</v>
      </c>
      <c r="P145" s="476">
        <f ca="1">($H142*P67)*(IF($H143=1,EP!P$185,IF($H143=2,EP!P$188,IF($H143=3,EP!P$191,0))))</f>
        <v>12567.756117874314</v>
      </c>
      <c r="Q145" s="476">
        <f ca="1">($H142*Q67)*(IF($H143=1,EP!Q$185,IF($H143=2,EP!Q$188,IF($H143=3,EP!Q$191,0))))</f>
        <v>14152.058937922047</v>
      </c>
      <c r="R145" s="476">
        <f ca="1">($H142*R67)*(IF($H143=1,EP!R$185,IF($H143=2,EP!R$188,IF($H143=3,EP!R$191,0))))</f>
        <v>15741.513136278914</v>
      </c>
      <c r="S145" s="476">
        <f ca="1">($H142*S67)*(IF($H143=1,EP!S$185,IF($H143=2,EP!S$188,IF($H143=3,EP!S$191,0))))</f>
        <v>17369.305574178044</v>
      </c>
      <c r="T145" s="476">
        <f ca="1">($H142*T67)*(IF($H143=1,EP!T$185,IF($H143=2,EP!T$188,IF($H143=3,EP!T$191,0))))</f>
        <v>19056.692156403558</v>
      </c>
      <c r="U145" s="476">
        <f ca="1">($H142*U67)*(IF($H143=1,EP!U$185,IF($H143=2,EP!U$188,IF($H143=3,EP!U$191,0))))</f>
        <v>20828.119385763897</v>
      </c>
      <c r="V145" s="476">
        <f ca="1">($H142*V67)*(IF($H143=1,EP!V$185,IF($H143=2,EP!V$188,IF($H143=3,EP!V$191,0))))</f>
        <v>22692.482937153571</v>
      </c>
      <c r="W145" s="476">
        <f ca="1">($H142*W67)*(IF($H143=1,EP!W$185,IF($H143=2,EP!W$188,IF($H143=3,EP!W$191,0))))</f>
        <v>24659.492503475623</v>
      </c>
      <c r="X145" s="476">
        <f ca="1">($H142*X67)*(IF($H143=1,EP!X$185,IF($H143=2,EP!X$188,IF($H143=3,EP!X$191,0))))</f>
        <v>27022.053510444512</v>
      </c>
      <c r="Y145" s="476">
        <f ca="1">($H142*Y67)*(IF($H143=1,EP!Y$185,IF($H143=2,EP!Y$188,IF($H143=3,EP!Y$191,0))))</f>
        <v>29544.113303657894</v>
      </c>
      <c r="Z145" s="476">
        <f ca="1">($H142*Z67)*(IF($H143=1,EP!Z$185,IF($H143=2,EP!Z$188,IF($H143=3,EP!Z$191,0))))</f>
        <v>32055.386480950423</v>
      </c>
      <c r="AA145" s="476">
        <f ca="1">($H142*AA67)*(IF($H143=1,EP!AA$185,IF($H143=2,EP!AA$188,IF($H143=3,EP!AA$191,0))))</f>
        <v>34750.662899001996</v>
      </c>
      <c r="AB145" s="476">
        <f ca="1">($H142*AB67)*(IF($H143=1,EP!AB$185,IF($H143=2,EP!AB$188,IF($H143=3,EP!AB$191,0))))</f>
        <v>37649.565027914825</v>
      </c>
      <c r="AC145" s="476">
        <f ca="1">($H142*AC67)*(IF($H143=1,EP!AC$185,IF($H143=2,EP!AC$188,IF($H143=3,EP!AC$191,0))))</f>
        <v>40676.287861275072</v>
      </c>
    </row>
    <row r="146" spans="1:29">
      <c r="A146" s="411"/>
      <c r="B146" s="346"/>
      <c r="I146" s="476"/>
      <c r="J146" s="476"/>
      <c r="K146" s="476"/>
      <c r="L146" s="476"/>
      <c r="M146" s="476"/>
      <c r="N146" s="476"/>
      <c r="O146" s="476"/>
      <c r="P146" s="476"/>
      <c r="Q146" s="476"/>
      <c r="R146" s="476"/>
      <c r="S146" s="476"/>
      <c r="T146" s="476"/>
      <c r="U146" s="476"/>
      <c r="V146" s="476"/>
      <c r="W146" s="476"/>
      <c r="X146" s="476"/>
      <c r="Y146" s="476"/>
      <c r="Z146" s="476"/>
      <c r="AA146" s="476"/>
      <c r="AB146" s="476"/>
      <c r="AC146" s="476"/>
    </row>
    <row r="147" spans="1:29">
      <c r="A147" s="411" t="s">
        <v>234</v>
      </c>
      <c r="B147" s="346"/>
      <c r="I147" s="343">
        <v>0</v>
      </c>
      <c r="J147" s="343">
        <v>0</v>
      </c>
      <c r="K147" s="343">
        <v>0</v>
      </c>
      <c r="L147" s="343">
        <v>0</v>
      </c>
      <c r="M147" s="343">
        <v>0</v>
      </c>
      <c r="N147" s="343">
        <v>0</v>
      </c>
      <c r="O147" s="343">
        <v>0</v>
      </c>
      <c r="P147" s="343">
        <v>0</v>
      </c>
      <c r="Q147" s="343">
        <v>0</v>
      </c>
      <c r="R147" s="343">
        <v>0</v>
      </c>
      <c r="S147" s="343">
        <v>0</v>
      </c>
      <c r="T147" s="343">
        <v>0</v>
      </c>
      <c r="U147" s="343">
        <v>0</v>
      </c>
      <c r="V147" s="343">
        <v>0</v>
      </c>
      <c r="W147" s="343">
        <v>0</v>
      </c>
      <c r="X147" s="343">
        <v>0</v>
      </c>
      <c r="Y147" s="343">
        <v>0</v>
      </c>
      <c r="Z147" s="343">
        <v>0</v>
      </c>
      <c r="AA147" s="343">
        <v>0</v>
      </c>
      <c r="AB147" s="343">
        <v>0</v>
      </c>
      <c r="AC147" s="343">
        <v>0</v>
      </c>
    </row>
    <row r="148" spans="1:29">
      <c r="A148" s="83" t="s">
        <v>235</v>
      </c>
      <c r="C148" s="5"/>
      <c r="D148" s="5"/>
      <c r="I148" s="168">
        <f t="shared" ref="I148:U148" ca="1" si="59">+I145+I137+I147</f>
        <v>0</v>
      </c>
      <c r="J148" s="168">
        <f t="shared" ca="1" si="59"/>
        <v>2521.4762149792041</v>
      </c>
      <c r="K148" s="168">
        <f t="shared" ca="1" si="59"/>
        <v>3907.0680287898454</v>
      </c>
      <c r="L148" s="168">
        <f t="shared" ca="1" si="59"/>
        <v>5583.4236712074644</v>
      </c>
      <c r="M148" s="168">
        <f t="shared" ca="1" si="59"/>
        <v>7478.8747108490952</v>
      </c>
      <c r="N148" s="168">
        <f t="shared" ca="1" si="59"/>
        <v>9272.1401762844034</v>
      </c>
      <c r="O148" s="168">
        <f t="shared" ca="1" si="59"/>
        <v>10953.129136580936</v>
      </c>
      <c r="P148" s="168">
        <f t="shared" ca="1" si="59"/>
        <v>12567.756117874314</v>
      </c>
      <c r="Q148" s="168">
        <f t="shared" ca="1" si="59"/>
        <v>14152.058937922047</v>
      </c>
      <c r="R148" s="168">
        <f t="shared" ca="1" si="59"/>
        <v>15741.513136278914</v>
      </c>
      <c r="S148" s="168">
        <f t="shared" ca="1" si="59"/>
        <v>17369.305574178044</v>
      </c>
      <c r="T148" s="168">
        <f t="shared" ca="1" si="59"/>
        <v>19056.692156403558</v>
      </c>
      <c r="U148" s="168">
        <f t="shared" ca="1" si="59"/>
        <v>20828.119385763897</v>
      </c>
      <c r="V148" s="168">
        <f t="shared" ref="V148:AC148" ca="1" si="60">+V145+V137+V147</f>
        <v>22692.482937153571</v>
      </c>
      <c r="W148" s="168">
        <f t="shared" ca="1" si="60"/>
        <v>24659.492503475623</v>
      </c>
      <c r="X148" s="168">
        <f t="shared" ca="1" si="60"/>
        <v>27022.053510444512</v>
      </c>
      <c r="Y148" s="168">
        <f t="shared" ca="1" si="60"/>
        <v>29544.113303657894</v>
      </c>
      <c r="Z148" s="168">
        <f t="shared" ca="1" si="60"/>
        <v>32055.386480950423</v>
      </c>
      <c r="AA148" s="168">
        <f t="shared" ca="1" si="60"/>
        <v>34750.662899001996</v>
      </c>
      <c r="AB148" s="168">
        <f t="shared" ca="1" si="60"/>
        <v>37649.565027914825</v>
      </c>
      <c r="AC148" s="168">
        <f t="shared" ca="1" si="60"/>
        <v>40676.287861275072</v>
      </c>
    </row>
    <row r="149" spans="1:29" ht="12" thickBot="1">
      <c r="A149" s="762"/>
      <c r="B149" s="763"/>
      <c r="C149" s="764"/>
      <c r="D149" s="764"/>
      <c r="E149" s="764"/>
      <c r="F149" s="764"/>
      <c r="G149" s="764"/>
      <c r="H149" s="764"/>
      <c r="I149" s="764"/>
      <c r="J149" s="764"/>
      <c r="K149" s="764"/>
      <c r="L149" s="764"/>
      <c r="M149" s="764"/>
      <c r="N149" s="764"/>
      <c r="O149" s="764"/>
      <c r="P149" s="764"/>
      <c r="Q149" s="764"/>
      <c r="R149" s="764"/>
      <c r="S149" s="764"/>
      <c r="T149" s="764"/>
      <c r="U149" s="764"/>
      <c r="V149" s="764"/>
      <c r="W149" s="764"/>
      <c r="X149" s="764"/>
      <c r="Y149" s="764"/>
      <c r="Z149" s="764"/>
      <c r="AA149" s="764"/>
      <c r="AB149" s="764"/>
      <c r="AC149" s="764"/>
    </row>
    <row r="150" spans="1:29" ht="12" thickTop="1">
      <c r="F150" s="339"/>
    </row>
    <row r="152" spans="1:29">
      <c r="F152" t="s">
        <v>236</v>
      </c>
      <c r="I152">
        <f ca="1">PROFILE!F100</f>
        <v>139.55526528060378</v>
      </c>
      <c r="J152">
        <f ca="1">PROFILE!G100</f>
        <v>277.71961814419114</v>
      </c>
      <c r="K152">
        <f ca="1">PROFILE!H100</f>
        <v>274.95626177253882</v>
      </c>
      <c r="L152">
        <f ca="1">PROFILE!I100</f>
        <v>272.2204012561948</v>
      </c>
      <c r="M152">
        <f ca="1">PROFILE!J100</f>
        <v>258.80782703982982</v>
      </c>
      <c r="N152">
        <f ca="1">PROFILE!K100</f>
        <v>206.33755245166429</v>
      </c>
      <c r="O152">
        <f ca="1">PROFILE!L100</f>
        <v>161.0751716759552</v>
      </c>
      <c r="P152">
        <f ca="1">PROFILE!M100</f>
        <v>125.74158519456248</v>
      </c>
      <c r="Q152">
        <f ca="1">PROFILE!N100</f>
        <v>98.15880425723995</v>
      </c>
      <c r="R152">
        <f ca="1">PROFILE!O100</f>
        <v>76.626605576050977</v>
      </c>
      <c r="S152">
        <f ca="1">PROFILE!P100</f>
        <v>59.817728287726233</v>
      </c>
      <c r="T152">
        <f ca="1">PROFILE!Q100</f>
        <v>46.696060599382328</v>
      </c>
      <c r="U152">
        <f ca="1">PROFILE!R100</f>
        <v>36.452773081130182</v>
      </c>
      <c r="V152">
        <f ca="1">PROFILE!S100</f>
        <v>28.45646181386758</v>
      </c>
      <c r="W152">
        <f ca="1">PROFILE!T100</f>
        <v>22.214228178521818</v>
      </c>
      <c r="X152">
        <f ca="1">PROFILE!U100</f>
        <v>17.341296215784318</v>
      </c>
      <c r="Y152">
        <f ca="1">PROFILE!V100</f>
        <v>13.537294747621793</v>
      </c>
      <c r="Z152">
        <f ca="1">PROFILE!W100</f>
        <v>10.567742272759519</v>
      </c>
      <c r="AA152">
        <f ca="1">PROFILE!X100</f>
        <v>8.2495933512186959</v>
      </c>
      <c r="AB152">
        <f ca="1">PROFILE!Y100</f>
        <v>6.4399555462191014</v>
      </c>
      <c r="AC152">
        <f ca="1">PROFILE!Z100</f>
        <v>5.0272814272901627</v>
      </c>
    </row>
    <row r="153" spans="1:29">
      <c r="G153" t="s">
        <v>7</v>
      </c>
      <c r="I153">
        <f t="shared" ref="I153:Y153" ca="1" si="61">I152*I38</f>
        <v>97.688685696422638</v>
      </c>
      <c r="J153">
        <f t="shared" ca="1" si="61"/>
        <v>194.4037327009338</v>
      </c>
      <c r="K153">
        <f t="shared" ca="1" si="61"/>
        <v>192.46938324077718</v>
      </c>
      <c r="L153">
        <f t="shared" ca="1" si="61"/>
        <v>190.55428087933635</v>
      </c>
      <c r="M153">
        <f t="shared" ca="1" si="61"/>
        <v>181.16547892788086</v>
      </c>
      <c r="N153">
        <f t="shared" ca="1" si="61"/>
        <v>144.436286716165</v>
      </c>
      <c r="O153">
        <f t="shared" ca="1" si="61"/>
        <v>112.75262017316864</v>
      </c>
      <c r="P153">
        <f t="shared" ca="1" si="61"/>
        <v>88.019109636193733</v>
      </c>
      <c r="Q153">
        <f t="shared" ca="1" si="61"/>
        <v>68.711162980067954</v>
      </c>
      <c r="R153">
        <f t="shared" ca="1" si="61"/>
        <v>53.638623903235683</v>
      </c>
      <c r="S153">
        <f t="shared" ca="1" si="61"/>
        <v>41.872409801408359</v>
      </c>
      <c r="T153">
        <f t="shared" ca="1" si="61"/>
        <v>32.687242419567625</v>
      </c>
      <c r="U153">
        <f t="shared" ca="1" si="61"/>
        <v>25.516941156791127</v>
      </c>
      <c r="V153">
        <f t="shared" ca="1" si="61"/>
        <v>19.919523269707305</v>
      </c>
      <c r="W153">
        <f t="shared" ca="1" si="61"/>
        <v>15.549959724965271</v>
      </c>
      <c r="X153">
        <f t="shared" ca="1" si="61"/>
        <v>12.138907351049022</v>
      </c>
      <c r="Y153">
        <f t="shared" ca="1" si="61"/>
        <v>9.4761063233352552</v>
      </c>
      <c r="Z153">
        <f ca="1">Z152*Z38</f>
        <v>7.3974195909316629</v>
      </c>
      <c r="AA153">
        <f ca="1">AA152*AA38</f>
        <v>5.7747153458530871</v>
      </c>
      <c r="AB153">
        <f ca="1">AB152*AB38</f>
        <v>4.5079688823533708</v>
      </c>
      <c r="AC153">
        <f ca="1">AC152*AC38</f>
        <v>3.5190969991031138</v>
      </c>
    </row>
    <row r="154" spans="1:29">
      <c r="G154" t="s">
        <v>4</v>
      </c>
      <c r="I154">
        <f t="shared" ref="I154:Y154" ca="1" si="62">I152*I39*6</f>
        <v>251.19947750508683</v>
      </c>
      <c r="J154">
        <f t="shared" ca="1" si="62"/>
        <v>499.89531265954417</v>
      </c>
      <c r="K154">
        <f t="shared" ca="1" si="62"/>
        <v>494.92127119057</v>
      </c>
      <c r="L154">
        <f t="shared" ca="1" si="62"/>
        <v>489.99672226115075</v>
      </c>
      <c r="M154">
        <f t="shared" ca="1" si="62"/>
        <v>465.85408867169377</v>
      </c>
      <c r="N154">
        <f t="shared" ca="1" si="62"/>
        <v>371.40759441299576</v>
      </c>
      <c r="O154">
        <f t="shared" ca="1" si="62"/>
        <v>289.93530901671943</v>
      </c>
      <c r="P154">
        <f t="shared" ca="1" si="62"/>
        <v>226.33485335021248</v>
      </c>
      <c r="Q154">
        <f t="shared" ca="1" si="62"/>
        <v>176.68584766303195</v>
      </c>
      <c r="R154">
        <f t="shared" ca="1" si="62"/>
        <v>137.9278900368918</v>
      </c>
      <c r="S154">
        <f t="shared" ca="1" si="62"/>
        <v>107.67191091790724</v>
      </c>
      <c r="T154">
        <f t="shared" ca="1" si="62"/>
        <v>84.052909078888206</v>
      </c>
      <c r="U154">
        <f t="shared" ca="1" si="62"/>
        <v>65.614991546034346</v>
      </c>
      <c r="V154">
        <f t="shared" ca="1" si="62"/>
        <v>51.221631264961651</v>
      </c>
      <c r="W154">
        <f t="shared" ca="1" si="62"/>
        <v>39.985610721339285</v>
      </c>
      <c r="X154">
        <f t="shared" ca="1" si="62"/>
        <v>31.214333188411775</v>
      </c>
      <c r="Y154">
        <f t="shared" ca="1" si="62"/>
        <v>24.367130545719235</v>
      </c>
      <c r="Z154">
        <f ca="1">Z152*Z39*6</f>
        <v>19.021936090967138</v>
      </c>
      <c r="AA154">
        <f ca="1">AA152*AA39*6</f>
        <v>14.849268032193656</v>
      </c>
      <c r="AB154">
        <f ca="1">AB152*AB39*6</f>
        <v>11.591919983194384</v>
      </c>
      <c r="AC154">
        <f ca="1">AC152*AC39*6</f>
        <v>9.0491065691222943</v>
      </c>
    </row>
    <row r="155" spans="1:29">
      <c r="F155" t="s">
        <v>237</v>
      </c>
      <c r="J155">
        <f ca="1">PROFILE!G101</f>
        <v>139.55526528060378</v>
      </c>
      <c r="K155">
        <f ca="1">PROFILE!H101</f>
        <v>277.71961814419114</v>
      </c>
      <c r="L155">
        <f ca="1">PROFILE!I101</f>
        <v>274.95626177253882</v>
      </c>
      <c r="M155">
        <f ca="1">PROFILE!J101</f>
        <v>272.2204012561948</v>
      </c>
      <c r="N155">
        <f ca="1">PROFILE!K101</f>
        <v>258.80782703982982</v>
      </c>
      <c r="O155">
        <f ca="1">PROFILE!L101</f>
        <v>206.33755245166429</v>
      </c>
      <c r="P155">
        <f ca="1">PROFILE!M101</f>
        <v>161.0751716759552</v>
      </c>
      <c r="Q155">
        <f ca="1">PROFILE!N101</f>
        <v>125.74158519456248</v>
      </c>
      <c r="R155">
        <f ca="1">PROFILE!O101</f>
        <v>98.15880425723995</v>
      </c>
      <c r="S155">
        <f ca="1">PROFILE!P101</f>
        <v>76.626605576050977</v>
      </c>
      <c r="T155">
        <f ca="1">PROFILE!Q101</f>
        <v>59.817728287726233</v>
      </c>
      <c r="U155">
        <f ca="1">PROFILE!R101</f>
        <v>46.696060599382328</v>
      </c>
      <c r="V155">
        <f ca="1">PROFILE!S101</f>
        <v>36.452773081130182</v>
      </c>
      <c r="W155">
        <f ca="1">PROFILE!T101</f>
        <v>28.45646181386758</v>
      </c>
      <c r="X155">
        <f ca="1">PROFILE!U101</f>
        <v>22.214228178521818</v>
      </c>
      <c r="Y155">
        <f ca="1">PROFILE!V101</f>
        <v>17.341296215784318</v>
      </c>
      <c r="Z155">
        <f ca="1">PROFILE!W101</f>
        <v>13.537294747621793</v>
      </c>
      <c r="AA155">
        <f ca="1">PROFILE!X101</f>
        <v>10.567742272759519</v>
      </c>
      <c r="AB155">
        <f ca="1">PROFILE!Y101</f>
        <v>8.2495933512186959</v>
      </c>
      <c r="AC155">
        <f ca="1">PROFILE!Z101</f>
        <v>6.4399555462191014</v>
      </c>
    </row>
    <row r="156" spans="1:29">
      <c r="G156" t="s">
        <v>7</v>
      </c>
      <c r="J156">
        <f t="shared" ref="J156:Z156" ca="1" si="63">J155*J38</f>
        <v>97.688685696422638</v>
      </c>
      <c r="K156">
        <f t="shared" ca="1" si="63"/>
        <v>194.4037327009338</v>
      </c>
      <c r="L156">
        <f t="shared" ca="1" si="63"/>
        <v>192.46938324077718</v>
      </c>
      <c r="M156">
        <f t="shared" ca="1" si="63"/>
        <v>190.55428087933635</v>
      </c>
      <c r="N156">
        <f t="shared" ca="1" si="63"/>
        <v>181.16547892788086</v>
      </c>
      <c r="O156">
        <f t="shared" ca="1" si="63"/>
        <v>144.436286716165</v>
      </c>
      <c r="P156">
        <f t="shared" ca="1" si="63"/>
        <v>112.75262017316864</v>
      </c>
      <c r="Q156">
        <f t="shared" ca="1" si="63"/>
        <v>88.019109636193733</v>
      </c>
      <c r="R156">
        <f t="shared" ca="1" si="63"/>
        <v>68.711162980067954</v>
      </c>
      <c r="S156">
        <f t="shared" ca="1" si="63"/>
        <v>53.638623903235683</v>
      </c>
      <c r="T156">
        <f t="shared" ca="1" si="63"/>
        <v>41.872409801408359</v>
      </c>
      <c r="U156">
        <f t="shared" ca="1" si="63"/>
        <v>32.687242419567625</v>
      </c>
      <c r="V156">
        <f t="shared" ca="1" si="63"/>
        <v>25.516941156791127</v>
      </c>
      <c r="W156">
        <f t="shared" ca="1" si="63"/>
        <v>19.919523269707305</v>
      </c>
      <c r="X156">
        <f t="shared" ca="1" si="63"/>
        <v>15.549959724965271</v>
      </c>
      <c r="Y156">
        <f t="shared" ca="1" si="63"/>
        <v>12.138907351049022</v>
      </c>
      <c r="Z156">
        <f t="shared" ca="1" si="63"/>
        <v>9.4761063233352552</v>
      </c>
      <c r="AA156">
        <f ca="1">AA155*AA38</f>
        <v>7.3974195909316629</v>
      </c>
      <c r="AB156">
        <f ca="1">AB155*AB38</f>
        <v>5.7747153458530871</v>
      </c>
      <c r="AC156">
        <f ca="1">AC155*AC38</f>
        <v>4.5079688823533708</v>
      </c>
    </row>
    <row r="157" spans="1:29">
      <c r="G157" t="s">
        <v>4</v>
      </c>
      <c r="J157">
        <f t="shared" ref="J157:Z157" ca="1" si="64">J155*J39*6</f>
        <v>251.19947750508683</v>
      </c>
      <c r="K157">
        <f t="shared" ca="1" si="64"/>
        <v>499.89531265954417</v>
      </c>
      <c r="L157">
        <f t="shared" ca="1" si="64"/>
        <v>494.92127119057</v>
      </c>
      <c r="M157">
        <f t="shared" ca="1" si="64"/>
        <v>489.99672226115075</v>
      </c>
      <c r="N157">
        <f t="shared" ca="1" si="64"/>
        <v>465.85408867169377</v>
      </c>
      <c r="O157">
        <f t="shared" ca="1" si="64"/>
        <v>371.40759441299576</v>
      </c>
      <c r="P157">
        <f t="shared" ca="1" si="64"/>
        <v>289.93530901671943</v>
      </c>
      <c r="Q157">
        <f t="shared" ca="1" si="64"/>
        <v>226.33485335021248</v>
      </c>
      <c r="R157">
        <f t="shared" ca="1" si="64"/>
        <v>176.68584766303195</v>
      </c>
      <c r="S157">
        <f t="shared" ca="1" si="64"/>
        <v>137.9278900368918</v>
      </c>
      <c r="T157">
        <f t="shared" ca="1" si="64"/>
        <v>107.67191091790724</v>
      </c>
      <c r="U157">
        <f t="shared" ca="1" si="64"/>
        <v>84.052909078888206</v>
      </c>
      <c r="V157">
        <f t="shared" ca="1" si="64"/>
        <v>65.614991546034346</v>
      </c>
      <c r="W157">
        <f t="shared" ca="1" si="64"/>
        <v>51.221631264961651</v>
      </c>
      <c r="X157">
        <f t="shared" ca="1" si="64"/>
        <v>39.985610721339285</v>
      </c>
      <c r="Y157">
        <f t="shared" ca="1" si="64"/>
        <v>31.214333188411775</v>
      </c>
      <c r="Z157">
        <f t="shared" ca="1" si="64"/>
        <v>24.367130545719235</v>
      </c>
      <c r="AA157">
        <f ca="1">AA155*AA39*6</f>
        <v>19.021936090967138</v>
      </c>
      <c r="AB157">
        <f ca="1">AB155*AB39*6</f>
        <v>14.849268032193656</v>
      </c>
      <c r="AC157">
        <f ca="1">AC155*AC39*6</f>
        <v>11.591919983194384</v>
      </c>
    </row>
    <row r="158" spans="1:29">
      <c r="F158" t="s">
        <v>238</v>
      </c>
      <c r="K158">
        <f ca="1">PROFILE!H102</f>
        <v>139.55526528060378</v>
      </c>
      <c r="L158">
        <f ca="1">PROFILE!I102</f>
        <v>277.71961814419114</v>
      </c>
      <c r="M158">
        <f ca="1">PROFILE!J102</f>
        <v>274.95626177253882</v>
      </c>
      <c r="N158">
        <f ca="1">PROFILE!K102</f>
        <v>272.2204012561948</v>
      </c>
      <c r="O158">
        <f ca="1">PROFILE!L102</f>
        <v>258.80782703982982</v>
      </c>
      <c r="P158">
        <f ca="1">PROFILE!M102</f>
        <v>206.33755245166429</v>
      </c>
      <c r="Q158">
        <f ca="1">PROFILE!N102</f>
        <v>161.0751716759552</v>
      </c>
      <c r="R158">
        <f ca="1">PROFILE!O102</f>
        <v>125.74158519456248</v>
      </c>
      <c r="S158">
        <f ca="1">PROFILE!P102</f>
        <v>98.15880425723995</v>
      </c>
      <c r="T158">
        <f ca="1">PROFILE!Q102</f>
        <v>76.626605576050977</v>
      </c>
      <c r="U158">
        <f ca="1">PROFILE!R102</f>
        <v>59.817728287726233</v>
      </c>
      <c r="V158">
        <f ca="1">PROFILE!S102</f>
        <v>46.696060599382328</v>
      </c>
      <c r="W158">
        <f ca="1">PROFILE!T102</f>
        <v>36.452773081130182</v>
      </c>
      <c r="X158">
        <f ca="1">PROFILE!U102</f>
        <v>28.45646181386758</v>
      </c>
      <c r="Y158">
        <f ca="1">PROFILE!V102</f>
        <v>22.214228178521818</v>
      </c>
      <c r="Z158">
        <f ca="1">PROFILE!W102</f>
        <v>17.341296215784318</v>
      </c>
      <c r="AA158">
        <f ca="1">PROFILE!X102</f>
        <v>13.537294747621793</v>
      </c>
      <c r="AB158">
        <f ca="1">PROFILE!Y102</f>
        <v>10.567742272759519</v>
      </c>
      <c r="AC158">
        <f ca="1">PROFILE!Z102</f>
        <v>8.2495933512186959</v>
      </c>
    </row>
    <row r="159" spans="1:29">
      <c r="G159" t="s">
        <v>7</v>
      </c>
      <c r="K159">
        <f t="shared" ref="K159:AA159" ca="1" si="65">K158*K38</f>
        <v>97.688685696422638</v>
      </c>
      <c r="L159">
        <f t="shared" ca="1" si="65"/>
        <v>194.4037327009338</v>
      </c>
      <c r="M159">
        <f t="shared" ca="1" si="65"/>
        <v>192.46938324077718</v>
      </c>
      <c r="N159">
        <f t="shared" ca="1" si="65"/>
        <v>190.55428087933635</v>
      </c>
      <c r="O159">
        <f t="shared" ca="1" si="65"/>
        <v>181.16547892788086</v>
      </c>
      <c r="P159">
        <f t="shared" ca="1" si="65"/>
        <v>144.436286716165</v>
      </c>
      <c r="Q159">
        <f t="shared" ca="1" si="65"/>
        <v>112.75262017316864</v>
      </c>
      <c r="R159">
        <f t="shared" ca="1" si="65"/>
        <v>88.019109636193733</v>
      </c>
      <c r="S159">
        <f t="shared" ca="1" si="65"/>
        <v>68.711162980067954</v>
      </c>
      <c r="T159">
        <f t="shared" ca="1" si="65"/>
        <v>53.638623903235683</v>
      </c>
      <c r="U159">
        <f t="shared" ca="1" si="65"/>
        <v>41.872409801408359</v>
      </c>
      <c r="V159">
        <f t="shared" ca="1" si="65"/>
        <v>32.687242419567625</v>
      </c>
      <c r="W159">
        <f t="shared" ca="1" si="65"/>
        <v>25.516941156791127</v>
      </c>
      <c r="X159">
        <f t="shared" ca="1" si="65"/>
        <v>19.919523269707305</v>
      </c>
      <c r="Y159">
        <f t="shared" ca="1" si="65"/>
        <v>15.549959724965271</v>
      </c>
      <c r="Z159">
        <f t="shared" ca="1" si="65"/>
        <v>12.138907351049022</v>
      </c>
      <c r="AA159">
        <f t="shared" ca="1" si="65"/>
        <v>9.4761063233352552</v>
      </c>
      <c r="AB159">
        <f ca="1">AB158*AB38</f>
        <v>7.3974195909316629</v>
      </c>
      <c r="AC159">
        <f ca="1">AC158*AC38</f>
        <v>5.7747153458530871</v>
      </c>
    </row>
    <row r="160" spans="1:29">
      <c r="G160" t="s">
        <v>4</v>
      </c>
      <c r="K160">
        <f t="shared" ref="K160:AA160" ca="1" si="66">K158*K39*6</f>
        <v>251.19947750508683</v>
      </c>
      <c r="L160">
        <f t="shared" ca="1" si="66"/>
        <v>499.89531265954417</v>
      </c>
      <c r="M160">
        <f t="shared" ca="1" si="66"/>
        <v>494.92127119057</v>
      </c>
      <c r="N160">
        <f t="shared" ca="1" si="66"/>
        <v>489.99672226115075</v>
      </c>
      <c r="O160">
        <f t="shared" ca="1" si="66"/>
        <v>465.85408867169377</v>
      </c>
      <c r="P160">
        <f t="shared" ca="1" si="66"/>
        <v>371.40759441299576</v>
      </c>
      <c r="Q160">
        <f t="shared" ca="1" si="66"/>
        <v>289.93530901671943</v>
      </c>
      <c r="R160">
        <f t="shared" ca="1" si="66"/>
        <v>226.33485335021248</v>
      </c>
      <c r="S160">
        <f t="shared" ca="1" si="66"/>
        <v>176.68584766303195</v>
      </c>
      <c r="T160">
        <f t="shared" ca="1" si="66"/>
        <v>137.9278900368918</v>
      </c>
      <c r="U160">
        <f t="shared" ca="1" si="66"/>
        <v>107.67191091790724</v>
      </c>
      <c r="V160">
        <f t="shared" ca="1" si="66"/>
        <v>84.052909078888206</v>
      </c>
      <c r="W160">
        <f t="shared" ca="1" si="66"/>
        <v>65.614991546034346</v>
      </c>
      <c r="X160">
        <f t="shared" ca="1" si="66"/>
        <v>51.221631264961651</v>
      </c>
      <c r="Y160">
        <f t="shared" ca="1" si="66"/>
        <v>39.985610721339285</v>
      </c>
      <c r="Z160">
        <f t="shared" ca="1" si="66"/>
        <v>31.214333188411775</v>
      </c>
      <c r="AA160">
        <f t="shared" ca="1" si="66"/>
        <v>24.367130545719235</v>
      </c>
      <c r="AB160">
        <f ca="1">AB158*AB39*6</f>
        <v>19.021936090967138</v>
      </c>
      <c r="AC160">
        <f ca="1">AC158*AC39*6</f>
        <v>14.849268032193656</v>
      </c>
    </row>
    <row r="161" spans="6:29">
      <c r="F161" t="s">
        <v>239</v>
      </c>
      <c r="L161">
        <f ca="1">PROFILE!I103</f>
        <v>139.55526528060378</v>
      </c>
      <c r="M161">
        <f ca="1">PROFILE!J103</f>
        <v>277.71961814419114</v>
      </c>
      <c r="N161">
        <f ca="1">PROFILE!K103</f>
        <v>274.95626177253882</v>
      </c>
      <c r="O161">
        <f ca="1">PROFILE!L103</f>
        <v>272.2204012561948</v>
      </c>
      <c r="P161">
        <f ca="1">PROFILE!M103</f>
        <v>258.80782703982982</v>
      </c>
      <c r="Q161">
        <f ca="1">PROFILE!N103</f>
        <v>206.33755245166429</v>
      </c>
      <c r="R161">
        <f ca="1">PROFILE!O103</f>
        <v>161.0751716759552</v>
      </c>
      <c r="S161">
        <f ca="1">PROFILE!P103</f>
        <v>125.74158519456248</v>
      </c>
      <c r="T161">
        <f ca="1">PROFILE!Q103</f>
        <v>98.15880425723995</v>
      </c>
      <c r="U161">
        <f ca="1">PROFILE!R103</f>
        <v>76.626605576050977</v>
      </c>
      <c r="V161">
        <f ca="1">PROFILE!S103</f>
        <v>59.817728287726233</v>
      </c>
      <c r="W161">
        <f ca="1">PROFILE!T103</f>
        <v>46.696060599382328</v>
      </c>
      <c r="X161">
        <f ca="1">PROFILE!U103</f>
        <v>36.452773081130182</v>
      </c>
      <c r="Y161">
        <f ca="1">PROFILE!V103</f>
        <v>28.45646181386758</v>
      </c>
      <c r="Z161">
        <f ca="1">PROFILE!W103</f>
        <v>22.214228178521818</v>
      </c>
      <c r="AA161">
        <f ca="1">PROFILE!X103</f>
        <v>17.341296215784318</v>
      </c>
      <c r="AB161">
        <f ca="1">PROFILE!Y103</f>
        <v>13.537294747621793</v>
      </c>
      <c r="AC161">
        <f ca="1">PROFILE!Z103</f>
        <v>10.567742272759519</v>
      </c>
    </row>
    <row r="162" spans="6:29">
      <c r="G162" t="s">
        <v>7</v>
      </c>
      <c r="L162">
        <f t="shared" ref="L162:AB162" ca="1" si="67">L161*L38</f>
        <v>97.688685696422638</v>
      </c>
      <c r="M162">
        <f t="shared" ca="1" si="67"/>
        <v>194.4037327009338</v>
      </c>
      <c r="N162">
        <f t="shared" ca="1" si="67"/>
        <v>192.46938324077718</v>
      </c>
      <c r="O162">
        <f t="shared" ca="1" si="67"/>
        <v>190.55428087933635</v>
      </c>
      <c r="P162">
        <f t="shared" ca="1" si="67"/>
        <v>181.16547892788086</v>
      </c>
      <c r="Q162">
        <f t="shared" ca="1" si="67"/>
        <v>144.436286716165</v>
      </c>
      <c r="R162">
        <f t="shared" ca="1" si="67"/>
        <v>112.75262017316864</v>
      </c>
      <c r="S162">
        <f t="shared" ca="1" si="67"/>
        <v>88.019109636193733</v>
      </c>
      <c r="T162">
        <f t="shared" ca="1" si="67"/>
        <v>68.711162980067954</v>
      </c>
      <c r="U162">
        <f t="shared" ca="1" si="67"/>
        <v>53.638623903235683</v>
      </c>
      <c r="V162">
        <f t="shared" ca="1" si="67"/>
        <v>41.872409801408359</v>
      </c>
      <c r="W162">
        <f t="shared" ca="1" si="67"/>
        <v>32.687242419567625</v>
      </c>
      <c r="X162">
        <f t="shared" ca="1" si="67"/>
        <v>25.516941156791127</v>
      </c>
      <c r="Y162">
        <f t="shared" ca="1" si="67"/>
        <v>19.919523269707305</v>
      </c>
      <c r="Z162">
        <f t="shared" ca="1" si="67"/>
        <v>15.549959724965271</v>
      </c>
      <c r="AA162">
        <f t="shared" ca="1" si="67"/>
        <v>12.138907351049022</v>
      </c>
      <c r="AB162">
        <f t="shared" ca="1" si="67"/>
        <v>9.4761063233352552</v>
      </c>
      <c r="AC162">
        <f ca="1">AC161*AC38</f>
        <v>7.3974195909316629</v>
      </c>
    </row>
    <row r="163" spans="6:29">
      <c r="G163" t="s">
        <v>4</v>
      </c>
      <c r="L163">
        <f t="shared" ref="L163:AB163" ca="1" si="68">L161*L39*6</f>
        <v>251.19947750508683</v>
      </c>
      <c r="M163">
        <f t="shared" ca="1" si="68"/>
        <v>499.89531265954417</v>
      </c>
      <c r="N163">
        <f t="shared" ca="1" si="68"/>
        <v>494.92127119057</v>
      </c>
      <c r="O163">
        <f t="shared" ca="1" si="68"/>
        <v>489.99672226115075</v>
      </c>
      <c r="P163">
        <f t="shared" ca="1" si="68"/>
        <v>465.85408867169377</v>
      </c>
      <c r="Q163">
        <f t="shared" ca="1" si="68"/>
        <v>371.40759441299576</v>
      </c>
      <c r="R163">
        <f t="shared" ca="1" si="68"/>
        <v>289.93530901671943</v>
      </c>
      <c r="S163">
        <f t="shared" ca="1" si="68"/>
        <v>226.33485335021248</v>
      </c>
      <c r="T163">
        <f t="shared" ca="1" si="68"/>
        <v>176.68584766303195</v>
      </c>
      <c r="U163">
        <f t="shared" ca="1" si="68"/>
        <v>137.9278900368918</v>
      </c>
      <c r="V163">
        <f t="shared" ca="1" si="68"/>
        <v>107.67191091790724</v>
      </c>
      <c r="W163">
        <f t="shared" ca="1" si="68"/>
        <v>84.052909078888206</v>
      </c>
      <c r="X163">
        <f t="shared" ca="1" si="68"/>
        <v>65.614991546034346</v>
      </c>
      <c r="Y163">
        <f t="shared" ca="1" si="68"/>
        <v>51.221631264961651</v>
      </c>
      <c r="Z163">
        <f t="shared" ca="1" si="68"/>
        <v>39.985610721339285</v>
      </c>
      <c r="AA163">
        <f t="shared" ca="1" si="68"/>
        <v>31.214333188411775</v>
      </c>
      <c r="AB163">
        <f t="shared" ca="1" si="68"/>
        <v>24.367130545719235</v>
      </c>
      <c r="AC163">
        <f ca="1">AC161*AC39*6</f>
        <v>19.021936090967138</v>
      </c>
    </row>
    <row r="164" spans="6:29">
      <c r="F164" t="s">
        <v>240</v>
      </c>
      <c r="M164">
        <f ca="1">PROFILE!J104</f>
        <v>139.55526528060378</v>
      </c>
      <c r="N164">
        <f ca="1">PROFILE!K104</f>
        <v>277.71961814419114</v>
      </c>
      <c r="O164">
        <f ca="1">PROFILE!L104</f>
        <v>274.95626177253882</v>
      </c>
      <c r="P164">
        <f ca="1">PROFILE!M104</f>
        <v>272.2204012561948</v>
      </c>
      <c r="Q164">
        <f ca="1">PROFILE!N104</f>
        <v>258.80782703983004</v>
      </c>
      <c r="R164">
        <f ca="1">PROFILE!O104</f>
        <v>206.33755245166427</v>
      </c>
      <c r="S164">
        <f ca="1">PROFILE!P104</f>
        <v>161.07517167595518</v>
      </c>
      <c r="T164">
        <f ca="1">PROFILE!Q104</f>
        <v>125.74158519456245</v>
      </c>
      <c r="U164">
        <f ca="1">PROFILE!R104</f>
        <v>98.158804257239922</v>
      </c>
      <c r="V164">
        <f ca="1">PROFILE!S104</f>
        <v>76.626605576050963</v>
      </c>
      <c r="W164">
        <f ca="1">PROFILE!T104</f>
        <v>59.817728287726219</v>
      </c>
      <c r="X164">
        <f ca="1">PROFILE!U104</f>
        <v>46.696060599382328</v>
      </c>
      <c r="Y164">
        <f ca="1">PROFILE!V104</f>
        <v>36.452773081130182</v>
      </c>
      <c r="Z164">
        <f ca="1">PROFILE!W104</f>
        <v>28.45646181386758</v>
      </c>
      <c r="AA164">
        <f ca="1">PROFILE!X104</f>
        <v>22.214228178521818</v>
      </c>
      <c r="AB164">
        <f ca="1">PROFILE!Y104</f>
        <v>17.341296215784318</v>
      </c>
      <c r="AC164">
        <f ca="1">PROFILE!Z104</f>
        <v>13.537294747621793</v>
      </c>
    </row>
    <row r="165" spans="6:29">
      <c r="G165" t="s">
        <v>7</v>
      </c>
      <c r="M165">
        <f t="shared" ref="M165:AC165" ca="1" si="69">M164*M38</f>
        <v>97.688685696422638</v>
      </c>
      <c r="N165">
        <f t="shared" ca="1" si="69"/>
        <v>194.4037327009338</v>
      </c>
      <c r="O165">
        <f t="shared" ca="1" si="69"/>
        <v>192.46938324077718</v>
      </c>
      <c r="P165">
        <f t="shared" ca="1" si="69"/>
        <v>190.55428087933635</v>
      </c>
      <c r="Q165">
        <f t="shared" ca="1" si="69"/>
        <v>181.16547892788103</v>
      </c>
      <c r="R165">
        <f t="shared" ca="1" si="69"/>
        <v>144.43628671616497</v>
      </c>
      <c r="S165">
        <f t="shared" ca="1" si="69"/>
        <v>112.75262017316861</v>
      </c>
      <c r="T165">
        <f t="shared" ca="1" si="69"/>
        <v>88.019109636193704</v>
      </c>
      <c r="U165">
        <f t="shared" ca="1" si="69"/>
        <v>68.71116298006794</v>
      </c>
      <c r="V165">
        <f t="shared" ca="1" si="69"/>
        <v>53.638623903235668</v>
      </c>
      <c r="W165">
        <f t="shared" ca="1" si="69"/>
        <v>41.872409801408352</v>
      </c>
      <c r="X165">
        <f t="shared" ca="1" si="69"/>
        <v>32.687242419567625</v>
      </c>
      <c r="Y165">
        <f t="shared" ca="1" si="69"/>
        <v>25.516941156791127</v>
      </c>
      <c r="Z165">
        <f t="shared" ca="1" si="69"/>
        <v>19.919523269707305</v>
      </c>
      <c r="AA165">
        <f t="shared" ca="1" si="69"/>
        <v>15.549959724965271</v>
      </c>
      <c r="AB165">
        <f t="shared" ca="1" si="69"/>
        <v>12.138907351049022</v>
      </c>
      <c r="AC165">
        <f t="shared" ca="1" si="69"/>
        <v>9.4761063233352552</v>
      </c>
    </row>
    <row r="166" spans="6:29">
      <c r="G166" t="s">
        <v>4</v>
      </c>
      <c r="M166">
        <f t="shared" ref="M166:AC166" ca="1" si="70">M164*M39*6</f>
        <v>251.19947750508683</v>
      </c>
      <c r="N166">
        <f t="shared" ca="1" si="70"/>
        <v>499.89531265954417</v>
      </c>
      <c r="O166">
        <f t="shared" ca="1" si="70"/>
        <v>494.92127119057</v>
      </c>
      <c r="P166">
        <f t="shared" ca="1" si="70"/>
        <v>489.99672226115075</v>
      </c>
      <c r="Q166">
        <f t="shared" ca="1" si="70"/>
        <v>465.85408867169411</v>
      </c>
      <c r="R166">
        <f t="shared" ca="1" si="70"/>
        <v>371.40759441299571</v>
      </c>
      <c r="S166">
        <f t="shared" ca="1" si="70"/>
        <v>289.93530901671937</v>
      </c>
      <c r="T166">
        <f t="shared" ca="1" si="70"/>
        <v>226.33485335021246</v>
      </c>
      <c r="U166">
        <f t="shared" ca="1" si="70"/>
        <v>176.68584766303189</v>
      </c>
      <c r="V166">
        <f t="shared" ca="1" si="70"/>
        <v>137.92789003689174</v>
      </c>
      <c r="W166">
        <f t="shared" ca="1" si="70"/>
        <v>107.67191091790721</v>
      </c>
      <c r="X166">
        <f t="shared" ca="1" si="70"/>
        <v>84.052909078888206</v>
      </c>
      <c r="Y166">
        <f t="shared" ca="1" si="70"/>
        <v>65.614991546034346</v>
      </c>
      <c r="Z166">
        <f t="shared" ca="1" si="70"/>
        <v>51.221631264961651</v>
      </c>
      <c r="AA166">
        <f t="shared" ca="1" si="70"/>
        <v>39.985610721339285</v>
      </c>
      <c r="AB166">
        <f t="shared" ca="1" si="70"/>
        <v>31.214333188411775</v>
      </c>
      <c r="AC166">
        <f t="shared" ca="1" si="70"/>
        <v>24.367130545719235</v>
      </c>
    </row>
    <row r="167" spans="6:29">
      <c r="F167" t="s">
        <v>241</v>
      </c>
      <c r="N167">
        <f ca="1">PROFILE!K105</f>
        <v>139.55526528060378</v>
      </c>
      <c r="O167">
        <f ca="1">PROFILE!L105</f>
        <v>277.71961814419114</v>
      </c>
      <c r="P167">
        <f ca="1">PROFILE!M105</f>
        <v>274.95626177253882</v>
      </c>
      <c r="Q167">
        <f ca="1">PROFILE!N105</f>
        <v>272.2204012561948</v>
      </c>
      <c r="R167">
        <f ca="1">PROFILE!O105</f>
        <v>258.80782703983004</v>
      </c>
      <c r="S167">
        <f ca="1">PROFILE!P105</f>
        <v>206.33755245166427</v>
      </c>
      <c r="T167">
        <f ca="1">PROFILE!Q105</f>
        <v>161.07517167595518</v>
      </c>
      <c r="U167">
        <f ca="1">PROFILE!R105</f>
        <v>125.74158519456245</v>
      </c>
      <c r="V167">
        <f ca="1">PROFILE!S105</f>
        <v>98.158804257239922</v>
      </c>
      <c r="W167">
        <f ca="1">PROFILE!T105</f>
        <v>76.626605576050963</v>
      </c>
      <c r="X167">
        <f ca="1">PROFILE!U105</f>
        <v>59.817728287726219</v>
      </c>
      <c r="Y167">
        <f ca="1">PROFILE!V105</f>
        <v>46.696060599382328</v>
      </c>
      <c r="Z167">
        <f ca="1">PROFILE!W105</f>
        <v>36.452773081130182</v>
      </c>
      <c r="AA167">
        <f ca="1">PROFILE!X105</f>
        <v>28.45646181386758</v>
      </c>
      <c r="AB167">
        <f ca="1">PROFILE!Y105</f>
        <v>22.214228178521818</v>
      </c>
      <c r="AC167">
        <f ca="1">PROFILE!Z105</f>
        <v>17.341296215784318</v>
      </c>
    </row>
    <row r="168" spans="6:29">
      <c r="G168" t="s">
        <v>7</v>
      </c>
      <c r="N168">
        <f t="shared" ref="N168:AC168" ca="1" si="71">N167*N38</f>
        <v>97.688685696422638</v>
      </c>
      <c r="O168">
        <f t="shared" ca="1" si="71"/>
        <v>194.4037327009338</v>
      </c>
      <c r="P168">
        <f t="shared" ca="1" si="71"/>
        <v>192.46938324077718</v>
      </c>
      <c r="Q168">
        <f t="shared" ca="1" si="71"/>
        <v>190.55428087933635</v>
      </c>
      <c r="R168">
        <f t="shared" ca="1" si="71"/>
        <v>181.16547892788103</v>
      </c>
      <c r="S168">
        <f t="shared" ca="1" si="71"/>
        <v>144.43628671616497</v>
      </c>
      <c r="T168">
        <f t="shared" ca="1" si="71"/>
        <v>112.75262017316861</v>
      </c>
      <c r="U168">
        <f t="shared" ca="1" si="71"/>
        <v>88.019109636193704</v>
      </c>
      <c r="V168">
        <f t="shared" ca="1" si="71"/>
        <v>68.71116298006794</v>
      </c>
      <c r="W168">
        <f t="shared" ca="1" si="71"/>
        <v>53.638623903235668</v>
      </c>
      <c r="X168">
        <f t="shared" ca="1" si="71"/>
        <v>41.872409801408352</v>
      </c>
      <c r="Y168">
        <f t="shared" ca="1" si="71"/>
        <v>32.687242419567625</v>
      </c>
      <c r="Z168">
        <f t="shared" ca="1" si="71"/>
        <v>25.516941156791127</v>
      </c>
      <c r="AA168">
        <f t="shared" ca="1" si="71"/>
        <v>19.919523269707305</v>
      </c>
      <c r="AB168">
        <f t="shared" ca="1" si="71"/>
        <v>15.549959724965271</v>
      </c>
      <c r="AC168">
        <f t="shared" ca="1" si="71"/>
        <v>12.138907351049022</v>
      </c>
    </row>
    <row r="169" spans="6:29">
      <c r="G169" t="s">
        <v>4</v>
      </c>
      <c r="N169">
        <f t="shared" ref="N169:AC169" ca="1" si="72">N167*N39*6</f>
        <v>251.19947750508683</v>
      </c>
      <c r="O169">
        <f t="shared" ca="1" si="72"/>
        <v>499.89531265954417</v>
      </c>
      <c r="P169">
        <f t="shared" ca="1" si="72"/>
        <v>494.92127119057</v>
      </c>
      <c r="Q169">
        <f t="shared" ca="1" si="72"/>
        <v>489.99672226115075</v>
      </c>
      <c r="R169">
        <f t="shared" ca="1" si="72"/>
        <v>465.85408867169411</v>
      </c>
      <c r="S169">
        <f t="shared" ca="1" si="72"/>
        <v>371.40759441299571</v>
      </c>
      <c r="T169">
        <f t="shared" ca="1" si="72"/>
        <v>289.93530901671937</v>
      </c>
      <c r="U169">
        <f t="shared" ca="1" si="72"/>
        <v>226.33485335021246</v>
      </c>
      <c r="V169">
        <f t="shared" ca="1" si="72"/>
        <v>176.68584766303189</v>
      </c>
      <c r="W169">
        <f t="shared" ca="1" si="72"/>
        <v>137.92789003689174</v>
      </c>
      <c r="X169">
        <f t="shared" ca="1" si="72"/>
        <v>107.67191091790721</v>
      </c>
      <c r="Y169">
        <f t="shared" ca="1" si="72"/>
        <v>84.052909078888206</v>
      </c>
      <c r="Z169">
        <f t="shared" ca="1" si="72"/>
        <v>65.614991546034346</v>
      </c>
      <c r="AA169">
        <f t="shared" ca="1" si="72"/>
        <v>51.221631264961651</v>
      </c>
      <c r="AB169">
        <f t="shared" ca="1" si="72"/>
        <v>39.985610721339285</v>
      </c>
      <c r="AC169">
        <f t="shared" ca="1" si="72"/>
        <v>31.214333188411775</v>
      </c>
    </row>
    <row r="170" spans="6:29">
      <c r="F170" t="s">
        <v>242</v>
      </c>
      <c r="O170">
        <f ca="1">PROFILE!L106</f>
        <v>139.55526528060378</v>
      </c>
      <c r="P170">
        <f ca="1">PROFILE!M106</f>
        <v>277.71961814419114</v>
      </c>
      <c r="Q170">
        <f ca="1">PROFILE!N106</f>
        <v>274.95626177253882</v>
      </c>
      <c r="R170">
        <f ca="1">PROFILE!O106</f>
        <v>272.2204012561948</v>
      </c>
      <c r="S170">
        <f ca="1">PROFILE!P106</f>
        <v>258.80782703983004</v>
      </c>
      <c r="T170">
        <f ca="1">PROFILE!Q106</f>
        <v>206.33755245166427</v>
      </c>
      <c r="U170">
        <f ca="1">PROFILE!R106</f>
        <v>161.07517167595518</v>
      </c>
      <c r="V170">
        <f ca="1">PROFILE!S106</f>
        <v>125.74158519456245</v>
      </c>
      <c r="W170">
        <f ca="1">PROFILE!T106</f>
        <v>98.158804257239922</v>
      </c>
      <c r="X170">
        <f ca="1">PROFILE!U106</f>
        <v>76.626605576050963</v>
      </c>
      <c r="Y170">
        <f ca="1">PROFILE!V106</f>
        <v>59.817728287726219</v>
      </c>
      <c r="Z170">
        <f ca="1">PROFILE!W106</f>
        <v>46.696060599382328</v>
      </c>
      <c r="AA170">
        <f ca="1">PROFILE!X106</f>
        <v>36.452773081130182</v>
      </c>
      <c r="AB170">
        <f ca="1">PROFILE!Y106</f>
        <v>28.45646181386758</v>
      </c>
      <c r="AC170">
        <f ca="1">PROFILE!Z106</f>
        <v>22.214228178521818</v>
      </c>
    </row>
    <row r="171" spans="6:29">
      <c r="G171" t="s">
        <v>7</v>
      </c>
      <c r="O171">
        <f t="shared" ref="O171:AC171" ca="1" si="73">O170*O38</f>
        <v>97.688685696422638</v>
      </c>
      <c r="P171">
        <f t="shared" ca="1" si="73"/>
        <v>194.4037327009338</v>
      </c>
      <c r="Q171">
        <f t="shared" ca="1" si="73"/>
        <v>192.46938324077718</v>
      </c>
      <c r="R171">
        <f t="shared" ca="1" si="73"/>
        <v>190.55428087933635</v>
      </c>
      <c r="S171">
        <f t="shared" ca="1" si="73"/>
        <v>181.16547892788103</v>
      </c>
      <c r="T171">
        <f t="shared" ca="1" si="73"/>
        <v>144.43628671616497</v>
      </c>
      <c r="U171">
        <f t="shared" ca="1" si="73"/>
        <v>112.75262017316861</v>
      </c>
      <c r="V171">
        <f t="shared" ca="1" si="73"/>
        <v>88.019109636193704</v>
      </c>
      <c r="W171">
        <f t="shared" ca="1" si="73"/>
        <v>68.71116298006794</v>
      </c>
      <c r="X171">
        <f t="shared" ca="1" si="73"/>
        <v>53.638623903235668</v>
      </c>
      <c r="Y171">
        <f t="shared" ca="1" si="73"/>
        <v>41.872409801408352</v>
      </c>
      <c r="Z171">
        <f t="shared" ca="1" si="73"/>
        <v>32.687242419567625</v>
      </c>
      <c r="AA171">
        <f t="shared" ca="1" si="73"/>
        <v>25.516941156791127</v>
      </c>
      <c r="AB171">
        <f t="shared" ca="1" si="73"/>
        <v>19.919523269707305</v>
      </c>
      <c r="AC171">
        <f t="shared" ca="1" si="73"/>
        <v>15.549959724965271</v>
      </c>
    </row>
    <row r="172" spans="6:29">
      <c r="G172" t="s">
        <v>4</v>
      </c>
      <c r="O172">
        <f t="shared" ref="O172:AC172" ca="1" si="74">O170*O39*6</f>
        <v>251.19947750508683</v>
      </c>
      <c r="P172">
        <f t="shared" ca="1" si="74"/>
        <v>499.89531265954417</v>
      </c>
      <c r="Q172">
        <f t="shared" ca="1" si="74"/>
        <v>494.92127119057</v>
      </c>
      <c r="R172">
        <f t="shared" ca="1" si="74"/>
        <v>489.99672226115075</v>
      </c>
      <c r="S172">
        <f t="shared" ca="1" si="74"/>
        <v>465.85408867169411</v>
      </c>
      <c r="T172">
        <f t="shared" ca="1" si="74"/>
        <v>371.40759441299571</v>
      </c>
      <c r="U172">
        <f t="shared" ca="1" si="74"/>
        <v>289.93530901671937</v>
      </c>
      <c r="V172">
        <f t="shared" ca="1" si="74"/>
        <v>226.33485335021246</v>
      </c>
      <c r="W172">
        <f t="shared" ca="1" si="74"/>
        <v>176.68584766303189</v>
      </c>
      <c r="X172">
        <f t="shared" ca="1" si="74"/>
        <v>137.92789003689174</v>
      </c>
      <c r="Y172">
        <f t="shared" ca="1" si="74"/>
        <v>107.67191091790721</v>
      </c>
      <c r="Z172">
        <f t="shared" ca="1" si="74"/>
        <v>84.052909078888206</v>
      </c>
      <c r="AA172">
        <f t="shared" ca="1" si="74"/>
        <v>65.614991546034346</v>
      </c>
      <c r="AB172">
        <f t="shared" ca="1" si="74"/>
        <v>51.221631264961651</v>
      </c>
      <c r="AC172">
        <f t="shared" ca="1" si="74"/>
        <v>39.985610721339285</v>
      </c>
    </row>
    <row r="173" spans="6:29">
      <c r="F173" t="s">
        <v>243</v>
      </c>
      <c r="P173">
        <f ca="1">PROFILE!M107</f>
        <v>139.55526528060378</v>
      </c>
      <c r="Q173">
        <f ca="1">PROFILE!N107</f>
        <v>277.71961814419114</v>
      </c>
      <c r="R173">
        <f ca="1">PROFILE!O107</f>
        <v>274.95626177253882</v>
      </c>
      <c r="S173">
        <f ca="1">PROFILE!P107</f>
        <v>272.2204012561948</v>
      </c>
      <c r="T173">
        <f ca="1">PROFILE!Q107</f>
        <v>258.80782703983004</v>
      </c>
      <c r="U173">
        <f ca="1">PROFILE!R107</f>
        <v>206.33755245166427</v>
      </c>
      <c r="V173">
        <f ca="1">PROFILE!S107</f>
        <v>161.07517167595518</v>
      </c>
      <c r="W173">
        <f ca="1">PROFILE!T107</f>
        <v>125.74158519456245</v>
      </c>
      <c r="X173">
        <f ca="1">PROFILE!U107</f>
        <v>98.158804257239922</v>
      </c>
      <c r="Y173">
        <f ca="1">PROFILE!V107</f>
        <v>76.626605576050963</v>
      </c>
      <c r="Z173">
        <f ca="1">PROFILE!W107</f>
        <v>59.817728287726219</v>
      </c>
      <c r="AA173">
        <f ca="1">PROFILE!X107</f>
        <v>46.696060599382328</v>
      </c>
      <c r="AB173">
        <f ca="1">PROFILE!Y107</f>
        <v>36.452773081130182</v>
      </c>
      <c r="AC173">
        <f ca="1">PROFILE!Z107</f>
        <v>28.45646181386758</v>
      </c>
    </row>
    <row r="174" spans="6:29">
      <c r="G174" t="s">
        <v>7</v>
      </c>
      <c r="P174">
        <f t="shared" ref="P174:AC174" ca="1" si="75">P173*P38</f>
        <v>97.688685696422638</v>
      </c>
      <c r="Q174">
        <f t="shared" ca="1" si="75"/>
        <v>194.4037327009338</v>
      </c>
      <c r="R174">
        <f t="shared" ca="1" si="75"/>
        <v>192.46938324077718</v>
      </c>
      <c r="S174">
        <f t="shared" ca="1" si="75"/>
        <v>190.55428087933635</v>
      </c>
      <c r="T174">
        <f t="shared" ca="1" si="75"/>
        <v>181.16547892788103</v>
      </c>
      <c r="U174">
        <f t="shared" ca="1" si="75"/>
        <v>144.43628671616497</v>
      </c>
      <c r="V174">
        <f t="shared" ca="1" si="75"/>
        <v>112.75262017316861</v>
      </c>
      <c r="W174">
        <f t="shared" ca="1" si="75"/>
        <v>88.019109636193704</v>
      </c>
      <c r="X174">
        <f t="shared" ca="1" si="75"/>
        <v>68.71116298006794</v>
      </c>
      <c r="Y174">
        <f t="shared" ca="1" si="75"/>
        <v>53.638623903235668</v>
      </c>
      <c r="Z174">
        <f t="shared" ca="1" si="75"/>
        <v>41.872409801408352</v>
      </c>
      <c r="AA174">
        <f t="shared" ca="1" si="75"/>
        <v>32.687242419567625</v>
      </c>
      <c r="AB174">
        <f t="shared" ca="1" si="75"/>
        <v>25.516941156791127</v>
      </c>
      <c r="AC174">
        <f t="shared" ca="1" si="75"/>
        <v>19.919523269707305</v>
      </c>
    </row>
    <row r="175" spans="6:29">
      <c r="G175" t="s">
        <v>4</v>
      </c>
      <c r="P175">
        <f t="shared" ref="P175:AC175" ca="1" si="76">P173*P39*6</f>
        <v>251.19947750508683</v>
      </c>
      <c r="Q175">
        <f t="shared" ca="1" si="76"/>
        <v>499.89531265954417</v>
      </c>
      <c r="R175">
        <f t="shared" ca="1" si="76"/>
        <v>494.92127119057</v>
      </c>
      <c r="S175">
        <f t="shared" ca="1" si="76"/>
        <v>489.99672226115075</v>
      </c>
      <c r="T175">
        <f t="shared" ca="1" si="76"/>
        <v>465.85408867169411</v>
      </c>
      <c r="U175">
        <f t="shared" ca="1" si="76"/>
        <v>371.40759441299571</v>
      </c>
      <c r="V175">
        <f t="shared" ca="1" si="76"/>
        <v>289.93530901671937</v>
      </c>
      <c r="W175">
        <f t="shared" ca="1" si="76"/>
        <v>226.33485335021246</v>
      </c>
      <c r="X175">
        <f t="shared" ca="1" si="76"/>
        <v>176.68584766303189</v>
      </c>
      <c r="Y175">
        <f t="shared" ca="1" si="76"/>
        <v>137.92789003689174</v>
      </c>
      <c r="Z175">
        <f t="shared" ca="1" si="76"/>
        <v>107.67191091790721</v>
      </c>
      <c r="AA175">
        <f t="shared" ca="1" si="76"/>
        <v>84.052909078888206</v>
      </c>
      <c r="AB175">
        <f t="shared" ca="1" si="76"/>
        <v>65.614991546034346</v>
      </c>
      <c r="AC175">
        <f t="shared" ca="1" si="76"/>
        <v>51.221631264961651</v>
      </c>
    </row>
    <row r="176" spans="6:29">
      <c r="F176" t="s">
        <v>244</v>
      </c>
      <c r="Q176">
        <f ca="1">PROFILE!N108</f>
        <v>139.55526528060378</v>
      </c>
      <c r="R176">
        <f ca="1">PROFILE!O108</f>
        <v>277.71961814419114</v>
      </c>
      <c r="S176">
        <f ca="1">PROFILE!P108</f>
        <v>274.95626177253882</v>
      </c>
      <c r="T176">
        <f ca="1">PROFILE!Q108</f>
        <v>272.2204012561948</v>
      </c>
      <c r="U176">
        <f ca="1">PROFILE!R108</f>
        <v>258.80782703983004</v>
      </c>
      <c r="V176">
        <f ca="1">PROFILE!S108</f>
        <v>206.33755245166427</v>
      </c>
      <c r="W176">
        <f ca="1">PROFILE!T108</f>
        <v>161.07517167595518</v>
      </c>
      <c r="X176">
        <f ca="1">PROFILE!U108</f>
        <v>125.74158519456245</v>
      </c>
      <c r="Y176">
        <f ca="1">PROFILE!V108</f>
        <v>98.158804257239922</v>
      </c>
      <c r="Z176">
        <f ca="1">PROFILE!W108</f>
        <v>76.626605576050963</v>
      </c>
      <c r="AA176">
        <f ca="1">PROFILE!X108</f>
        <v>59.817728287726219</v>
      </c>
      <c r="AB176">
        <f ca="1">PROFILE!Y108</f>
        <v>46.696060599382328</v>
      </c>
      <c r="AC176">
        <f ca="1">PROFILE!Z108</f>
        <v>36.452773081130182</v>
      </c>
    </row>
    <row r="177" spans="6:29">
      <c r="G177" t="s">
        <v>7</v>
      </c>
      <c r="Q177">
        <f t="shared" ref="Q177:AC177" ca="1" si="77">Q176*Q38</f>
        <v>97.688685696422638</v>
      </c>
      <c r="R177">
        <f t="shared" ca="1" si="77"/>
        <v>194.4037327009338</v>
      </c>
      <c r="S177">
        <f t="shared" ca="1" si="77"/>
        <v>192.46938324077718</v>
      </c>
      <c r="T177">
        <f t="shared" ca="1" si="77"/>
        <v>190.55428087933635</v>
      </c>
      <c r="U177">
        <f t="shared" ca="1" si="77"/>
        <v>181.16547892788103</v>
      </c>
      <c r="V177">
        <f t="shared" ca="1" si="77"/>
        <v>144.43628671616497</v>
      </c>
      <c r="W177">
        <f t="shared" ca="1" si="77"/>
        <v>112.75262017316861</v>
      </c>
      <c r="X177">
        <f t="shared" ca="1" si="77"/>
        <v>88.019109636193704</v>
      </c>
      <c r="Y177">
        <f t="shared" ca="1" si="77"/>
        <v>68.71116298006794</v>
      </c>
      <c r="Z177">
        <f t="shared" ca="1" si="77"/>
        <v>53.638623903235668</v>
      </c>
      <c r="AA177">
        <f t="shared" ca="1" si="77"/>
        <v>41.872409801408352</v>
      </c>
      <c r="AB177">
        <f t="shared" ca="1" si="77"/>
        <v>32.687242419567625</v>
      </c>
      <c r="AC177">
        <f t="shared" ca="1" si="77"/>
        <v>25.516941156791127</v>
      </c>
    </row>
    <row r="178" spans="6:29">
      <c r="G178" t="s">
        <v>4</v>
      </c>
      <c r="Q178">
        <f t="shared" ref="Q178:AC178" ca="1" si="78">Q176*Q39*6</f>
        <v>251.19947750508683</v>
      </c>
      <c r="R178">
        <f t="shared" ca="1" si="78"/>
        <v>499.89531265954417</v>
      </c>
      <c r="S178">
        <f t="shared" ca="1" si="78"/>
        <v>494.92127119057</v>
      </c>
      <c r="T178">
        <f t="shared" ca="1" si="78"/>
        <v>489.99672226115075</v>
      </c>
      <c r="U178">
        <f t="shared" ca="1" si="78"/>
        <v>465.85408867169411</v>
      </c>
      <c r="V178">
        <f t="shared" ca="1" si="78"/>
        <v>371.40759441299571</v>
      </c>
      <c r="W178">
        <f t="shared" ca="1" si="78"/>
        <v>289.93530901671937</v>
      </c>
      <c r="X178">
        <f t="shared" ca="1" si="78"/>
        <v>226.33485335021246</v>
      </c>
      <c r="Y178">
        <f t="shared" ca="1" si="78"/>
        <v>176.68584766303189</v>
      </c>
      <c r="Z178">
        <f t="shared" ca="1" si="78"/>
        <v>137.92789003689174</v>
      </c>
      <c r="AA178">
        <f t="shared" ca="1" si="78"/>
        <v>107.67191091790721</v>
      </c>
      <c r="AB178">
        <f t="shared" ca="1" si="78"/>
        <v>84.052909078888206</v>
      </c>
      <c r="AC178">
        <f t="shared" ca="1" si="78"/>
        <v>65.614991546034346</v>
      </c>
    </row>
    <row r="179" spans="6:29">
      <c r="F179" t="s">
        <v>245</v>
      </c>
      <c r="R179">
        <f ca="1">PROFILE!O109</f>
        <v>139.55526528060378</v>
      </c>
      <c r="S179">
        <f ca="1">PROFILE!P109</f>
        <v>277.71961814419114</v>
      </c>
      <c r="T179">
        <f ca="1">PROFILE!Q109</f>
        <v>274.95626177253882</v>
      </c>
      <c r="U179">
        <f ca="1">PROFILE!R109</f>
        <v>272.2204012561948</v>
      </c>
      <c r="V179">
        <f ca="1">PROFILE!S109</f>
        <v>258.80782703983004</v>
      </c>
      <c r="W179">
        <f ca="1">PROFILE!T109</f>
        <v>206.33755245166427</v>
      </c>
      <c r="X179">
        <f ca="1">PROFILE!U109</f>
        <v>161.07517167595518</v>
      </c>
      <c r="Y179">
        <f ca="1">PROFILE!V109</f>
        <v>125.74158519456245</v>
      </c>
      <c r="Z179">
        <f ca="1">PROFILE!W109</f>
        <v>98.158804257239922</v>
      </c>
      <c r="AA179">
        <f ca="1">PROFILE!X109</f>
        <v>76.626605576050963</v>
      </c>
      <c r="AB179">
        <f ca="1">PROFILE!Y109</f>
        <v>59.817728287726219</v>
      </c>
      <c r="AC179">
        <f ca="1">PROFILE!Z109</f>
        <v>46.696060599382328</v>
      </c>
    </row>
    <row r="180" spans="6:29">
      <c r="G180" t="s">
        <v>7</v>
      </c>
      <c r="R180">
        <f t="shared" ref="R180:AC180" ca="1" si="79">R179*R38</f>
        <v>97.688685696422638</v>
      </c>
      <c r="S180">
        <f t="shared" ca="1" si="79"/>
        <v>194.4037327009338</v>
      </c>
      <c r="T180">
        <f t="shared" ca="1" si="79"/>
        <v>192.46938324077718</v>
      </c>
      <c r="U180">
        <f t="shared" ca="1" si="79"/>
        <v>190.55428087933635</v>
      </c>
      <c r="V180">
        <f t="shared" ca="1" si="79"/>
        <v>181.16547892788103</v>
      </c>
      <c r="W180">
        <f t="shared" ca="1" si="79"/>
        <v>144.43628671616497</v>
      </c>
      <c r="X180">
        <f t="shared" ca="1" si="79"/>
        <v>112.75262017316861</v>
      </c>
      <c r="Y180">
        <f t="shared" ca="1" si="79"/>
        <v>88.019109636193704</v>
      </c>
      <c r="Z180">
        <f t="shared" ca="1" si="79"/>
        <v>68.71116298006794</v>
      </c>
      <c r="AA180">
        <f t="shared" ca="1" si="79"/>
        <v>53.638623903235668</v>
      </c>
      <c r="AB180">
        <f t="shared" ca="1" si="79"/>
        <v>41.872409801408352</v>
      </c>
      <c r="AC180">
        <f t="shared" ca="1" si="79"/>
        <v>32.687242419567625</v>
      </c>
    </row>
    <row r="181" spans="6:29">
      <c r="G181" t="s">
        <v>4</v>
      </c>
      <c r="R181">
        <f t="shared" ref="R181:AC181" ca="1" si="80">R179*R39*6</f>
        <v>251.19947750508683</v>
      </c>
      <c r="S181">
        <f t="shared" ca="1" si="80"/>
        <v>499.89531265954417</v>
      </c>
      <c r="T181">
        <f t="shared" ca="1" si="80"/>
        <v>494.92127119057</v>
      </c>
      <c r="U181">
        <f t="shared" ca="1" si="80"/>
        <v>489.99672226115075</v>
      </c>
      <c r="V181">
        <f t="shared" ca="1" si="80"/>
        <v>465.85408867169411</v>
      </c>
      <c r="W181">
        <f t="shared" ca="1" si="80"/>
        <v>371.40759441299571</v>
      </c>
      <c r="X181">
        <f t="shared" ca="1" si="80"/>
        <v>289.93530901671937</v>
      </c>
      <c r="Y181">
        <f t="shared" ca="1" si="80"/>
        <v>226.33485335021246</v>
      </c>
      <c r="Z181">
        <f t="shared" ca="1" si="80"/>
        <v>176.68584766303189</v>
      </c>
      <c r="AA181">
        <f t="shared" ca="1" si="80"/>
        <v>137.92789003689174</v>
      </c>
      <c r="AB181">
        <f t="shared" ca="1" si="80"/>
        <v>107.67191091790721</v>
      </c>
      <c r="AC181">
        <f t="shared" ca="1" si="80"/>
        <v>84.052909078888206</v>
      </c>
    </row>
    <row r="182" spans="6:29">
      <c r="F182" t="s">
        <v>246</v>
      </c>
      <c r="S182">
        <f ca="1">PROFILE!P110</f>
        <v>139.55526528060378</v>
      </c>
      <c r="T182">
        <f ca="1">PROFILE!Q110</f>
        <v>277.71961814419114</v>
      </c>
      <c r="U182">
        <f ca="1">PROFILE!R110</f>
        <v>274.95626177253882</v>
      </c>
      <c r="V182">
        <f ca="1">PROFILE!S110</f>
        <v>272.2204012561948</v>
      </c>
      <c r="W182">
        <f ca="1">PROFILE!T110</f>
        <v>258.80782703983004</v>
      </c>
      <c r="X182">
        <f ca="1">PROFILE!U110</f>
        <v>206.33755245166427</v>
      </c>
      <c r="Y182">
        <f ca="1">PROFILE!V110</f>
        <v>161.07517167595518</v>
      </c>
      <c r="Z182">
        <f ca="1">PROFILE!W110</f>
        <v>125.74158519456245</v>
      </c>
      <c r="AA182">
        <f ca="1">PROFILE!X110</f>
        <v>98.158804257239922</v>
      </c>
      <c r="AB182">
        <f ca="1">PROFILE!Y110</f>
        <v>76.626605576050963</v>
      </c>
      <c r="AC182">
        <f ca="1">PROFILE!Z110</f>
        <v>59.817728287726219</v>
      </c>
    </row>
    <row r="183" spans="6:29">
      <c r="G183" t="s">
        <v>7</v>
      </c>
      <c r="S183">
        <f t="shared" ref="S183:AC183" ca="1" si="81">S182*S38</f>
        <v>97.688685696422638</v>
      </c>
      <c r="T183">
        <f t="shared" ca="1" si="81"/>
        <v>194.4037327009338</v>
      </c>
      <c r="U183">
        <f t="shared" ca="1" si="81"/>
        <v>192.46938324077718</v>
      </c>
      <c r="V183">
        <f t="shared" ca="1" si="81"/>
        <v>190.55428087933635</v>
      </c>
      <c r="W183">
        <f t="shared" ca="1" si="81"/>
        <v>181.16547892788103</v>
      </c>
      <c r="X183">
        <f t="shared" ca="1" si="81"/>
        <v>144.43628671616497</v>
      </c>
      <c r="Y183">
        <f t="shared" ca="1" si="81"/>
        <v>112.75262017316861</v>
      </c>
      <c r="Z183">
        <f t="shared" ca="1" si="81"/>
        <v>88.019109636193704</v>
      </c>
      <c r="AA183">
        <f t="shared" ca="1" si="81"/>
        <v>68.71116298006794</v>
      </c>
      <c r="AB183">
        <f t="shared" ca="1" si="81"/>
        <v>53.638623903235668</v>
      </c>
      <c r="AC183">
        <f t="shared" ca="1" si="81"/>
        <v>41.872409801408352</v>
      </c>
    </row>
    <row r="184" spans="6:29">
      <c r="G184" t="s">
        <v>4</v>
      </c>
      <c r="S184">
        <f t="shared" ref="S184:AC184" ca="1" si="82">S182*S39*6</f>
        <v>251.19947750508683</v>
      </c>
      <c r="T184">
        <f t="shared" ca="1" si="82"/>
        <v>499.89531265954417</v>
      </c>
      <c r="U184">
        <f t="shared" ca="1" si="82"/>
        <v>494.92127119057</v>
      </c>
      <c r="V184">
        <f t="shared" ca="1" si="82"/>
        <v>489.99672226115075</v>
      </c>
      <c r="W184">
        <f t="shared" ca="1" si="82"/>
        <v>465.85408867169411</v>
      </c>
      <c r="X184">
        <f t="shared" ca="1" si="82"/>
        <v>371.40759441299571</v>
      </c>
      <c r="Y184">
        <f t="shared" ca="1" si="82"/>
        <v>289.93530901671937</v>
      </c>
      <c r="Z184">
        <f t="shared" ca="1" si="82"/>
        <v>226.33485335021246</v>
      </c>
      <c r="AA184">
        <f t="shared" ca="1" si="82"/>
        <v>176.68584766303189</v>
      </c>
      <c r="AB184">
        <f t="shared" ca="1" si="82"/>
        <v>137.92789003689174</v>
      </c>
      <c r="AC184">
        <f t="shared" ca="1" si="82"/>
        <v>107.67191091790721</v>
      </c>
    </row>
    <row r="185" spans="6:29">
      <c r="F185" t="s">
        <v>247</v>
      </c>
      <c r="T185">
        <f ca="1">PROFILE!Q111</f>
        <v>139.55526528060378</v>
      </c>
      <c r="U185">
        <f ca="1">PROFILE!R111</f>
        <v>277.71961814419114</v>
      </c>
      <c r="V185">
        <f ca="1">PROFILE!S111</f>
        <v>274.95626177253882</v>
      </c>
      <c r="W185">
        <f ca="1">PROFILE!T111</f>
        <v>272.2204012561948</v>
      </c>
      <c r="X185">
        <f ca="1">PROFILE!U111</f>
        <v>258.80782703983004</v>
      </c>
      <c r="Y185">
        <f ca="1">PROFILE!V111</f>
        <v>206.33755245166427</v>
      </c>
      <c r="Z185">
        <f ca="1">PROFILE!W111</f>
        <v>161.07517167595518</v>
      </c>
      <c r="AA185">
        <f ca="1">PROFILE!X111</f>
        <v>125.74158519456245</v>
      </c>
      <c r="AB185">
        <f ca="1">PROFILE!Y111</f>
        <v>98.158804257239922</v>
      </c>
      <c r="AC185">
        <f ca="1">PROFILE!Z111</f>
        <v>76.626605576050963</v>
      </c>
    </row>
    <row r="186" spans="6:29">
      <c r="G186" t="s">
        <v>7</v>
      </c>
      <c r="T186">
        <f t="shared" ref="T186:AC186" ca="1" si="83">T185*T38</f>
        <v>97.688685696422638</v>
      </c>
      <c r="U186">
        <f t="shared" ca="1" si="83"/>
        <v>194.4037327009338</v>
      </c>
      <c r="V186">
        <f t="shared" ca="1" si="83"/>
        <v>192.46938324077718</v>
      </c>
      <c r="W186">
        <f t="shared" ca="1" si="83"/>
        <v>190.55428087933635</v>
      </c>
      <c r="X186">
        <f t="shared" ca="1" si="83"/>
        <v>181.16547892788103</v>
      </c>
      <c r="Y186">
        <f t="shared" ca="1" si="83"/>
        <v>144.43628671616497</v>
      </c>
      <c r="Z186">
        <f t="shared" ca="1" si="83"/>
        <v>112.75262017316861</v>
      </c>
      <c r="AA186">
        <f t="shared" ca="1" si="83"/>
        <v>88.019109636193704</v>
      </c>
      <c r="AB186">
        <f t="shared" ca="1" si="83"/>
        <v>68.71116298006794</v>
      </c>
      <c r="AC186">
        <f t="shared" ca="1" si="83"/>
        <v>53.638623903235668</v>
      </c>
    </row>
    <row r="187" spans="6:29">
      <c r="G187" t="s">
        <v>4</v>
      </c>
      <c r="T187">
        <f t="shared" ref="T187:AC187" ca="1" si="84">T185*T39*6</f>
        <v>251.19947750508683</v>
      </c>
      <c r="U187">
        <f t="shared" ca="1" si="84"/>
        <v>499.89531265954417</v>
      </c>
      <c r="V187">
        <f t="shared" ca="1" si="84"/>
        <v>494.92127119057</v>
      </c>
      <c r="W187">
        <f t="shared" ca="1" si="84"/>
        <v>489.99672226115075</v>
      </c>
      <c r="X187">
        <f t="shared" ca="1" si="84"/>
        <v>465.85408867169411</v>
      </c>
      <c r="Y187">
        <f t="shared" ca="1" si="84"/>
        <v>371.40759441299571</v>
      </c>
      <c r="Z187">
        <f t="shared" ca="1" si="84"/>
        <v>289.93530901671937</v>
      </c>
      <c r="AA187">
        <f t="shared" ca="1" si="84"/>
        <v>226.33485335021246</v>
      </c>
      <c r="AB187">
        <f t="shared" ca="1" si="84"/>
        <v>176.68584766303189</v>
      </c>
      <c r="AC187">
        <f t="shared" ca="1" si="84"/>
        <v>137.92789003689174</v>
      </c>
    </row>
    <row r="188" spans="6:29">
      <c r="F188" t="s">
        <v>248</v>
      </c>
      <c r="U188">
        <f ca="1">PROFILE!R112</f>
        <v>139.55526528060378</v>
      </c>
      <c r="V188">
        <f ca="1">PROFILE!S112</f>
        <v>277.71961814419114</v>
      </c>
      <c r="W188">
        <f ca="1">PROFILE!T112</f>
        <v>274.95626177253882</v>
      </c>
      <c r="X188">
        <f ca="1">PROFILE!U112</f>
        <v>272.2204012561948</v>
      </c>
      <c r="Y188">
        <f ca="1">PROFILE!V112</f>
        <v>258.80782703983004</v>
      </c>
      <c r="Z188">
        <f ca="1">PROFILE!W112</f>
        <v>206.33755245166427</v>
      </c>
      <c r="AA188">
        <f ca="1">PROFILE!X112</f>
        <v>161.07517167595518</v>
      </c>
      <c r="AB188">
        <f ca="1">PROFILE!Y112</f>
        <v>125.74158519456245</v>
      </c>
      <c r="AC188">
        <f ca="1">PROFILE!Z112</f>
        <v>98.158804257239922</v>
      </c>
    </row>
    <row r="189" spans="6:29">
      <c r="G189" t="s">
        <v>7</v>
      </c>
      <c r="U189">
        <f t="shared" ref="U189:AC189" ca="1" si="85">U188*U38</f>
        <v>97.688685696422638</v>
      </c>
      <c r="V189">
        <f t="shared" ca="1" si="85"/>
        <v>194.4037327009338</v>
      </c>
      <c r="W189">
        <f t="shared" ca="1" si="85"/>
        <v>192.46938324077718</v>
      </c>
      <c r="X189">
        <f t="shared" ca="1" si="85"/>
        <v>190.55428087933635</v>
      </c>
      <c r="Y189">
        <f t="shared" ca="1" si="85"/>
        <v>181.16547892788103</v>
      </c>
      <c r="Z189">
        <f t="shared" ca="1" si="85"/>
        <v>144.43628671616497</v>
      </c>
      <c r="AA189">
        <f t="shared" ca="1" si="85"/>
        <v>112.75262017316861</v>
      </c>
      <c r="AB189">
        <f t="shared" ca="1" si="85"/>
        <v>88.019109636193704</v>
      </c>
      <c r="AC189">
        <f t="shared" ca="1" si="85"/>
        <v>68.71116298006794</v>
      </c>
    </row>
    <row r="190" spans="6:29">
      <c r="G190" t="s">
        <v>4</v>
      </c>
      <c r="U190">
        <f t="shared" ref="U190:AC190" ca="1" si="86">U188*U39*6</f>
        <v>251.19947750508683</v>
      </c>
      <c r="V190">
        <f t="shared" ca="1" si="86"/>
        <v>499.89531265954417</v>
      </c>
      <c r="W190">
        <f t="shared" ca="1" si="86"/>
        <v>494.92127119057</v>
      </c>
      <c r="X190">
        <f t="shared" ca="1" si="86"/>
        <v>489.99672226115075</v>
      </c>
      <c r="Y190">
        <f t="shared" ca="1" si="86"/>
        <v>465.85408867169411</v>
      </c>
      <c r="Z190">
        <f t="shared" ca="1" si="86"/>
        <v>371.40759441299571</v>
      </c>
      <c r="AA190">
        <f t="shared" ca="1" si="86"/>
        <v>289.93530901671937</v>
      </c>
      <c r="AB190">
        <f t="shared" ca="1" si="86"/>
        <v>226.33485335021246</v>
      </c>
      <c r="AC190">
        <f t="shared" ca="1" si="86"/>
        <v>176.68584766303189</v>
      </c>
    </row>
    <row r="191" spans="6:29">
      <c r="F191" t="s">
        <v>249</v>
      </c>
      <c r="V191">
        <f ca="1">PROFILE!S113</f>
        <v>139.55526528060378</v>
      </c>
      <c r="W191">
        <f ca="1">PROFILE!T113</f>
        <v>277.71961814419114</v>
      </c>
      <c r="X191">
        <f ca="1">PROFILE!U113</f>
        <v>274.95626177253882</v>
      </c>
      <c r="Y191">
        <f ca="1">PROFILE!V113</f>
        <v>272.2204012561948</v>
      </c>
      <c r="Z191">
        <f ca="1">PROFILE!W113</f>
        <v>258.80782703983004</v>
      </c>
      <c r="AA191">
        <f ca="1">PROFILE!X113</f>
        <v>206.33755245166427</v>
      </c>
      <c r="AB191">
        <f ca="1">PROFILE!Y113</f>
        <v>161.07517167595518</v>
      </c>
      <c r="AC191">
        <f ca="1">PROFILE!Z113</f>
        <v>125.74158519456245</v>
      </c>
    </row>
    <row r="192" spans="6:29">
      <c r="G192" t="s">
        <v>7</v>
      </c>
      <c r="V192">
        <f t="shared" ref="V192:AC192" ca="1" si="87">V191*V38</f>
        <v>97.688685696422638</v>
      </c>
      <c r="W192">
        <f t="shared" ca="1" si="87"/>
        <v>194.4037327009338</v>
      </c>
      <c r="X192">
        <f t="shared" ca="1" si="87"/>
        <v>192.46938324077718</v>
      </c>
      <c r="Y192">
        <f t="shared" ca="1" si="87"/>
        <v>190.55428087933635</v>
      </c>
      <c r="Z192">
        <f t="shared" ca="1" si="87"/>
        <v>181.16547892788103</v>
      </c>
      <c r="AA192">
        <f t="shared" ca="1" si="87"/>
        <v>144.43628671616497</v>
      </c>
      <c r="AB192">
        <f t="shared" ca="1" si="87"/>
        <v>112.75262017316861</v>
      </c>
      <c r="AC192">
        <f t="shared" ca="1" si="87"/>
        <v>88.019109636193704</v>
      </c>
    </row>
    <row r="193" spans="6:29">
      <c r="G193" t="s">
        <v>4</v>
      </c>
      <c r="V193">
        <f t="shared" ref="V193:AC193" ca="1" si="88">V191*V39*6</f>
        <v>251.19947750508683</v>
      </c>
      <c r="W193">
        <f t="shared" ca="1" si="88"/>
        <v>499.89531265954417</v>
      </c>
      <c r="X193">
        <f t="shared" ca="1" si="88"/>
        <v>494.92127119057</v>
      </c>
      <c r="Y193">
        <f t="shared" ca="1" si="88"/>
        <v>489.99672226115075</v>
      </c>
      <c r="Z193">
        <f t="shared" ca="1" si="88"/>
        <v>465.85408867169411</v>
      </c>
      <c r="AA193">
        <f t="shared" ca="1" si="88"/>
        <v>371.40759441299571</v>
      </c>
      <c r="AB193">
        <f t="shared" ca="1" si="88"/>
        <v>289.93530901671937</v>
      </c>
      <c r="AC193">
        <f t="shared" ca="1" si="88"/>
        <v>226.33485335021246</v>
      </c>
    </row>
    <row r="194" spans="6:29">
      <c r="F194" t="s">
        <v>250</v>
      </c>
      <c r="W194">
        <f ca="1">PROFILE!T114</f>
        <v>139.55526528060378</v>
      </c>
      <c r="X194">
        <f ca="1">PROFILE!U114</f>
        <v>277.71961814419114</v>
      </c>
      <c r="Y194">
        <f ca="1">PROFILE!V114</f>
        <v>274.95626177253882</v>
      </c>
      <c r="Z194">
        <f ca="1">PROFILE!W114</f>
        <v>272.2204012561948</v>
      </c>
      <c r="AA194">
        <f ca="1">PROFILE!X114</f>
        <v>258.80782703983004</v>
      </c>
      <c r="AB194">
        <f ca="1">PROFILE!Y114</f>
        <v>206.33755245166427</v>
      </c>
      <c r="AC194">
        <f ca="1">PROFILE!Z114</f>
        <v>161.07517167595518</v>
      </c>
    </row>
    <row r="195" spans="6:29">
      <c r="G195" t="s">
        <v>7</v>
      </c>
      <c r="W195">
        <f t="shared" ref="W195:AC195" ca="1" si="89">W194*W38</f>
        <v>97.688685696422638</v>
      </c>
      <c r="X195">
        <f t="shared" ca="1" si="89"/>
        <v>194.4037327009338</v>
      </c>
      <c r="Y195">
        <f t="shared" ca="1" si="89"/>
        <v>192.46938324077718</v>
      </c>
      <c r="Z195">
        <f t="shared" ca="1" si="89"/>
        <v>190.55428087933635</v>
      </c>
      <c r="AA195">
        <f t="shared" ca="1" si="89"/>
        <v>181.16547892788103</v>
      </c>
      <c r="AB195">
        <f t="shared" ca="1" si="89"/>
        <v>144.43628671616497</v>
      </c>
      <c r="AC195">
        <f t="shared" ca="1" si="89"/>
        <v>112.75262017316861</v>
      </c>
    </row>
    <row r="196" spans="6:29">
      <c r="G196" t="s">
        <v>4</v>
      </c>
      <c r="W196">
        <f t="shared" ref="W196:AC196" ca="1" si="90">W194*W39*6</f>
        <v>251.19947750508683</v>
      </c>
      <c r="X196">
        <f t="shared" ca="1" si="90"/>
        <v>499.89531265954417</v>
      </c>
      <c r="Y196">
        <f t="shared" ca="1" si="90"/>
        <v>494.92127119057</v>
      </c>
      <c r="Z196">
        <f t="shared" ca="1" si="90"/>
        <v>489.99672226115075</v>
      </c>
      <c r="AA196">
        <f t="shared" ca="1" si="90"/>
        <v>465.85408867169411</v>
      </c>
      <c r="AB196">
        <f t="shared" ca="1" si="90"/>
        <v>371.40759441299571</v>
      </c>
      <c r="AC196">
        <f t="shared" ca="1" si="90"/>
        <v>289.93530901671937</v>
      </c>
    </row>
    <row r="197" spans="6:29">
      <c r="F197" t="s">
        <v>251</v>
      </c>
      <c r="X197">
        <f ca="1">PROFILE!U115</f>
        <v>139.55526528060378</v>
      </c>
      <c r="Y197">
        <f ca="1">PROFILE!V115</f>
        <v>277.71961814419114</v>
      </c>
      <c r="Z197">
        <f ca="1">PROFILE!W115</f>
        <v>274.95626177253882</v>
      </c>
      <c r="AA197">
        <f ca="1">PROFILE!X115</f>
        <v>272.2204012561948</v>
      </c>
      <c r="AB197">
        <f ca="1">PROFILE!Y115</f>
        <v>258.80782703983004</v>
      </c>
      <c r="AC197">
        <f ca="1">PROFILE!Z115</f>
        <v>206.33755245166427</v>
      </c>
    </row>
    <row r="198" spans="6:29">
      <c r="G198" t="s">
        <v>7</v>
      </c>
      <c r="X198">
        <f t="shared" ref="X198:AC198" ca="1" si="91">X197*X38</f>
        <v>97.688685696422638</v>
      </c>
      <c r="Y198">
        <f t="shared" ca="1" si="91"/>
        <v>194.4037327009338</v>
      </c>
      <c r="Z198">
        <f t="shared" ca="1" si="91"/>
        <v>192.46938324077718</v>
      </c>
      <c r="AA198">
        <f t="shared" ca="1" si="91"/>
        <v>190.55428087933635</v>
      </c>
      <c r="AB198">
        <f t="shared" ca="1" si="91"/>
        <v>181.16547892788103</v>
      </c>
      <c r="AC198">
        <f t="shared" ca="1" si="91"/>
        <v>144.43628671616497</v>
      </c>
    </row>
    <row r="199" spans="6:29">
      <c r="G199" t="s">
        <v>4</v>
      </c>
      <c r="X199">
        <f t="shared" ref="X199:AC199" ca="1" si="92">X197*X39*6</f>
        <v>251.19947750508683</v>
      </c>
      <c r="Y199">
        <f t="shared" ca="1" si="92"/>
        <v>499.89531265954417</v>
      </c>
      <c r="Z199">
        <f t="shared" ca="1" si="92"/>
        <v>494.92127119057</v>
      </c>
      <c r="AA199">
        <f t="shared" ca="1" si="92"/>
        <v>489.99672226115075</v>
      </c>
      <c r="AB199">
        <f t="shared" ca="1" si="92"/>
        <v>465.85408867169411</v>
      </c>
      <c r="AC199">
        <f t="shared" ca="1" si="92"/>
        <v>371.40759441299571</v>
      </c>
    </row>
    <row r="200" spans="6:29">
      <c r="F200" t="s">
        <v>252</v>
      </c>
      <c r="Y200">
        <f ca="1">PROFILE!V116</f>
        <v>139.55526528060378</v>
      </c>
      <c r="Z200">
        <f ca="1">PROFILE!W116</f>
        <v>277.71961814419114</v>
      </c>
      <c r="AA200">
        <f ca="1">PROFILE!X116</f>
        <v>274.95626177253882</v>
      </c>
      <c r="AB200">
        <f ca="1">PROFILE!Y116</f>
        <v>272.2204012561948</v>
      </c>
      <c r="AC200">
        <f ca="1">PROFILE!Z116</f>
        <v>258.80782703983004</v>
      </c>
    </row>
    <row r="201" spans="6:29">
      <c r="G201" t="s">
        <v>7</v>
      </c>
      <c r="Y201">
        <f ca="1">Y200*Y38</f>
        <v>97.688685696422638</v>
      </c>
      <c r="Z201">
        <f ca="1">Z200*Z38</f>
        <v>194.4037327009338</v>
      </c>
      <c r="AA201">
        <f ca="1">AA200*AA38</f>
        <v>192.46938324077718</v>
      </c>
      <c r="AB201">
        <f ca="1">AB200*AB38</f>
        <v>190.55428087933635</v>
      </c>
      <c r="AC201">
        <f ca="1">AC200*AC38</f>
        <v>181.16547892788103</v>
      </c>
    </row>
    <row r="202" spans="6:29">
      <c r="G202" t="s">
        <v>4</v>
      </c>
      <c r="Y202">
        <f ca="1">Y200*Y39*6</f>
        <v>251.19947750508683</v>
      </c>
      <c r="Z202">
        <f ca="1">Z200*Z39*6</f>
        <v>499.89531265954417</v>
      </c>
      <c r="AA202">
        <f ca="1">AA200*AA39*6</f>
        <v>494.92127119057</v>
      </c>
      <c r="AB202">
        <f ca="1">AB200*AB39*6</f>
        <v>489.99672226115075</v>
      </c>
      <c r="AC202">
        <f ca="1">AC200*AC39*6</f>
        <v>465.85408867169411</v>
      </c>
    </row>
    <row r="203" spans="6:29">
      <c r="F203" t="s">
        <v>253</v>
      </c>
      <c r="Z203">
        <f ca="1">PROFILE!W117</f>
        <v>139.55526528060378</v>
      </c>
      <c r="AA203">
        <f ca="1">PROFILE!X117</f>
        <v>277.71961814419114</v>
      </c>
      <c r="AB203">
        <f ca="1">PROFILE!Y117</f>
        <v>274.95626177253882</v>
      </c>
      <c r="AC203">
        <f ca="1">PROFILE!Z117</f>
        <v>272.2204012561948</v>
      </c>
    </row>
    <row r="204" spans="6:29">
      <c r="G204" t="s">
        <v>7</v>
      </c>
      <c r="Z204">
        <f ca="1">Z203*Z38</f>
        <v>97.688685696422638</v>
      </c>
      <c r="AA204">
        <f ca="1">AA203*AA38</f>
        <v>194.4037327009338</v>
      </c>
      <c r="AB204">
        <f ca="1">AB203*AB38</f>
        <v>192.46938324077718</v>
      </c>
      <c r="AC204">
        <f ca="1">AC203*AC38</f>
        <v>190.55428087933635</v>
      </c>
    </row>
    <row r="205" spans="6:29">
      <c r="G205" t="s">
        <v>4</v>
      </c>
      <c r="Z205">
        <f ca="1">Z203*Z39*6</f>
        <v>251.19947750508683</v>
      </c>
      <c r="AA205">
        <f ca="1">AA203*AA39*6</f>
        <v>499.89531265954417</v>
      </c>
      <c r="AB205">
        <f ca="1">AB203*AB39*6</f>
        <v>494.92127119057</v>
      </c>
      <c r="AC205">
        <f ca="1">AC203*AC39*6</f>
        <v>489.99672226115075</v>
      </c>
    </row>
    <row r="206" spans="6:29">
      <c r="F206" t="s">
        <v>254</v>
      </c>
      <c r="AA206">
        <f ca="1">PROFILE!X118</f>
        <v>139.55526528060378</v>
      </c>
      <c r="AB206">
        <f ca="1">PROFILE!Y118</f>
        <v>277.71961814419114</v>
      </c>
      <c r="AC206">
        <f ca="1">PROFILE!Z118</f>
        <v>274.95626177253882</v>
      </c>
    </row>
    <row r="207" spans="6:29">
      <c r="G207" t="s">
        <v>7</v>
      </c>
      <c r="AA207">
        <f ca="1">AA206*AA38</f>
        <v>97.688685696422638</v>
      </c>
      <c r="AB207">
        <f ca="1">AB206*AB38</f>
        <v>194.4037327009338</v>
      </c>
      <c r="AC207">
        <f ca="1">AC206*AC38</f>
        <v>192.46938324077718</v>
      </c>
    </row>
    <row r="208" spans="6:29">
      <c r="G208" t="s">
        <v>4</v>
      </c>
      <c r="AA208">
        <f ca="1">AA206*AA39*6</f>
        <v>251.19947750508683</v>
      </c>
      <c r="AB208">
        <f ca="1">AB206*AB39*6</f>
        <v>499.89531265954417</v>
      </c>
      <c r="AC208">
        <f ca="1">AC206*AC39*6</f>
        <v>494.92127119057</v>
      </c>
    </row>
    <row r="209" spans="1:29">
      <c r="F209" t="s">
        <v>255</v>
      </c>
      <c r="AB209">
        <f ca="1">PROFILE!Y119</f>
        <v>139.55526528060378</v>
      </c>
      <c r="AC209">
        <f ca="1">PROFILE!Z119</f>
        <v>277.71961814419114</v>
      </c>
    </row>
    <row r="210" spans="1:29">
      <c r="G210" t="s">
        <v>7</v>
      </c>
      <c r="AB210">
        <f ca="1">AB209*AB38</f>
        <v>97.688685696422638</v>
      </c>
      <c r="AC210">
        <f ca="1">AC209*AC38</f>
        <v>194.4037327009338</v>
      </c>
    </row>
    <row r="211" spans="1:29">
      <c r="G211" t="s">
        <v>4</v>
      </c>
      <c r="AB211">
        <f ca="1">AB209*AB39*6</f>
        <v>251.19947750508683</v>
      </c>
      <c r="AC211">
        <f ca="1">AC209*AC39*6</f>
        <v>499.89531265954417</v>
      </c>
    </row>
    <row r="212" spans="1:29">
      <c r="F212" t="s">
        <v>256</v>
      </c>
      <c r="I212">
        <f t="shared" ref="I212:X213" ca="1" si="93">I153+I156+I159+I162+I165+I168+I171+I174+I177+I180+I183+I186+I189+I192+I195+I198+I201+I204+I207+I210</f>
        <v>97.688685696422638</v>
      </c>
      <c r="J212">
        <f t="shared" ca="1" si="93"/>
        <v>292.09241839735643</v>
      </c>
      <c r="K212">
        <f t="shared" ca="1" si="93"/>
        <v>484.5618016381336</v>
      </c>
      <c r="L212">
        <f t="shared" ca="1" si="93"/>
        <v>675.11608251746998</v>
      </c>
      <c r="M212">
        <f t="shared" ca="1" si="93"/>
        <v>856.2815614453508</v>
      </c>
      <c r="N212">
        <f t="shared" ca="1" si="93"/>
        <v>1000.7178481615159</v>
      </c>
      <c r="O212">
        <f t="shared" ca="1" si="93"/>
        <v>1113.4704683346845</v>
      </c>
      <c r="P212">
        <f t="shared" ca="1" si="93"/>
        <v>1201.4895779708784</v>
      </c>
      <c r="Q212">
        <f t="shared" ca="1" si="93"/>
        <v>1270.2007409509463</v>
      </c>
      <c r="R212">
        <f t="shared" ca="1" si="93"/>
        <v>1323.8393648541821</v>
      </c>
      <c r="S212">
        <f t="shared" ca="1" si="93"/>
        <v>1365.7117746555903</v>
      </c>
      <c r="T212">
        <f t="shared" ca="1" si="93"/>
        <v>1398.3990170751579</v>
      </c>
      <c r="U212">
        <f t="shared" ca="1" si="93"/>
        <v>1423.9159582319492</v>
      </c>
      <c r="V212">
        <f t="shared" ca="1" si="93"/>
        <v>1443.8354815016562</v>
      </c>
      <c r="W212">
        <f t="shared" ca="1" si="93"/>
        <v>1459.3854412266217</v>
      </c>
      <c r="X212">
        <f t="shared" ca="1" si="93"/>
        <v>1471.5243485776707</v>
      </c>
      <c r="Y212">
        <f t="shared" ref="Y212:AC213" ca="1" si="94">Y153+Y156+Y159+Y162+Y165+Y168+Y171+Y174+Y177+Y180+Y183+Y186+Y189+Y192+Y195+Y198+Y201+Y204+Y207+Y210</f>
        <v>1481.0004549010062</v>
      </c>
      <c r="Z212">
        <f t="shared" ca="1" si="94"/>
        <v>1488.3978744919375</v>
      </c>
      <c r="AA212">
        <f t="shared" ca="1" si="94"/>
        <v>1494.1725898377906</v>
      </c>
      <c r="AB212">
        <f t="shared" ca="1" si="94"/>
        <v>1498.6805587201441</v>
      </c>
      <c r="AC212">
        <f t="shared" ca="1" si="94"/>
        <v>1404.5109700228245</v>
      </c>
    </row>
    <row r="213" spans="1:29">
      <c r="F213" t="s">
        <v>257</v>
      </c>
      <c r="I213">
        <f t="shared" ca="1" si="93"/>
        <v>251.19947750508683</v>
      </c>
      <c r="J213">
        <f t="shared" ca="1" si="93"/>
        <v>751.09479016463104</v>
      </c>
      <c r="K213">
        <f t="shared" ca="1" si="93"/>
        <v>1246.0160613552009</v>
      </c>
      <c r="L213">
        <f t="shared" ca="1" si="93"/>
        <v>1736.0127836163517</v>
      </c>
      <c r="M213">
        <f t="shared" ca="1" si="93"/>
        <v>2201.8668722880452</v>
      </c>
      <c r="N213">
        <f t="shared" ca="1" si="93"/>
        <v>2573.2744667010411</v>
      </c>
      <c r="O213">
        <f t="shared" ca="1" si="93"/>
        <v>2863.2097757177607</v>
      </c>
      <c r="P213">
        <f t="shared" ca="1" si="93"/>
        <v>3089.5446290679733</v>
      </c>
      <c r="Q213">
        <f t="shared" ca="1" si="93"/>
        <v>3266.2304767310056</v>
      </c>
      <c r="R213">
        <f t="shared" ca="1" si="93"/>
        <v>3404.1583667678974</v>
      </c>
      <c r="S213">
        <f t="shared" ca="1" si="93"/>
        <v>3511.830277685804</v>
      </c>
      <c r="T213">
        <f t="shared" ca="1" si="93"/>
        <v>3595.8831867646927</v>
      </c>
      <c r="U213">
        <f t="shared" ca="1" si="93"/>
        <v>3661.4981783107264</v>
      </c>
      <c r="V213">
        <f t="shared" ca="1" si="93"/>
        <v>3712.719809575688</v>
      </c>
      <c r="W213">
        <f t="shared" ca="1" si="93"/>
        <v>3752.705420297028</v>
      </c>
      <c r="X213">
        <f t="shared" ca="1" si="93"/>
        <v>3783.9197534854397</v>
      </c>
      <c r="Y213">
        <f t="shared" ca="1" si="94"/>
        <v>3808.2868840311589</v>
      </c>
      <c r="Z213">
        <f t="shared" ca="1" si="94"/>
        <v>3827.3088201221258</v>
      </c>
      <c r="AA213">
        <f t="shared" ca="1" si="94"/>
        <v>3842.1580881543191</v>
      </c>
      <c r="AB213">
        <f t="shared" ca="1" si="94"/>
        <v>3853.7500081375133</v>
      </c>
      <c r="AC213">
        <f t="shared" ca="1" si="94"/>
        <v>3611.5996372015497</v>
      </c>
    </row>
    <row r="215" spans="1:29">
      <c r="A215" t="s">
        <v>258</v>
      </c>
    </row>
    <row r="216" spans="1:29">
      <c r="D216" t="s">
        <v>259</v>
      </c>
      <c r="F216" s="339" t="s">
        <v>260</v>
      </c>
      <c r="I216">
        <f ca="1">(+I153*I53)+(I154*I64)</f>
        <v>0</v>
      </c>
      <c r="J216">
        <f t="shared" ref="J216:Y216" ca="1" si="95">(+J153*J53)+(J154*J64)</f>
        <v>5302.0347174232656</v>
      </c>
      <c r="K216">
        <f t="shared" ca="1" si="95"/>
        <v>4652.4844968051375</v>
      </c>
      <c r="L216">
        <f t="shared" ca="1" si="95"/>
        <v>4483.1206591745822</v>
      </c>
      <c r="M216">
        <f t="shared" ca="1" si="95"/>
        <v>4271.2285033561548</v>
      </c>
      <c r="N216">
        <f t="shared" ca="1" si="95"/>
        <v>3427.8393329301971</v>
      </c>
      <c r="O216">
        <f t="shared" ca="1" si="95"/>
        <v>2695.7527308756894</v>
      </c>
      <c r="P216">
        <f t="shared" ca="1" si="95"/>
        <v>2123.3750965566242</v>
      </c>
      <c r="Q216">
        <f t="shared" ca="1" si="95"/>
        <v>1675.3466594013653</v>
      </c>
      <c r="R216">
        <f t="shared" ca="1" si="95"/>
        <v>1324.4544797443923</v>
      </c>
      <c r="S216">
        <f t="shared" ca="1" si="95"/>
        <v>1049.3435258281943</v>
      </c>
      <c r="T216">
        <f t="shared" ca="1" si="95"/>
        <v>832.87366078745163</v>
      </c>
      <c r="U216">
        <f t="shared" ca="1" si="95"/>
        <v>662.21170785062611</v>
      </c>
      <c r="V216">
        <f t="shared" ca="1" si="95"/>
        <v>527.06465728691069</v>
      </c>
      <c r="W216">
        <f t="shared" ca="1" si="95"/>
        <v>419.74172892310094</v>
      </c>
      <c r="X216">
        <f t="shared" ca="1" si="95"/>
        <v>337.89934757780964</v>
      </c>
      <c r="Y216">
        <f t="shared" ca="1" si="95"/>
        <v>271.90716922020272</v>
      </c>
      <c r="Z216">
        <f ca="1">(+Z153*Z53)+(Z154*Z64)</f>
        <v>217.44794145610663</v>
      </c>
      <c r="AA216">
        <f ca="1">(+AA153*AA53)+(AA154*AA64)</f>
        <v>173.94185085111107</v>
      </c>
      <c r="AB216">
        <f ca="1">(+AB153*AB53)+(AB154*AB64)</f>
        <v>139.17495263526538</v>
      </c>
      <c r="AC216">
        <f ca="1">(+AC153*AC53)+(AC154*AC64)</f>
        <v>111.12001229996537</v>
      </c>
    </row>
    <row r="217" spans="1:29">
      <c r="F217" t="s">
        <v>261</v>
      </c>
      <c r="I217">
        <f ca="1">+I152*$H$73</f>
        <v>533.38022390246761</v>
      </c>
      <c r="J217">
        <f t="shared" ref="J217:Y217" ca="1" si="96">+J152*$H$73</f>
        <v>1061.4443805470985</v>
      </c>
      <c r="K217">
        <f t="shared" ca="1" si="96"/>
        <v>1050.8828324946435</v>
      </c>
      <c r="L217">
        <f t="shared" ca="1" si="96"/>
        <v>1040.4263736011765</v>
      </c>
      <c r="M217">
        <f t="shared" ca="1" si="96"/>
        <v>989.16351494622961</v>
      </c>
      <c r="N217">
        <f t="shared" ca="1" si="96"/>
        <v>788.62212547026093</v>
      </c>
      <c r="O217">
        <f t="shared" ca="1" si="96"/>
        <v>615.62930614550078</v>
      </c>
      <c r="P217">
        <f t="shared" ca="1" si="96"/>
        <v>480.58433861361777</v>
      </c>
      <c r="Q217">
        <f t="shared" ca="1" si="96"/>
        <v>375.16294987117112</v>
      </c>
      <c r="R217">
        <f t="shared" ca="1" si="96"/>
        <v>292.86688651166685</v>
      </c>
      <c r="S217">
        <f t="shared" ca="1" si="96"/>
        <v>228.62335751568966</v>
      </c>
      <c r="T217">
        <f t="shared" ca="1" si="96"/>
        <v>178.47234361083926</v>
      </c>
      <c r="U217">
        <f t="shared" ca="1" si="96"/>
        <v>139.32249871607956</v>
      </c>
      <c r="V217">
        <f t="shared" ca="1" si="96"/>
        <v>108.7605970526019</v>
      </c>
      <c r="W217">
        <f t="shared" ca="1" si="96"/>
        <v>84.902780098310387</v>
      </c>
      <c r="X217">
        <f t="shared" ca="1" si="96"/>
        <v>66.278434136727668</v>
      </c>
      <c r="Y217">
        <f t="shared" ca="1" si="96"/>
        <v>51.739540525410497</v>
      </c>
      <c r="Z217">
        <f ca="1">+Z152*$H$73</f>
        <v>40.38991096648688</v>
      </c>
      <c r="AA217">
        <f ca="1">+AA152*$H$73</f>
        <v>31.529945788357857</v>
      </c>
      <c r="AB217">
        <f ca="1">+AB152*$H$73</f>
        <v>24.613510097649407</v>
      </c>
      <c r="AC217">
        <f ca="1">+AC152*$H$73</f>
        <v>19.214269615103003</v>
      </c>
    </row>
    <row r="218" spans="1:29">
      <c r="F218" t="s">
        <v>262</v>
      </c>
      <c r="I218">
        <f ca="1">I23</f>
        <v>10000</v>
      </c>
    </row>
    <row r="219" spans="1:29">
      <c r="F219" s="339" t="s">
        <v>263</v>
      </c>
      <c r="H219">
        <f ca="1">XNPV(H220,I219:AC219,I94:AC94)</f>
        <v>15149.858775141402</v>
      </c>
      <c r="I219">
        <f ca="1">I216-I217-I218</f>
        <v>-10533.380223902468</v>
      </c>
      <c r="J219">
        <f t="shared" ref="J219:Y219" ca="1" si="97">J216-J217-J218</f>
        <v>4240.5903368761674</v>
      </c>
      <c r="K219">
        <f t="shared" ca="1" si="97"/>
        <v>3601.601664310494</v>
      </c>
      <c r="L219">
        <f t="shared" ca="1" si="97"/>
        <v>3442.694285573406</v>
      </c>
      <c r="M219">
        <f t="shared" ca="1" si="97"/>
        <v>3282.0649884099253</v>
      </c>
      <c r="N219">
        <f t="shared" ca="1" si="97"/>
        <v>2639.2172074599362</v>
      </c>
      <c r="O219">
        <f t="shared" ca="1" si="97"/>
        <v>2080.1234247301886</v>
      </c>
      <c r="P219">
        <f t="shared" ca="1" si="97"/>
        <v>1642.7907579430064</v>
      </c>
      <c r="Q219">
        <f t="shared" ca="1" si="97"/>
        <v>1300.1837095301942</v>
      </c>
      <c r="R219">
        <f t="shared" ca="1" si="97"/>
        <v>1031.5875932327253</v>
      </c>
      <c r="S219">
        <f t="shared" ca="1" si="97"/>
        <v>820.7201683125046</v>
      </c>
      <c r="T219">
        <f t="shared" ca="1" si="97"/>
        <v>654.40131717661234</v>
      </c>
      <c r="U219">
        <f t="shared" ca="1" si="97"/>
        <v>522.88920913454649</v>
      </c>
      <c r="V219">
        <f t="shared" ca="1" si="97"/>
        <v>418.30406023430879</v>
      </c>
      <c r="W219">
        <f t="shared" ca="1" si="97"/>
        <v>334.83894882479058</v>
      </c>
      <c r="X219">
        <f t="shared" ca="1" si="97"/>
        <v>271.62091344108194</v>
      </c>
      <c r="Y219">
        <f t="shared" ca="1" si="97"/>
        <v>220.16762869479223</v>
      </c>
      <c r="Z219">
        <f ca="1">Z216-Z217-Z218</f>
        <v>177.05803048961974</v>
      </c>
      <c r="AA219">
        <f ca="1">AA216-AA217-AA218</f>
        <v>142.41190506275322</v>
      </c>
      <c r="AB219">
        <f ca="1">AB216-AB217-AB218</f>
        <v>114.56144253761597</v>
      </c>
      <c r="AC219">
        <f ca="1">AC216-AC217-AC218</f>
        <v>91.905742684862361</v>
      </c>
    </row>
    <row r="220" spans="1:29">
      <c r="F220" s="6" t="s">
        <v>264</v>
      </c>
      <c r="H220" s="704">
        <v>0.01</v>
      </c>
      <c r="I220">
        <f ca="1">NPV(10%,I219:$AC219)</f>
        <v>6321.962414942509</v>
      </c>
      <c r="J220">
        <f ca="1">NPV(10%,J219:$AC219)</f>
        <v>17487.538880339231</v>
      </c>
      <c r="K220">
        <f ca="1">NPV(10%,K219:$AC219)</f>
        <v>14995.702431496988</v>
      </c>
      <c r="L220">
        <f ca="1">NPV(10%,L219:$AC219)</f>
        <v>12893.671010336195</v>
      </c>
      <c r="M220">
        <f ca="1">NPV(10%,M219:$AC219)</f>
        <v>10740.343825796404</v>
      </c>
      <c r="N220">
        <f ca="1">NPV(10%,N219:$AC219)</f>
        <v>8532.3132199661213</v>
      </c>
      <c r="O220">
        <f ca="1">NPV(10%,O219:$AC219)</f>
        <v>6746.3273345027992</v>
      </c>
      <c r="P220">
        <f ca="1">NPV(10%,P219:$AC219)</f>
        <v>5340.8366432228922</v>
      </c>
      <c r="Q220">
        <f ca="1">NPV(10%,Q219:$AC219)</f>
        <v>4232.1295496021739</v>
      </c>
      <c r="R220">
        <f ca="1">NPV(10%,R219:$AC219)</f>
        <v>3355.1587950321987</v>
      </c>
      <c r="S220">
        <f ca="1">NPV(10%,S219:$AC219)</f>
        <v>2659.0870813026927</v>
      </c>
      <c r="T220">
        <f ca="1">NPV(10%,T219:$AC219)</f>
        <v>2104.2756211204583</v>
      </c>
      <c r="U220">
        <f ca="1">NPV(10%,U219:$AC219)</f>
        <v>1660.3018660558919</v>
      </c>
      <c r="V220">
        <f ca="1">NPV(10%,V219:$AC219)</f>
        <v>1303.4428435269351</v>
      </c>
      <c r="W220">
        <f ca="1">NPV(10%,W219:$AC219)</f>
        <v>1015.4830676453198</v>
      </c>
      <c r="X220">
        <f ca="1">NPV(10%,X219:$AC219)</f>
        <v>782.19242558506141</v>
      </c>
      <c r="Y220">
        <f ca="1">NPV(10%,Y219:$AC219)</f>
        <v>588.79075470248574</v>
      </c>
      <c r="Z220">
        <f ca="1">NPV(10%,Z219:$AC219)</f>
        <v>427.50220147794215</v>
      </c>
      <c r="AA220">
        <f ca="1">NPV(10%,AA219:$AC219)</f>
        <v>293.19439113611668</v>
      </c>
      <c r="AB220">
        <f ca="1">NPV(10%,AB219:$AC219)</f>
        <v>180.10192518697514</v>
      </c>
      <c r="AC220">
        <f ca="1">NPV(10%,AC219:$AC219)</f>
        <v>83.550675168056685</v>
      </c>
    </row>
    <row r="221" spans="1:29">
      <c r="F221" s="339"/>
    </row>
    <row r="222" spans="1:29">
      <c r="D222" t="s">
        <v>259</v>
      </c>
      <c r="F222" s="339" t="s">
        <v>265</v>
      </c>
      <c r="J222">
        <f ca="1">(+J156*J$53)+(J157*J$64)</f>
        <v>2664.2945372797076</v>
      </c>
      <c r="K222">
        <f t="shared" ref="K222:Z222" ca="1" si="98">(+K156*K$53)+(K157*K$64)</f>
        <v>4699.2427433545317</v>
      </c>
      <c r="L222">
        <f t="shared" ca="1" si="98"/>
        <v>4528.1767708577727</v>
      </c>
      <c r="M222">
        <f t="shared" ca="1" si="98"/>
        <v>4492.58258662158</v>
      </c>
      <c r="N222">
        <f t="shared" ca="1" si="98"/>
        <v>4299.5161988516084</v>
      </c>
      <c r="O222">
        <f t="shared" ca="1" si="98"/>
        <v>3453.2635583514502</v>
      </c>
      <c r="P222">
        <f t="shared" ca="1" si="98"/>
        <v>2720.0468936437146</v>
      </c>
      <c r="Q222">
        <f t="shared" ca="1" si="98"/>
        <v>2146.1217493183208</v>
      </c>
      <c r="R222">
        <f t="shared" ca="1" si="98"/>
        <v>1696.62830615437</v>
      </c>
      <c r="S222">
        <f t="shared" ca="1" si="98"/>
        <v>1344.2107343270377</v>
      </c>
      <c r="T222">
        <f t="shared" ca="1" si="98"/>
        <v>1066.9124911073686</v>
      </c>
      <c r="U222">
        <f t="shared" ca="1" si="98"/>
        <v>848.29425653272074</v>
      </c>
      <c r="V222">
        <f t="shared" ca="1" si="98"/>
        <v>675.17066868096799</v>
      </c>
      <c r="W222">
        <f t="shared" ca="1" si="98"/>
        <v>537.68982585384526</v>
      </c>
      <c r="X222">
        <f t="shared" ca="1" si="98"/>
        <v>432.84960449697417</v>
      </c>
      <c r="Y222">
        <f t="shared" ca="1" si="98"/>
        <v>348.31351850939711</v>
      </c>
      <c r="Z222">
        <f t="shared" ca="1" si="98"/>
        <v>278.55116067154586</v>
      </c>
      <c r="AA222">
        <f ca="1">(+AA156*AA$53)+(AA157*AA$64)</f>
        <v>222.81978904690715</v>
      </c>
      <c r="AB222">
        <f ca="1">(+AB156*AB$53)+(AB157*AB$64)</f>
        <v>178.28333684541246</v>
      </c>
      <c r="AC222">
        <f ca="1">(+AC156*AC$53)+(AC157*AC$64)</f>
        <v>142.34491342029926</v>
      </c>
    </row>
    <row r="223" spans="1:29">
      <c r="F223" t="s">
        <v>266</v>
      </c>
      <c r="J223">
        <f ca="1">+J155*$H$73</f>
        <v>533.38022390246761</v>
      </c>
      <c r="K223">
        <f t="shared" ref="K223:Z223" ca="1" si="99">+K155*$H$73</f>
        <v>1061.4443805470985</v>
      </c>
      <c r="L223">
        <f t="shared" ca="1" si="99"/>
        <v>1050.8828324946435</v>
      </c>
      <c r="M223">
        <f t="shared" ca="1" si="99"/>
        <v>1040.4263736011765</v>
      </c>
      <c r="N223">
        <f t="shared" ca="1" si="99"/>
        <v>989.16351494622961</v>
      </c>
      <c r="O223">
        <f t="shared" ca="1" si="99"/>
        <v>788.62212547026093</v>
      </c>
      <c r="P223">
        <f t="shared" ca="1" si="99"/>
        <v>615.62930614550078</v>
      </c>
      <c r="Q223">
        <f t="shared" ca="1" si="99"/>
        <v>480.58433861361777</v>
      </c>
      <c r="R223">
        <f t="shared" ca="1" si="99"/>
        <v>375.16294987117112</v>
      </c>
      <c r="S223">
        <f t="shared" ca="1" si="99"/>
        <v>292.86688651166685</v>
      </c>
      <c r="T223">
        <f t="shared" ca="1" si="99"/>
        <v>228.62335751568966</v>
      </c>
      <c r="U223">
        <f t="shared" ca="1" si="99"/>
        <v>178.47234361083926</v>
      </c>
      <c r="V223">
        <f t="shared" ca="1" si="99"/>
        <v>139.32249871607956</v>
      </c>
      <c r="W223">
        <f t="shared" ca="1" si="99"/>
        <v>108.7605970526019</v>
      </c>
      <c r="X223">
        <f t="shared" ca="1" si="99"/>
        <v>84.902780098310387</v>
      </c>
      <c r="Y223">
        <f t="shared" ca="1" si="99"/>
        <v>66.278434136727668</v>
      </c>
      <c r="Z223">
        <f t="shared" ca="1" si="99"/>
        <v>51.739540525410497</v>
      </c>
      <c r="AA223">
        <f ca="1">+AA155*$H$73</f>
        <v>40.38991096648688</v>
      </c>
      <c r="AB223">
        <f ca="1">+AB155*$H$73</f>
        <v>31.529945788357857</v>
      </c>
      <c r="AC223">
        <f ca="1">+AC155*$H$73</f>
        <v>24.613510097649407</v>
      </c>
    </row>
    <row r="224" spans="1:29">
      <c r="F224" t="s">
        <v>267</v>
      </c>
      <c r="J224">
        <f ca="1">J$23</f>
        <v>10000</v>
      </c>
    </row>
    <row r="225" spans="4:29">
      <c r="F225" s="339" t="s">
        <v>268</v>
      </c>
      <c r="J225">
        <f t="shared" ref="J225:Y225" ca="1" si="100">J222-J223-J224</f>
        <v>-7869.0856866227605</v>
      </c>
      <c r="K225">
        <f t="shared" ca="1" si="100"/>
        <v>3637.7983628074335</v>
      </c>
      <c r="L225">
        <f t="shared" ca="1" si="100"/>
        <v>3477.2939383631292</v>
      </c>
      <c r="M225">
        <f t="shared" ca="1" si="100"/>
        <v>3452.1562130204038</v>
      </c>
      <c r="N225">
        <f t="shared" ca="1" si="100"/>
        <v>3310.3526839053789</v>
      </c>
      <c r="O225">
        <f t="shared" ca="1" si="100"/>
        <v>2664.6414328811893</v>
      </c>
      <c r="P225">
        <f t="shared" ca="1" si="100"/>
        <v>2104.4175874982138</v>
      </c>
      <c r="Q225">
        <f t="shared" ca="1" si="100"/>
        <v>1665.537410704703</v>
      </c>
      <c r="R225">
        <f t="shared" ca="1" si="100"/>
        <v>1321.4653562831988</v>
      </c>
      <c r="S225">
        <f t="shared" ca="1" si="100"/>
        <v>1051.3438478153707</v>
      </c>
      <c r="T225">
        <f t="shared" ca="1" si="100"/>
        <v>838.28913359167893</v>
      </c>
      <c r="U225">
        <f t="shared" ca="1" si="100"/>
        <v>669.82191292188145</v>
      </c>
      <c r="V225">
        <f t="shared" ca="1" si="100"/>
        <v>535.84816996488848</v>
      </c>
      <c r="W225">
        <f t="shared" ca="1" si="100"/>
        <v>428.92922880124337</v>
      </c>
      <c r="X225">
        <f t="shared" ca="1" si="100"/>
        <v>347.94682439866381</v>
      </c>
      <c r="Y225">
        <f t="shared" ca="1" si="100"/>
        <v>282.03508437266942</v>
      </c>
      <c r="Z225">
        <f ca="1">Z222-Z223-Z224</f>
        <v>226.81162014613537</v>
      </c>
      <c r="AA225">
        <f ca="1">AA222-AA223-AA224</f>
        <v>182.42987808042028</v>
      </c>
      <c r="AB225">
        <f ca="1">AB222-AB223-AB224</f>
        <v>146.75339105705461</v>
      </c>
      <c r="AC225">
        <f ca="1">AC222-AC223-AC224</f>
        <v>117.73140332264985</v>
      </c>
    </row>
    <row r="226" spans="4:29">
      <c r="F226" s="6" t="s">
        <v>264</v>
      </c>
      <c r="H226" s="704">
        <f ca="1">XIRR(J225:AC225,J94:AC94)</f>
        <v>0.38425922989845285</v>
      </c>
      <c r="J226">
        <f ca="1">NPV(10%,J225:$AC225)</f>
        <v>8244.6476908629193</v>
      </c>
      <c r="K226">
        <f ca="1">NPV(10%,K225:$AC225)</f>
        <v>16938.198146571969</v>
      </c>
      <c r="L226">
        <f ca="1">NPV(10%,L225:$AC225)</f>
        <v>14994.219598421738</v>
      </c>
      <c r="M226">
        <f ca="1">NPV(10%,M225:$AC225)</f>
        <v>13016.347619900787</v>
      </c>
      <c r="N226">
        <f ca="1">NPV(10%,N225:$AC225)</f>
        <v>10865.826168870462</v>
      </c>
      <c r="O226">
        <f ca="1">NPV(10%,O225:$AC225)</f>
        <v>8642.0561018521294</v>
      </c>
      <c r="P226">
        <f ca="1">NPV(10%,P225:$AC225)</f>
        <v>6841.6202791561518</v>
      </c>
      <c r="Q226">
        <f ca="1">NPV(10%,Q225:$AC225)</f>
        <v>5421.3647195735566</v>
      </c>
      <c r="R226">
        <f ca="1">NPV(10%,R225:$AC225)</f>
        <v>4297.9637808262096</v>
      </c>
      <c r="S226">
        <f ca="1">NPV(10%,S225:$AC225)</f>
        <v>3406.2948026256308</v>
      </c>
      <c r="T226">
        <f ca="1">NPV(10%,T225:$AC225)</f>
        <v>2695.5804350728235</v>
      </c>
      <c r="U226">
        <f ca="1">NPV(10%,U225:$AC225)</f>
        <v>2126.8493449884272</v>
      </c>
      <c r="V226">
        <f ca="1">NPV(10%,V225:$AC225)</f>
        <v>1669.7123665653887</v>
      </c>
      <c r="W226">
        <f ca="1">NPV(10%,W225:$AC225)</f>
        <v>1300.8354332570391</v>
      </c>
      <c r="X226">
        <f ca="1">NPV(10%,X225:$AC225)</f>
        <v>1001.9897477814997</v>
      </c>
      <c r="Y226">
        <f ca="1">NPV(10%,Y225:$AC225)</f>
        <v>754.24189816098612</v>
      </c>
      <c r="Z226">
        <f ca="1">NPV(10%,Z225:$AC225)</f>
        <v>547.63100360441524</v>
      </c>
      <c r="AA226">
        <f ca="1">NPV(10%,AA225:$AC225)</f>
        <v>375.58248381872158</v>
      </c>
      <c r="AB226">
        <f ca="1">NPV(10%,AB225:$AC225)</f>
        <v>230.71085412017348</v>
      </c>
      <c r="AC226">
        <f ca="1">NPV(10%,AC225:$AC225)</f>
        <v>107.02854847513622</v>
      </c>
    </row>
    <row r="227" spans="4:29">
      <c r="F227" s="339"/>
    </row>
    <row r="228" spans="4:29">
      <c r="D228" t="s">
        <v>259</v>
      </c>
      <c r="F228" s="339" t="s">
        <v>269</v>
      </c>
      <c r="K228">
        <f ca="1">(+K159*K$53)+(K160*K$64)</f>
        <v>2361.3890586811281</v>
      </c>
      <c r="L228">
        <f t="shared" ref="L228:AA228" ca="1" si="101">(+L159*L$53)+(L160*L$64)</f>
        <v>4573.6857039915431</v>
      </c>
      <c r="M228">
        <f t="shared" ca="1" si="101"/>
        <v>4537.7337922565503</v>
      </c>
      <c r="N228">
        <f t="shared" ca="1" si="101"/>
        <v>4522.3362764788817</v>
      </c>
      <c r="O228">
        <f t="shared" ca="1" si="101"/>
        <v>4331.4056366066998</v>
      </c>
      <c r="P228">
        <f t="shared" ca="1" si="101"/>
        <v>3484.3844196999721</v>
      </c>
      <c r="Q228">
        <f t="shared" ca="1" si="101"/>
        <v>2749.1853921998954</v>
      </c>
      <c r="R228">
        <f t="shared" ca="1" si="101"/>
        <v>2173.3835728350446</v>
      </c>
      <c r="S228">
        <f t="shared" ca="1" si="101"/>
        <v>1721.9360998619932</v>
      </c>
      <c r="T228">
        <f t="shared" ca="1" si="101"/>
        <v>1366.7166069397708</v>
      </c>
      <c r="U228">
        <f t="shared" ca="1" si="101"/>
        <v>1086.6662989122519</v>
      </c>
      <c r="V228">
        <f t="shared" ca="1" si="101"/>
        <v>864.89470607580108</v>
      </c>
      <c r="W228">
        <f t="shared" ca="1" si="101"/>
        <v>688.78152660324395</v>
      </c>
      <c r="X228">
        <f t="shared" ca="1" si="101"/>
        <v>554.48103542148147</v>
      </c>
      <c r="Y228">
        <f t="shared" ca="1" si="101"/>
        <v>446.19017411101731</v>
      </c>
      <c r="Z228">
        <f t="shared" ca="1" si="101"/>
        <v>356.82448218130213</v>
      </c>
      <c r="AA228">
        <f t="shared" ca="1" si="101"/>
        <v>285.43250602413076</v>
      </c>
      <c r="AB228">
        <f ca="1">(+AB159*AB$53)+(AB160*AB$64)</f>
        <v>228.3812395469848</v>
      </c>
      <c r="AC228">
        <f ca="1">(+AC159*AC$53)+(AC160*AC$64)</f>
        <v>182.3440616793273</v>
      </c>
    </row>
    <row r="229" spans="4:29">
      <c r="F229" t="s">
        <v>270</v>
      </c>
      <c r="K229">
        <f ca="1">+K158*$H$73</f>
        <v>533.38022390246761</v>
      </c>
      <c r="L229">
        <f t="shared" ref="L229:AA229" ca="1" si="102">+L158*$H$73</f>
        <v>1061.4443805470985</v>
      </c>
      <c r="M229">
        <f t="shared" ca="1" si="102"/>
        <v>1050.8828324946435</v>
      </c>
      <c r="N229">
        <f t="shared" ca="1" si="102"/>
        <v>1040.4263736011765</v>
      </c>
      <c r="O229">
        <f t="shared" ca="1" si="102"/>
        <v>989.16351494622961</v>
      </c>
      <c r="P229">
        <f t="shared" ca="1" si="102"/>
        <v>788.62212547026093</v>
      </c>
      <c r="Q229">
        <f t="shared" ca="1" si="102"/>
        <v>615.62930614550078</v>
      </c>
      <c r="R229">
        <f t="shared" ca="1" si="102"/>
        <v>480.58433861361777</v>
      </c>
      <c r="S229">
        <f t="shared" ca="1" si="102"/>
        <v>375.16294987117112</v>
      </c>
      <c r="T229">
        <f t="shared" ca="1" si="102"/>
        <v>292.86688651166685</v>
      </c>
      <c r="U229">
        <f t="shared" ca="1" si="102"/>
        <v>228.62335751568966</v>
      </c>
      <c r="V229">
        <f t="shared" ca="1" si="102"/>
        <v>178.47234361083926</v>
      </c>
      <c r="W229">
        <f t="shared" ca="1" si="102"/>
        <v>139.32249871607956</v>
      </c>
      <c r="X229">
        <f t="shared" ca="1" si="102"/>
        <v>108.7605970526019</v>
      </c>
      <c r="Y229">
        <f t="shared" ca="1" si="102"/>
        <v>84.902780098310387</v>
      </c>
      <c r="Z229">
        <f t="shared" ca="1" si="102"/>
        <v>66.278434136727668</v>
      </c>
      <c r="AA229">
        <f t="shared" ca="1" si="102"/>
        <v>51.739540525410497</v>
      </c>
      <c r="AB229">
        <f ca="1">+AB158*$H$73</f>
        <v>40.38991096648688</v>
      </c>
      <c r="AC229">
        <f ca="1">+AC158*$H$73</f>
        <v>31.529945788357857</v>
      </c>
    </row>
    <row r="230" spans="4:29">
      <c r="F230" t="s">
        <v>271</v>
      </c>
      <c r="K230">
        <f ca="1">K$23</f>
        <v>10000</v>
      </c>
    </row>
    <row r="231" spans="4:29">
      <c r="F231" s="339" t="s">
        <v>272</v>
      </c>
      <c r="K231">
        <f ca="1">K228-K229-K230</f>
        <v>-8171.9911652213395</v>
      </c>
      <c r="L231">
        <f t="shared" ref="L231:AA231" ca="1" si="103">+L228-L229-L230</f>
        <v>3512.2413234444448</v>
      </c>
      <c r="M231">
        <f t="shared" ca="1" si="103"/>
        <v>3486.8509597619068</v>
      </c>
      <c r="N231">
        <f t="shared" ca="1" si="103"/>
        <v>3481.9099028777055</v>
      </c>
      <c r="O231">
        <f t="shared" ca="1" si="103"/>
        <v>3342.2421216604703</v>
      </c>
      <c r="P231">
        <f t="shared" ca="1" si="103"/>
        <v>2695.7622942297112</v>
      </c>
      <c r="Q231">
        <f t="shared" ca="1" si="103"/>
        <v>2133.5560860543947</v>
      </c>
      <c r="R231">
        <f t="shared" ca="1" si="103"/>
        <v>1692.7992342214268</v>
      </c>
      <c r="S231">
        <f t="shared" ca="1" si="103"/>
        <v>1346.773149990822</v>
      </c>
      <c r="T231">
        <f t="shared" ca="1" si="103"/>
        <v>1073.8497204281039</v>
      </c>
      <c r="U231">
        <f t="shared" ca="1" si="103"/>
        <v>858.04294139656224</v>
      </c>
      <c r="V231">
        <f t="shared" ca="1" si="103"/>
        <v>686.42236246496179</v>
      </c>
      <c r="W231">
        <f t="shared" ca="1" si="103"/>
        <v>549.45902788716444</v>
      </c>
      <c r="X231">
        <f t="shared" ca="1" si="103"/>
        <v>445.72043836887957</v>
      </c>
      <c r="Y231">
        <f t="shared" ca="1" si="103"/>
        <v>361.28739401270695</v>
      </c>
      <c r="Z231">
        <f t="shared" ca="1" si="103"/>
        <v>290.54604804457449</v>
      </c>
      <c r="AA231">
        <f t="shared" ca="1" si="103"/>
        <v>233.69296549872027</v>
      </c>
      <c r="AB231">
        <f ca="1">+AB228-AB229-AB230</f>
        <v>187.99132858049791</v>
      </c>
      <c r="AC231">
        <f ca="1">+AC228-AC229-AC230</f>
        <v>150.81411589096945</v>
      </c>
    </row>
    <row r="232" spans="4:29">
      <c r="F232" s="6" t="s">
        <v>264</v>
      </c>
      <c r="H232" s="704">
        <f ca="1">XIRR(K231:AC231,K94:AC94)</f>
        <v>0.36264284253120427</v>
      </c>
      <c r="K232">
        <f ca="1">NPV(10%,K231:$AC231)</f>
        <v>7988.6123830053057</v>
      </c>
      <c r="L232">
        <f ca="1">NPV(10%,L231:$AC231)</f>
        <v>16959.464786527176</v>
      </c>
      <c r="M232">
        <f ca="1">NPV(10%,M231:$AC231)</f>
        <v>15143.16994173545</v>
      </c>
      <c r="N232">
        <f ca="1">NPV(10%,N231:$AC231)</f>
        <v>13170.635976147094</v>
      </c>
      <c r="O232">
        <f ca="1">NPV(10%,O231:$AC231)</f>
        <v>11005.789670884096</v>
      </c>
      <c r="P232">
        <f ca="1">NPV(10%,P231:$AC231)</f>
        <v>8764.1265163120388</v>
      </c>
      <c r="Q232">
        <f ca="1">NPV(10%,Q231:$AC231)</f>
        <v>6944.776873713533</v>
      </c>
      <c r="R232">
        <f ca="1">NPV(10%,R231:$AC231)</f>
        <v>5505.6984750304928</v>
      </c>
      <c r="S232">
        <f ca="1">NPV(10%,S231:$AC231)</f>
        <v>4363.4690883121139</v>
      </c>
      <c r="T232">
        <f ca="1">NPV(10%,T231:$AC231)</f>
        <v>3453.0428471525042</v>
      </c>
      <c r="U232">
        <f ca="1">NPV(10%,U231:$AC231)</f>
        <v>2724.4974114396514</v>
      </c>
      <c r="V232">
        <f ca="1">NPV(10%,V231:$AC231)</f>
        <v>2138.9042111870544</v>
      </c>
      <c r="W232">
        <f ca="1">NPV(10%,W231:$AC231)</f>
        <v>1666.3722698407983</v>
      </c>
      <c r="X232">
        <f ca="1">NPV(10%,X231:$AC231)</f>
        <v>1283.550468937714</v>
      </c>
      <c r="Y232">
        <f ca="1">NPV(10%,Y231:$AC231)</f>
        <v>966.18507746260582</v>
      </c>
      <c r="Z232">
        <f ca="1">NPV(10%,Z231:$AC231)</f>
        <v>701.51619119615953</v>
      </c>
      <c r="AA232">
        <f ca="1">NPV(10%,AA231:$AC231)</f>
        <v>481.12176227120108</v>
      </c>
      <c r="AB232">
        <f ca="1">NPV(10%,AB231:$AC231)</f>
        <v>295.54097299960091</v>
      </c>
      <c r="AC232">
        <f ca="1">NPV(10%,AC231:$AC231)</f>
        <v>137.10374171906312</v>
      </c>
    </row>
    <row r="233" spans="4:29">
      <c r="F233" s="339"/>
    </row>
    <row r="234" spans="4:29">
      <c r="F234" s="339" t="s">
        <v>273</v>
      </c>
      <c r="L234">
        <f ca="1">(+L162*L$53)+(L163*L$64)</f>
        <v>2298.2961232477669</v>
      </c>
      <c r="M234">
        <f t="shared" ref="M234:AB234" ca="1" si="104">(+M162*M$53)+(M163*M$64)</f>
        <v>4583.3387750522052</v>
      </c>
      <c r="N234">
        <f t="shared" ca="1" si="104"/>
        <v>4567.7865116682888</v>
      </c>
      <c r="O234">
        <f t="shared" ca="1" si="104"/>
        <v>4555.8783669203331</v>
      </c>
      <c r="P234">
        <f t="shared" ca="1" si="104"/>
        <v>4370.4403271199817</v>
      </c>
      <c r="Q234">
        <f t="shared" ca="1" si="104"/>
        <v>3521.7108829384779</v>
      </c>
      <c r="R234">
        <f t="shared" ca="1" si="104"/>
        <v>2784.1078317123392</v>
      </c>
      <c r="S234">
        <f t="shared" ca="1" si="104"/>
        <v>2205.8028970378332</v>
      </c>
      <c r="T234">
        <f t="shared" ca="1" si="104"/>
        <v>1750.7661586623803</v>
      </c>
      <c r="U234">
        <f t="shared" ca="1" si="104"/>
        <v>1392.0212663211682</v>
      </c>
      <c r="V234">
        <f t="shared" ca="1" si="104"/>
        <v>1107.9315013185383</v>
      </c>
      <c r="W234">
        <f t="shared" ca="1" si="104"/>
        <v>882.33023683593387</v>
      </c>
      <c r="X234">
        <f t="shared" ca="1" si="104"/>
        <v>710.29109290598285</v>
      </c>
      <c r="Y234">
        <f t="shared" ca="1" si="104"/>
        <v>571.57032642661795</v>
      </c>
      <c r="Z234">
        <f t="shared" ca="1" si="104"/>
        <v>457.09273218246744</v>
      </c>
      <c r="AA234">
        <f t="shared" ca="1" si="104"/>
        <v>365.63949658019078</v>
      </c>
      <c r="AB234">
        <f t="shared" ca="1" si="104"/>
        <v>292.55673300664591</v>
      </c>
      <c r="AC234">
        <f ca="1">(+AC162*AC$53)+(AC163*AC$64)</f>
        <v>233.58303455171273</v>
      </c>
    </row>
    <row r="235" spans="4:29">
      <c r="F235" t="s">
        <v>274</v>
      </c>
      <c r="L235">
        <f ca="1">+L161*$H$73</f>
        <v>533.38022390246761</v>
      </c>
      <c r="M235">
        <f t="shared" ref="M235:AB235" ca="1" si="105">+M161*$H$73</f>
        <v>1061.4443805470985</v>
      </c>
      <c r="N235">
        <f t="shared" ca="1" si="105"/>
        <v>1050.8828324946435</v>
      </c>
      <c r="O235">
        <f t="shared" ca="1" si="105"/>
        <v>1040.4263736011765</v>
      </c>
      <c r="P235">
        <f t="shared" ca="1" si="105"/>
        <v>989.16351494622961</v>
      </c>
      <c r="Q235">
        <f t="shared" ca="1" si="105"/>
        <v>788.62212547026093</v>
      </c>
      <c r="R235">
        <f t="shared" ca="1" si="105"/>
        <v>615.62930614550078</v>
      </c>
      <c r="S235">
        <f t="shared" ca="1" si="105"/>
        <v>480.58433861361777</v>
      </c>
      <c r="T235">
        <f t="shared" ca="1" si="105"/>
        <v>375.16294987117112</v>
      </c>
      <c r="U235">
        <f t="shared" ca="1" si="105"/>
        <v>292.86688651166685</v>
      </c>
      <c r="V235">
        <f t="shared" ca="1" si="105"/>
        <v>228.62335751568966</v>
      </c>
      <c r="W235">
        <f t="shared" ca="1" si="105"/>
        <v>178.47234361083926</v>
      </c>
      <c r="X235">
        <f t="shared" ca="1" si="105"/>
        <v>139.32249871607956</v>
      </c>
      <c r="Y235">
        <f t="shared" ca="1" si="105"/>
        <v>108.7605970526019</v>
      </c>
      <c r="Z235">
        <f t="shared" ca="1" si="105"/>
        <v>84.902780098310387</v>
      </c>
      <c r="AA235">
        <f t="shared" ca="1" si="105"/>
        <v>66.278434136727668</v>
      </c>
      <c r="AB235">
        <f t="shared" ca="1" si="105"/>
        <v>51.739540525410497</v>
      </c>
      <c r="AC235">
        <f ca="1">+AC161*$H$73</f>
        <v>40.38991096648688</v>
      </c>
    </row>
    <row r="236" spans="4:29">
      <c r="F236" t="s">
        <v>275</v>
      </c>
      <c r="L236">
        <f ca="1">L$23</f>
        <v>10000</v>
      </c>
    </row>
    <row r="237" spans="4:29">
      <c r="F237" s="339" t="s">
        <v>276</v>
      </c>
      <c r="L237">
        <f ca="1">L234-L235-L236</f>
        <v>-8235.0841006547016</v>
      </c>
      <c r="M237">
        <f t="shared" ref="M237:AB237" ca="1" si="106">+M234-M235-M236</f>
        <v>3521.8943945051069</v>
      </c>
      <c r="N237">
        <f t="shared" ca="1" si="106"/>
        <v>3516.9036791736453</v>
      </c>
      <c r="O237">
        <f t="shared" ca="1" si="106"/>
        <v>3515.4519933191568</v>
      </c>
      <c r="P237">
        <f t="shared" ca="1" si="106"/>
        <v>3381.2768121737522</v>
      </c>
      <c r="Q237">
        <f t="shared" ca="1" si="106"/>
        <v>2733.088757468217</v>
      </c>
      <c r="R237">
        <f t="shared" ca="1" si="106"/>
        <v>2168.4785255668385</v>
      </c>
      <c r="S237">
        <f t="shared" ca="1" si="106"/>
        <v>1725.2185584242154</v>
      </c>
      <c r="T237">
        <f t="shared" ca="1" si="106"/>
        <v>1375.6032087912092</v>
      </c>
      <c r="U237">
        <f t="shared" ca="1" si="106"/>
        <v>1099.1543798095013</v>
      </c>
      <c r="V237">
        <f t="shared" ca="1" si="106"/>
        <v>879.30814380284858</v>
      </c>
      <c r="W237">
        <f t="shared" ca="1" si="106"/>
        <v>703.85789322509459</v>
      </c>
      <c r="X237">
        <f t="shared" ca="1" si="106"/>
        <v>570.96859418990334</v>
      </c>
      <c r="Y237">
        <f t="shared" ca="1" si="106"/>
        <v>462.80972937401606</v>
      </c>
      <c r="Z237">
        <f t="shared" ca="1" si="106"/>
        <v>372.18995208415708</v>
      </c>
      <c r="AA237">
        <f t="shared" ca="1" si="106"/>
        <v>299.36106244346308</v>
      </c>
      <c r="AB237">
        <f t="shared" ca="1" si="106"/>
        <v>240.81719248123542</v>
      </c>
      <c r="AC237">
        <f ca="1">+AC234-AC235-AC236</f>
        <v>193.19312358522586</v>
      </c>
    </row>
    <row r="238" spans="4:29">
      <c r="F238" s="6" t="s">
        <v>264</v>
      </c>
      <c r="H238" s="704">
        <f ca="1">XIRR(L237:AC237,L94:AC94)</f>
        <v>0.36299154162406932</v>
      </c>
      <c r="L238">
        <f ca="1">NPV(10%,L237:$AC237)</f>
        <v>8091.0100172085013</v>
      </c>
      <c r="M238">
        <f ca="1">NPV(10%,M237:$AC237)</f>
        <v>17135.195119584056</v>
      </c>
      <c r="N238">
        <f ca="1">NPV(10%,N237:$AC237)</f>
        <v>15326.820237037353</v>
      </c>
      <c r="O238">
        <f ca="1">NPV(10%,O237:$AC237)</f>
        <v>13342.598581567448</v>
      </c>
      <c r="P238">
        <f ca="1">NPV(10%,P237:$AC237)</f>
        <v>11161.406446405035</v>
      </c>
      <c r="Q238">
        <f ca="1">NPV(10%,Q237:$AC237)</f>
        <v>8896.2702788717888</v>
      </c>
      <c r="R238">
        <f ca="1">NPV(10%,R237:$AC237)</f>
        <v>7052.8085492907494</v>
      </c>
      <c r="S238">
        <f ca="1">NPV(10%,S237:$AC237)</f>
        <v>5589.6108786529867</v>
      </c>
      <c r="T238">
        <f ca="1">NPV(10%,T237:$AC237)</f>
        <v>4423.3534080940717</v>
      </c>
      <c r="U238">
        <f ca="1">NPV(10%,U237:$AC237)</f>
        <v>3490.0855401122685</v>
      </c>
      <c r="V238">
        <f ca="1">NPV(10%,V237:$AC237)</f>
        <v>2739.9397143139959</v>
      </c>
      <c r="W238">
        <f ca="1">NPV(10%,W237:$AC237)</f>
        <v>2134.6255419425465</v>
      </c>
      <c r="X238">
        <f ca="1">NPV(10%,X237:$AC237)</f>
        <v>1644.2302029117063</v>
      </c>
      <c r="Y238">
        <f ca="1">NPV(10%,Y237:$AC237)</f>
        <v>1237.684629012974</v>
      </c>
      <c r="Z238">
        <f ca="1">NPV(10%,Z237:$AC237)</f>
        <v>898.64336254025534</v>
      </c>
      <c r="AA238">
        <f ca="1">NPV(10%,AA237:$AC237)</f>
        <v>616.31774671012408</v>
      </c>
      <c r="AB238">
        <f ca="1">NPV(10%,AB237:$AC237)</f>
        <v>378.58845893767341</v>
      </c>
      <c r="AC238">
        <f ca="1">NPV(10%,AC237:$AC237)</f>
        <v>175.63011235020531</v>
      </c>
    </row>
    <row r="239" spans="4:29">
      <c r="F239" s="339"/>
    </row>
    <row r="240" spans="4:29">
      <c r="F240" s="339" t="s">
        <v>277</v>
      </c>
      <c r="M240">
        <f ca="1">(+M165*M$53)+(M166*M$64)</f>
        <v>2303.1468316768123</v>
      </c>
      <c r="N240">
        <f t="shared" ref="N240:AC240" ca="1" si="107">(+N165*N$53)+(N166*N$64)</f>
        <v>4613.6935293153656</v>
      </c>
      <c r="O240">
        <f t="shared" ca="1" si="107"/>
        <v>4601.6657057230286</v>
      </c>
      <c r="P240">
        <f t="shared" ca="1" si="107"/>
        <v>4596.9360089397978</v>
      </c>
      <c r="Q240">
        <f t="shared" ca="1" si="107"/>
        <v>4417.2586630314909</v>
      </c>
      <c r="R240">
        <f t="shared" ca="1" si="107"/>
        <v>3566.4465837896014</v>
      </c>
      <c r="S240">
        <f t="shared" ca="1" si="107"/>
        <v>2825.6370378496922</v>
      </c>
      <c r="T240">
        <f t="shared" ca="1" si="107"/>
        <v>2242.734248456019</v>
      </c>
      <c r="U240">
        <f t="shared" ca="1" si="107"/>
        <v>1783.1814677882617</v>
      </c>
      <c r="V240">
        <f t="shared" ca="1" si="107"/>
        <v>1419.2620246034539</v>
      </c>
      <c r="W240">
        <f t="shared" ca="1" si="107"/>
        <v>1130.266444099037</v>
      </c>
      <c r="X240">
        <f t="shared" ca="1" si="107"/>
        <v>909.88402566027617</v>
      </c>
      <c r="Y240">
        <f t="shared" ca="1" si="107"/>
        <v>732.18250200674674</v>
      </c>
      <c r="Z240">
        <f t="shared" ca="1" si="107"/>
        <v>585.53652074768206</v>
      </c>
      <c r="AA240">
        <f t="shared" ca="1" si="107"/>
        <v>468.38477972131466</v>
      </c>
      <c r="AB240">
        <f t="shared" ca="1" si="107"/>
        <v>374.76564273535092</v>
      </c>
      <c r="AC240">
        <f t="shared" ca="1" si="107"/>
        <v>299.2202407245835</v>
      </c>
    </row>
    <row r="241" spans="6:29">
      <c r="F241" t="s">
        <v>278</v>
      </c>
      <c r="M241">
        <f ca="1">+M164*$H$73</f>
        <v>533.38022390246761</v>
      </c>
      <c r="N241">
        <f t="shared" ref="N241:AC241" ca="1" si="108">+N164*$H$73</f>
        <v>1061.4443805470985</v>
      </c>
      <c r="O241">
        <f t="shared" ca="1" si="108"/>
        <v>1050.8828324946435</v>
      </c>
      <c r="P241">
        <f t="shared" ca="1" si="108"/>
        <v>1040.4263736011765</v>
      </c>
      <c r="Q241">
        <f t="shared" ca="1" si="108"/>
        <v>989.16351494623041</v>
      </c>
      <c r="R241">
        <f t="shared" ca="1" si="108"/>
        <v>788.62212547026081</v>
      </c>
      <c r="S241">
        <f t="shared" ca="1" si="108"/>
        <v>615.62930614550066</v>
      </c>
      <c r="T241">
        <f t="shared" ca="1" si="108"/>
        <v>480.58433861361766</v>
      </c>
      <c r="U241">
        <f t="shared" ca="1" si="108"/>
        <v>375.16294987117101</v>
      </c>
      <c r="V241">
        <f t="shared" ca="1" si="108"/>
        <v>292.86688651166679</v>
      </c>
      <c r="W241">
        <f t="shared" ca="1" si="108"/>
        <v>228.62335751568961</v>
      </c>
      <c r="X241">
        <f t="shared" ca="1" si="108"/>
        <v>178.47234361083926</v>
      </c>
      <c r="Y241">
        <f t="shared" ca="1" si="108"/>
        <v>139.32249871607956</v>
      </c>
      <c r="Z241">
        <f t="shared" ca="1" si="108"/>
        <v>108.7605970526019</v>
      </c>
      <c r="AA241">
        <f t="shared" ca="1" si="108"/>
        <v>84.902780098310387</v>
      </c>
      <c r="AB241">
        <f t="shared" ca="1" si="108"/>
        <v>66.278434136727668</v>
      </c>
      <c r="AC241">
        <f t="shared" ca="1" si="108"/>
        <v>51.739540525410497</v>
      </c>
    </row>
    <row r="242" spans="6:29">
      <c r="F242" t="s">
        <v>279</v>
      </c>
      <c r="M242">
        <f ca="1">M$23</f>
        <v>10000</v>
      </c>
    </row>
    <row r="243" spans="6:29">
      <c r="F243" s="339" t="s">
        <v>280</v>
      </c>
      <c r="M243">
        <f ca="1">M240-M241-M242</f>
        <v>-8230.2333922256548</v>
      </c>
      <c r="N243">
        <f t="shared" ref="N243:AC243" ca="1" si="109">+N240-N241-N242</f>
        <v>3552.2491487682673</v>
      </c>
      <c r="O243">
        <f t="shared" ca="1" si="109"/>
        <v>3550.7828732283851</v>
      </c>
      <c r="P243">
        <f t="shared" ca="1" si="109"/>
        <v>3556.5096353386216</v>
      </c>
      <c r="Q243">
        <f t="shared" ca="1" si="109"/>
        <v>3428.0951480852605</v>
      </c>
      <c r="R243">
        <f t="shared" ca="1" si="109"/>
        <v>2777.8244583193405</v>
      </c>
      <c r="S243">
        <f t="shared" ca="1" si="109"/>
        <v>2210.0077317041914</v>
      </c>
      <c r="T243">
        <f t="shared" ca="1" si="109"/>
        <v>1762.1499098424015</v>
      </c>
      <c r="U243">
        <f t="shared" ca="1" si="109"/>
        <v>1408.0185179170908</v>
      </c>
      <c r="V243">
        <f t="shared" ca="1" si="109"/>
        <v>1126.3951380917872</v>
      </c>
      <c r="W243">
        <f t="shared" ca="1" si="109"/>
        <v>901.64308658334744</v>
      </c>
      <c r="X243">
        <f t="shared" ca="1" si="109"/>
        <v>731.41168204943688</v>
      </c>
      <c r="Y243">
        <f t="shared" ca="1" si="109"/>
        <v>592.86000329066724</v>
      </c>
      <c r="Z243">
        <f t="shared" ca="1" si="109"/>
        <v>476.77592369508017</v>
      </c>
      <c r="AA243">
        <f t="shared" ca="1" si="109"/>
        <v>383.4819996230043</v>
      </c>
      <c r="AB243">
        <f t="shared" ca="1" si="109"/>
        <v>308.48720859862328</v>
      </c>
      <c r="AC243">
        <f t="shared" ca="1" si="109"/>
        <v>247.48070019917301</v>
      </c>
    </row>
    <row r="244" spans="6:29">
      <c r="F244" s="6" t="s">
        <v>264</v>
      </c>
      <c r="H244" s="704">
        <f ca="1">XIRR(M243:AC243,M94:AC94)</f>
        <v>0.36873779892921454</v>
      </c>
      <c r="M244">
        <f ca="1">NPV(10%,M243:$AC243)</f>
        <v>8289.0022160865356</v>
      </c>
      <c r="N244">
        <f ca="1">NPV(10%,N243:$AC243)</f>
        <v>17348.135829920844</v>
      </c>
      <c r="O244">
        <f ca="1">NPV(10%,O243:$AC243)</f>
        <v>15530.700264144662</v>
      </c>
      <c r="P244">
        <f ca="1">NPV(10%,P243:$AC243)</f>
        <v>13532.987417330747</v>
      </c>
      <c r="Q244">
        <f ca="1">NPV(10%,Q243:$AC243)</f>
        <v>11329.776523725199</v>
      </c>
      <c r="R244">
        <f ca="1">NPV(10%,R243:$AC243)</f>
        <v>9034.6590280124638</v>
      </c>
      <c r="S244">
        <f ca="1">NPV(10%,S243:$AC243)</f>
        <v>7160.3004724943694</v>
      </c>
      <c r="T244">
        <f ca="1">NPV(10%,T243:$AC243)</f>
        <v>5666.3227880396144</v>
      </c>
      <c r="U244">
        <f ca="1">NPV(10%,U243:$AC243)</f>
        <v>4470.8051570011767</v>
      </c>
      <c r="V244">
        <f ca="1">NPV(10%,V243:$AC243)</f>
        <v>3509.8671547842036</v>
      </c>
      <c r="W244">
        <f ca="1">NPV(10%,W243:$AC243)</f>
        <v>2734.4587321708373</v>
      </c>
      <c r="X244">
        <f ca="1">NPV(10%,X243:$AC243)</f>
        <v>2106.2615188045734</v>
      </c>
      <c r="Y244">
        <f ca="1">NPV(10%,Y243:$AC243)</f>
        <v>1585.4759886355941</v>
      </c>
      <c r="Z244">
        <f ca="1">NPV(10%,Z243:$AC243)</f>
        <v>1151.1635842084866</v>
      </c>
      <c r="AA244">
        <f ca="1">NPV(10%,AA243:$AC243)</f>
        <v>789.5040189342551</v>
      </c>
      <c r="AB244">
        <f ca="1">NPV(10%,AB243:$AC243)</f>
        <v>484.97242120467649</v>
      </c>
      <c r="AC244">
        <f ca="1">NPV(10%,AC243:$AC243)</f>
        <v>224.9824547265209</v>
      </c>
    </row>
    <row r="245" spans="6:29">
      <c r="F245" s="339"/>
    </row>
    <row r="246" spans="6:29">
      <c r="F246" s="339" t="s">
        <v>281</v>
      </c>
      <c r="N246">
        <f ca="1">(+N168*N$53)+(N169*N$64)</f>
        <v>2318.400222171982</v>
      </c>
      <c r="O246">
        <f t="shared" ref="O246:AC246" ca="1" si="110">(+O168*O$53)+(O169*O$64)</f>
        <v>4647.9132149310317</v>
      </c>
      <c r="P246">
        <f t="shared" ca="1" si="110"/>
        <v>4643.1359839048719</v>
      </c>
      <c r="Q246">
        <f t="shared" ca="1" si="110"/>
        <v>4646.180679527044</v>
      </c>
      <c r="R246">
        <f t="shared" ca="1" si="110"/>
        <v>4473.3703566656177</v>
      </c>
      <c r="S246">
        <f t="shared" ca="1" si="110"/>
        <v>3619.6455632504521</v>
      </c>
      <c r="T246">
        <f t="shared" ca="1" si="110"/>
        <v>2872.9461580640182</v>
      </c>
      <c r="U246">
        <f t="shared" ca="1" si="110"/>
        <v>2284.258311273436</v>
      </c>
      <c r="V246">
        <f t="shared" ca="1" si="110"/>
        <v>1818.0769227017104</v>
      </c>
      <c r="W246">
        <f t="shared" ca="1" si="110"/>
        <v>1447.8731220154584</v>
      </c>
      <c r="X246">
        <f t="shared" ca="1" si="110"/>
        <v>1165.5628916373485</v>
      </c>
      <c r="Y246">
        <f t="shared" ca="1" si="110"/>
        <v>937.92695571939703</v>
      </c>
      <c r="Z246">
        <f t="shared" ca="1" si="110"/>
        <v>750.07321926185602</v>
      </c>
      <c r="AA246">
        <f t="shared" ca="1" si="110"/>
        <v>600.0016516992165</v>
      </c>
      <c r="AB246">
        <f t="shared" ca="1" si="110"/>
        <v>480.07538753739823</v>
      </c>
      <c r="AC246">
        <f t="shared" ca="1" si="110"/>
        <v>383.301606775967</v>
      </c>
    </row>
    <row r="247" spans="6:29">
      <c r="F247" t="s">
        <v>282</v>
      </c>
      <c r="N247">
        <f ca="1">+N167*$H$73</f>
        <v>533.38022390246761</v>
      </c>
      <c r="O247">
        <f t="shared" ref="O247:AC247" ca="1" si="111">+O167*$H$73</f>
        <v>1061.4443805470985</v>
      </c>
      <c r="P247">
        <f t="shared" ca="1" si="111"/>
        <v>1050.8828324946435</v>
      </c>
      <c r="Q247">
        <f t="shared" ca="1" si="111"/>
        <v>1040.4263736011765</v>
      </c>
      <c r="R247">
        <f t="shared" ca="1" si="111"/>
        <v>989.16351494623041</v>
      </c>
      <c r="S247">
        <f t="shared" ca="1" si="111"/>
        <v>788.62212547026081</v>
      </c>
      <c r="T247">
        <f t="shared" ca="1" si="111"/>
        <v>615.62930614550066</v>
      </c>
      <c r="U247">
        <f t="shared" ca="1" si="111"/>
        <v>480.58433861361766</v>
      </c>
      <c r="V247">
        <f t="shared" ca="1" si="111"/>
        <v>375.16294987117101</v>
      </c>
      <c r="W247">
        <f t="shared" ca="1" si="111"/>
        <v>292.86688651166679</v>
      </c>
      <c r="X247">
        <f t="shared" ca="1" si="111"/>
        <v>228.62335751568961</v>
      </c>
      <c r="Y247">
        <f t="shared" ca="1" si="111"/>
        <v>178.47234361083926</v>
      </c>
      <c r="Z247">
        <f t="shared" ca="1" si="111"/>
        <v>139.32249871607956</v>
      </c>
      <c r="AA247">
        <f t="shared" ca="1" si="111"/>
        <v>108.7605970526019</v>
      </c>
      <c r="AB247">
        <f t="shared" ca="1" si="111"/>
        <v>84.902780098310387</v>
      </c>
      <c r="AC247">
        <f t="shared" ca="1" si="111"/>
        <v>66.278434136727668</v>
      </c>
    </row>
    <row r="248" spans="6:29">
      <c r="F248" t="s">
        <v>283</v>
      </c>
      <c r="N248">
        <f ca="1">N$23</f>
        <v>10000</v>
      </c>
    </row>
    <row r="249" spans="6:29">
      <c r="F249" s="339" t="s">
        <v>284</v>
      </c>
      <c r="N249">
        <f ca="1">N246-N247-N248</f>
        <v>-8214.980001730486</v>
      </c>
      <c r="O249">
        <f t="shared" ref="O249:AC249" ca="1" si="112">+O246-O247-O248</f>
        <v>3586.4688343839334</v>
      </c>
      <c r="P249">
        <f t="shared" ca="1" si="112"/>
        <v>3592.2531514102284</v>
      </c>
      <c r="Q249">
        <f t="shared" ca="1" si="112"/>
        <v>3605.7543059258678</v>
      </c>
      <c r="R249">
        <f t="shared" ca="1" si="112"/>
        <v>3484.2068417193873</v>
      </c>
      <c r="S249">
        <f t="shared" ca="1" si="112"/>
        <v>2831.0234377801912</v>
      </c>
      <c r="T249">
        <f t="shared" ca="1" si="112"/>
        <v>2257.3168519185174</v>
      </c>
      <c r="U249">
        <f t="shared" ca="1" si="112"/>
        <v>1803.6739726598184</v>
      </c>
      <c r="V249">
        <f t="shared" ca="1" si="112"/>
        <v>1442.9139728305395</v>
      </c>
      <c r="W249">
        <f t="shared" ca="1" si="112"/>
        <v>1155.0062355037917</v>
      </c>
      <c r="X249">
        <f t="shared" ca="1" si="112"/>
        <v>936.93953412165888</v>
      </c>
      <c r="Y249">
        <f t="shared" ca="1" si="112"/>
        <v>759.45461210855774</v>
      </c>
      <c r="Z249">
        <f t="shared" ca="1" si="112"/>
        <v>610.7507205457764</v>
      </c>
      <c r="AA249">
        <f t="shared" ca="1" si="112"/>
        <v>491.2410546466146</v>
      </c>
      <c r="AB249">
        <f t="shared" ca="1" si="112"/>
        <v>395.17260743908787</v>
      </c>
      <c r="AC249">
        <f t="shared" ca="1" si="112"/>
        <v>317.02317263923931</v>
      </c>
    </row>
    <row r="250" spans="6:29">
      <c r="F250" s="6" t="s">
        <v>264</v>
      </c>
      <c r="H250" s="704">
        <f ca="1">XIRR(N249:AC249,N94:AC94)</f>
        <v>0.37653236985206606</v>
      </c>
      <c r="N250">
        <f ca="1">NPV(10%,N249:$AC249)</f>
        <v>8516.2818256174742</v>
      </c>
      <c r="O250">
        <f ca="1">NPV(10%,O249:$AC249)</f>
        <v>17582.890009909715</v>
      </c>
      <c r="P250">
        <f ca="1">NPV(10%,P249:$AC249)</f>
        <v>15754.710176516752</v>
      </c>
      <c r="Q250">
        <f ca="1">NPV(10%,Q249:$AC249)</f>
        <v>13737.9280427582</v>
      </c>
      <c r="R250">
        <f ca="1">NPV(10%,R249:$AC249)</f>
        <v>11505.96654110815</v>
      </c>
      <c r="S250">
        <f ca="1">NPV(10%,S249:$AC249)</f>
        <v>9172.3563534995828</v>
      </c>
      <c r="T250">
        <f ca="1">NPV(10%,T249:$AC249)</f>
        <v>7258.5685510693502</v>
      </c>
      <c r="U250">
        <f ca="1">NPV(10%,U249:$AC249)</f>
        <v>5727.1085542577666</v>
      </c>
      <c r="V250">
        <f ca="1">NPV(10%,V249:$AC249)</f>
        <v>4496.1454370237261</v>
      </c>
      <c r="W250">
        <f ca="1">NPV(10%,W249:$AC249)</f>
        <v>3502.8460078955595</v>
      </c>
      <c r="X250">
        <f ca="1">NPV(10%,X249:$AC249)</f>
        <v>2698.1243731813233</v>
      </c>
      <c r="Y250">
        <f ca="1">NPV(10%,Y249:$AC249)</f>
        <v>2030.9972763777976</v>
      </c>
      <c r="Z250">
        <f ca="1">NPV(10%,Z249:$AC249)</f>
        <v>1474.6423919070198</v>
      </c>
      <c r="AA250">
        <f ca="1">NPV(10%,AA249:$AC249)</f>
        <v>1011.3559105519454</v>
      </c>
      <c r="AB250">
        <f ca="1">NPV(10%,AB249:$AC249)</f>
        <v>621.25044696052555</v>
      </c>
      <c r="AC250">
        <f ca="1">NPV(10%,AC249:$AC249)</f>
        <v>288.20288421749024</v>
      </c>
    </row>
    <row r="251" spans="6:29">
      <c r="F251" s="339"/>
    </row>
    <row r="252" spans="6:29">
      <c r="F252" s="339" t="s">
        <v>285</v>
      </c>
      <c r="O252">
        <f ca="1">(+O1973*O$53)+(O172*O$64)</f>
        <v>505.7482813769081</v>
      </c>
      <c r="P252">
        <f t="shared" ref="P252:AC252" ca="1" si="113">(+P171*P$53)+(P172*P$64)</f>
        <v>4689.8002763376298</v>
      </c>
      <c r="Q252">
        <f t="shared" ca="1" si="113"/>
        <v>4692.8755716595242</v>
      </c>
      <c r="R252">
        <f t="shared" ca="1" si="113"/>
        <v>4705.2003310227301</v>
      </c>
      <c r="S252">
        <f t="shared" ca="1" si="113"/>
        <v>4540.097484672162</v>
      </c>
      <c r="T252">
        <f t="shared" ca="1" si="113"/>
        <v>3680.2486218851104</v>
      </c>
      <c r="U252">
        <f t="shared" ca="1" si="113"/>
        <v>2926.1385489238064</v>
      </c>
      <c r="V252">
        <f t="shared" ca="1" si="113"/>
        <v>2328.9594448101029</v>
      </c>
      <c r="W252">
        <f t="shared" ca="1" si="113"/>
        <v>1854.7277842312931</v>
      </c>
      <c r="X252">
        <f t="shared" ca="1" si="113"/>
        <v>1493.0879277457007</v>
      </c>
      <c r="Y252">
        <f t="shared" ca="1" si="113"/>
        <v>1201.4859298794731</v>
      </c>
      <c r="Z252">
        <f t="shared" ca="1" si="113"/>
        <v>960.84499312773505</v>
      </c>
      <c r="AA252">
        <f t="shared" ca="1" si="113"/>
        <v>768.60307513832163</v>
      </c>
      <c r="AB252">
        <f t="shared" ca="1" si="113"/>
        <v>614.97733900312801</v>
      </c>
      <c r="AC252">
        <f t="shared" ca="1" si="113"/>
        <v>491.00997112113907</v>
      </c>
    </row>
    <row r="253" spans="6:29">
      <c r="F253" s="339" t="s">
        <v>286</v>
      </c>
      <c r="O253">
        <f ca="1">+O170*$H$73</f>
        <v>533.38022390246761</v>
      </c>
      <c r="P253">
        <f t="shared" ref="P253:AC253" ca="1" si="114">+P170*$H$73</f>
        <v>1061.4443805470985</v>
      </c>
      <c r="Q253">
        <f t="shared" ca="1" si="114"/>
        <v>1050.8828324946435</v>
      </c>
      <c r="R253">
        <f t="shared" ca="1" si="114"/>
        <v>1040.4263736011765</v>
      </c>
      <c r="S253">
        <f t="shared" ca="1" si="114"/>
        <v>989.16351494623041</v>
      </c>
      <c r="T253">
        <f t="shared" ca="1" si="114"/>
        <v>788.62212547026081</v>
      </c>
      <c r="U253">
        <f t="shared" ca="1" si="114"/>
        <v>615.62930614550066</v>
      </c>
      <c r="V253">
        <f t="shared" ca="1" si="114"/>
        <v>480.58433861361766</v>
      </c>
      <c r="W253">
        <f t="shared" ca="1" si="114"/>
        <v>375.16294987117101</v>
      </c>
      <c r="X253">
        <f t="shared" ca="1" si="114"/>
        <v>292.86688651166679</v>
      </c>
      <c r="Y253">
        <f t="shared" ca="1" si="114"/>
        <v>228.62335751568961</v>
      </c>
      <c r="Z253">
        <f t="shared" ca="1" si="114"/>
        <v>178.47234361083926</v>
      </c>
      <c r="AA253">
        <f t="shared" ca="1" si="114"/>
        <v>139.32249871607956</v>
      </c>
      <c r="AB253">
        <f t="shared" ca="1" si="114"/>
        <v>108.7605970526019</v>
      </c>
      <c r="AC253">
        <f t="shared" ca="1" si="114"/>
        <v>84.902780098310387</v>
      </c>
    </row>
    <row r="254" spans="6:29">
      <c r="F254" s="339" t="s">
        <v>287</v>
      </c>
      <c r="O254">
        <f ca="1">O$23</f>
        <v>10000</v>
      </c>
    </row>
    <row r="255" spans="6:29">
      <c r="F255" s="339" t="s">
        <v>288</v>
      </c>
      <c r="O255">
        <f ca="1">O252-O253-O254</f>
        <v>-10027.631942525559</v>
      </c>
      <c r="P255">
        <f t="shared" ref="P255:AC255" ca="1" si="115">+P252-P253-P254</f>
        <v>3628.3558957905316</v>
      </c>
      <c r="Q255">
        <f t="shared" ca="1" si="115"/>
        <v>3641.9927391648807</v>
      </c>
      <c r="R255">
        <f t="shared" ca="1" si="115"/>
        <v>3664.7739574215539</v>
      </c>
      <c r="S255">
        <f t="shared" ca="1" si="115"/>
        <v>3550.9339697259315</v>
      </c>
      <c r="T255">
        <f t="shared" ca="1" si="115"/>
        <v>2891.6264964148495</v>
      </c>
      <c r="U255">
        <f t="shared" ca="1" si="115"/>
        <v>2310.5092427783056</v>
      </c>
      <c r="V255">
        <f t="shared" ca="1" si="115"/>
        <v>1848.3751061964854</v>
      </c>
      <c r="W255">
        <f t="shared" ca="1" si="115"/>
        <v>1479.5648343601219</v>
      </c>
      <c r="X255">
        <f t="shared" ca="1" si="115"/>
        <v>1200.2210412340339</v>
      </c>
      <c r="Y255">
        <f t="shared" ca="1" si="115"/>
        <v>972.86257236378356</v>
      </c>
      <c r="Z255">
        <f t="shared" ca="1" si="115"/>
        <v>782.37264951689576</v>
      </c>
      <c r="AA255">
        <f t="shared" ca="1" si="115"/>
        <v>629.28057642224212</v>
      </c>
      <c r="AB255">
        <f t="shared" ca="1" si="115"/>
        <v>506.21674195052611</v>
      </c>
      <c r="AC255">
        <f t="shared" ca="1" si="115"/>
        <v>406.10719102282872</v>
      </c>
    </row>
    <row r="256" spans="6:29">
      <c r="F256" s="6" t="s">
        <v>264</v>
      </c>
      <c r="H256" s="704">
        <f ca="1">XIRR(O255:AC255,O94:AC94)</f>
        <v>0.29324409365654003</v>
      </c>
      <c r="O256">
        <f ca="1">NPV(10%,O255:$AC255)</f>
        <v>7100.3099805617767</v>
      </c>
      <c r="P256">
        <f ca="1">NPV(10%,P255:$AC255)</f>
        <v>17837.972921143515</v>
      </c>
      <c r="Q256">
        <f ca="1">NPV(10%,Q255:$AC255)</f>
        <v>15993.414317467335</v>
      </c>
      <c r="R256">
        <f ca="1">NPV(10%,R255:$AC255)</f>
        <v>13950.763010049192</v>
      </c>
      <c r="S256">
        <f ca="1">NPV(10%,S255:$AC255)</f>
        <v>11681.065353632554</v>
      </c>
      <c r="T256">
        <f ca="1">NPV(10%,T255:$AC255)</f>
        <v>9298.2379192698791</v>
      </c>
      <c r="U256">
        <f ca="1">NPV(10%,U255:$AC255)</f>
        <v>7336.43521478202</v>
      </c>
      <c r="V256">
        <f ca="1">NPV(10%,V255:$AC255)</f>
        <v>5759.5694934819176</v>
      </c>
      <c r="W256">
        <f ca="1">NPV(10%,W255:$AC255)</f>
        <v>4487.1513366336239</v>
      </c>
      <c r="X256">
        <f ca="1">NPV(10%,X255:$AC255)</f>
        <v>3456.3016359368639</v>
      </c>
      <c r="Y256">
        <f ca="1">NPV(10%,Y255:$AC255)</f>
        <v>2601.7107582965168</v>
      </c>
      <c r="Z256">
        <f ca="1">NPV(10%,Z255:$AC255)</f>
        <v>1889.0192617623852</v>
      </c>
      <c r="AA256">
        <f ca="1">NPV(10%,AA255:$AC255)</f>
        <v>1295.5485384217284</v>
      </c>
      <c r="AB256">
        <f ca="1">NPV(10%,AB255:$AC255)</f>
        <v>795.82281584165901</v>
      </c>
      <c r="AC256">
        <f ca="1">NPV(10%,AC255:$AC255)</f>
        <v>369.18835547529881</v>
      </c>
    </row>
    <row r="257" spans="6:29">
      <c r="F257" s="339"/>
    </row>
    <row r="258" spans="6:29">
      <c r="F258" s="339" t="s">
        <v>289</v>
      </c>
      <c r="P258">
        <f ca="1">(+P174*P$53)+(P175*P$64)</f>
        <v>2356.6441796615882</v>
      </c>
      <c r="Q258">
        <f t="shared" ref="Q258:AC258" ca="1" si="116">(+Q174*Q$53)+(Q175*Q$64)</f>
        <v>4740.0397552599134</v>
      </c>
      <c r="R258">
        <f t="shared" ca="1" si="116"/>
        <v>4752.4883805139907</v>
      </c>
      <c r="S258">
        <f t="shared" ca="1" si="116"/>
        <v>4775.3855559766089</v>
      </c>
      <c r="T258">
        <f t="shared" ca="1" si="116"/>
        <v>4616.1115002056531</v>
      </c>
      <c r="U258">
        <f t="shared" ca="1" si="116"/>
        <v>3748.388159623064</v>
      </c>
      <c r="V258">
        <f t="shared" ca="1" si="116"/>
        <v>2983.4007724546082</v>
      </c>
      <c r="W258">
        <f t="shared" ca="1" si="116"/>
        <v>2375.9092570286662</v>
      </c>
      <c r="X258">
        <f t="shared" ca="1" si="116"/>
        <v>1912.6480226633487</v>
      </c>
      <c r="Y258">
        <f t="shared" ca="1" si="116"/>
        <v>1539.1053971693514</v>
      </c>
      <c r="Z258">
        <f t="shared" ca="1" si="116"/>
        <v>1230.8439724420198</v>
      </c>
      <c r="AA258">
        <f t="shared" ca="1" si="116"/>
        <v>984.58176813191631</v>
      </c>
      <c r="AB258">
        <f t="shared" ca="1" si="116"/>
        <v>787.78695451848466</v>
      </c>
      <c r="AC258">
        <f t="shared" ca="1" si="116"/>
        <v>628.98455805664059</v>
      </c>
    </row>
    <row r="259" spans="6:29">
      <c r="F259" s="339" t="s">
        <v>290</v>
      </c>
      <c r="P259">
        <f ca="1">+P173*$H$73</f>
        <v>533.38022390246761</v>
      </c>
      <c r="Q259">
        <f t="shared" ref="Q259:AC259" ca="1" si="117">+Q173*$H$73</f>
        <v>1061.4443805470985</v>
      </c>
      <c r="R259">
        <f t="shared" ca="1" si="117"/>
        <v>1050.8828324946435</v>
      </c>
      <c r="S259">
        <f t="shared" ca="1" si="117"/>
        <v>1040.4263736011765</v>
      </c>
      <c r="T259">
        <f t="shared" ca="1" si="117"/>
        <v>989.16351494623041</v>
      </c>
      <c r="U259">
        <f t="shared" ca="1" si="117"/>
        <v>788.62212547026081</v>
      </c>
      <c r="V259">
        <f t="shared" ca="1" si="117"/>
        <v>615.62930614550066</v>
      </c>
      <c r="W259">
        <f t="shared" ca="1" si="117"/>
        <v>480.58433861361766</v>
      </c>
      <c r="X259">
        <f t="shared" ca="1" si="117"/>
        <v>375.16294987117101</v>
      </c>
      <c r="Y259">
        <f t="shared" ca="1" si="117"/>
        <v>292.86688651166679</v>
      </c>
      <c r="Z259">
        <f t="shared" ca="1" si="117"/>
        <v>228.62335751568961</v>
      </c>
      <c r="AA259">
        <f t="shared" ca="1" si="117"/>
        <v>178.47234361083926</v>
      </c>
      <c r="AB259">
        <f t="shared" ca="1" si="117"/>
        <v>139.32249871607956</v>
      </c>
      <c r="AC259">
        <f t="shared" ca="1" si="117"/>
        <v>108.7605970526019</v>
      </c>
    </row>
    <row r="260" spans="6:29">
      <c r="F260" s="339" t="s">
        <v>291</v>
      </c>
      <c r="P260">
        <f ca="1">P$23</f>
        <v>10000</v>
      </c>
    </row>
    <row r="261" spans="6:29">
      <c r="F261" s="339" t="s">
        <v>292</v>
      </c>
      <c r="P261">
        <f ca="1">P258-P259-P260</f>
        <v>-8176.736044240879</v>
      </c>
      <c r="Q261">
        <f t="shared" ref="Q261:AC261" ca="1" si="118">+Q258-Q259-Q260</f>
        <v>3678.5953747128151</v>
      </c>
      <c r="R261">
        <f t="shared" ca="1" si="118"/>
        <v>3701.6055480193472</v>
      </c>
      <c r="S261">
        <f t="shared" ca="1" si="118"/>
        <v>3734.9591823754326</v>
      </c>
      <c r="T261">
        <f t="shared" ca="1" si="118"/>
        <v>3626.9479852594227</v>
      </c>
      <c r="U261">
        <f t="shared" ca="1" si="118"/>
        <v>2959.7660341528031</v>
      </c>
      <c r="V261">
        <f t="shared" ca="1" si="118"/>
        <v>2367.7714663091074</v>
      </c>
      <c r="W261">
        <f t="shared" ca="1" si="118"/>
        <v>1895.3249184150486</v>
      </c>
      <c r="X261">
        <f t="shared" ca="1" si="118"/>
        <v>1537.4850727921776</v>
      </c>
      <c r="Y261">
        <f t="shared" ca="1" si="118"/>
        <v>1246.2385106576846</v>
      </c>
      <c r="Z261">
        <f t="shared" ca="1" si="118"/>
        <v>1002.2206149263302</v>
      </c>
      <c r="AA261">
        <f t="shared" ca="1" si="118"/>
        <v>806.10942452107702</v>
      </c>
      <c r="AB261">
        <f t="shared" ca="1" si="118"/>
        <v>648.46445580240515</v>
      </c>
      <c r="AC261">
        <f t="shared" ca="1" si="118"/>
        <v>520.22396100403876</v>
      </c>
    </row>
    <row r="262" spans="6:29">
      <c r="F262" s="6" t="s">
        <v>264</v>
      </c>
      <c r="H262" s="704">
        <f ca="1">XIRR(P261:AC261,P94:AC94)</f>
        <v>0.39505903124809272</v>
      </c>
      <c r="P262">
        <f ca="1">NPV(10%,P261:$AC261)</f>
        <v>9026.3222459520803</v>
      </c>
      <c r="Q262">
        <f ca="1">NPV(10%,Q261:$AC261)</f>
        <v>18105.690514788163</v>
      </c>
      <c r="R262">
        <f ca="1">NPV(10%,R261:$AC261)</f>
        <v>16237.664191554166</v>
      </c>
      <c r="S262">
        <f ca="1">NPV(10%,S261:$AC261)</f>
        <v>14159.825062690239</v>
      </c>
      <c r="T262">
        <f ca="1">NPV(10%,T261:$AC261)</f>
        <v>11840.848386583833</v>
      </c>
      <c r="U262">
        <f ca="1">NPV(10%,U261:$AC261)</f>
        <v>9397.9852399827942</v>
      </c>
      <c r="V262">
        <f ca="1">NPV(10%,V261:$AC261)</f>
        <v>7378.0177298282724</v>
      </c>
      <c r="W262">
        <f ca="1">NPV(10%,W261:$AC261)</f>
        <v>5748.0480365019948</v>
      </c>
      <c r="X262">
        <f ca="1">NPV(10%,X261:$AC261)</f>
        <v>4427.5279217371444</v>
      </c>
      <c r="Y262">
        <f ca="1">NPV(10%,Y261:$AC261)</f>
        <v>3332.7956411186815</v>
      </c>
      <c r="Z262">
        <f ca="1">NPV(10%,Z261:$AC261)</f>
        <v>2419.8366945728658</v>
      </c>
      <c r="AA262">
        <f ca="1">NPV(10%,AA261:$AC261)</f>
        <v>1659.5997491038222</v>
      </c>
      <c r="AB262">
        <f ca="1">NPV(10%,AB261:$AC261)</f>
        <v>1019.4502994931277</v>
      </c>
      <c r="AC262">
        <f ca="1">NPV(10%,AC261:$AC261)</f>
        <v>472.9308736400352</v>
      </c>
    </row>
    <row r="263" spans="6:29">
      <c r="F263" s="339"/>
    </row>
    <row r="264" spans="6:29">
      <c r="F264" s="339" t="s">
        <v>293</v>
      </c>
      <c r="Q264">
        <f ca="1">(+Q177*Q$53)+(Q178*Q$64)</f>
        <v>2381.889727150849</v>
      </c>
      <c r="R264">
        <f t="shared" ref="R264:AC264" ca="1" si="119">(+R177*R$53)+(R178*R$64)</f>
        <v>4800.2516828037251</v>
      </c>
      <c r="S264">
        <f t="shared" ca="1" si="119"/>
        <v>4823.3789787054966</v>
      </c>
      <c r="T264">
        <f t="shared" ca="1" si="119"/>
        <v>4855.3389563288983</v>
      </c>
      <c r="U264">
        <f t="shared" ca="1" si="119"/>
        <v>4701.5784716217713</v>
      </c>
      <c r="V264">
        <f t="shared" ca="1" si="119"/>
        <v>3821.7411595196304</v>
      </c>
      <c r="W264">
        <f t="shared" ca="1" si="119"/>
        <v>3043.5435569722158</v>
      </c>
      <c r="X264">
        <f t="shared" ca="1" si="119"/>
        <v>2450.1051750658048</v>
      </c>
      <c r="Y264">
        <f t="shared" ca="1" si="119"/>
        <v>1971.5964745699989</v>
      </c>
      <c r="Z264">
        <f t="shared" ca="1" si="119"/>
        <v>1576.7130966310301</v>
      </c>
      <c r="AA264">
        <f t="shared" ca="1" si="119"/>
        <v>1261.2508191738784</v>
      </c>
      <c r="AB264">
        <f t="shared" ca="1" si="119"/>
        <v>1009.1563482900182</v>
      </c>
      <c r="AC264">
        <f t="shared" ca="1" si="119"/>
        <v>805.73022452145278</v>
      </c>
    </row>
    <row r="265" spans="6:29">
      <c r="F265" s="339" t="s">
        <v>294</v>
      </c>
      <c r="Q265">
        <f ca="1">+Q176*$H$73</f>
        <v>533.38022390246761</v>
      </c>
      <c r="R265">
        <f t="shared" ref="R265:AC265" ca="1" si="120">+R176*$H$73</f>
        <v>1061.4443805470985</v>
      </c>
      <c r="S265">
        <f t="shared" ca="1" si="120"/>
        <v>1050.8828324946435</v>
      </c>
      <c r="T265">
        <f t="shared" ca="1" si="120"/>
        <v>1040.4263736011765</v>
      </c>
      <c r="U265">
        <f t="shared" ca="1" si="120"/>
        <v>989.16351494623041</v>
      </c>
      <c r="V265">
        <f t="shared" ca="1" si="120"/>
        <v>788.62212547026081</v>
      </c>
      <c r="W265">
        <f t="shared" ca="1" si="120"/>
        <v>615.62930614550066</v>
      </c>
      <c r="X265">
        <f t="shared" ca="1" si="120"/>
        <v>480.58433861361766</v>
      </c>
      <c r="Y265">
        <f t="shared" ca="1" si="120"/>
        <v>375.16294987117101</v>
      </c>
      <c r="Z265">
        <f t="shared" ca="1" si="120"/>
        <v>292.86688651166679</v>
      </c>
      <c r="AA265">
        <f t="shared" ca="1" si="120"/>
        <v>228.62335751568961</v>
      </c>
      <c r="AB265">
        <f t="shared" ca="1" si="120"/>
        <v>178.47234361083926</v>
      </c>
      <c r="AC265">
        <f t="shared" ca="1" si="120"/>
        <v>139.32249871607956</v>
      </c>
    </row>
    <row r="266" spans="6:29">
      <c r="F266" s="339" t="s">
        <v>295</v>
      </c>
      <c r="Q266">
        <f ca="1">Q$23</f>
        <v>10000</v>
      </c>
    </row>
    <row r="267" spans="6:29">
      <c r="F267" s="339" t="s">
        <v>296</v>
      </c>
      <c r="Q267">
        <f t="shared" ref="Q267:AC267" ca="1" si="121">+Q264-Q265-Q266</f>
        <v>-8151.4904967516186</v>
      </c>
      <c r="R267">
        <f t="shared" ca="1" si="121"/>
        <v>3738.8073022566268</v>
      </c>
      <c r="S267">
        <f t="shared" ca="1" si="121"/>
        <v>3772.4961462108531</v>
      </c>
      <c r="T267">
        <f t="shared" ca="1" si="121"/>
        <v>3814.9125827277221</v>
      </c>
      <c r="U267">
        <f t="shared" ca="1" si="121"/>
        <v>3712.4149566755409</v>
      </c>
      <c r="V267">
        <f t="shared" ca="1" si="121"/>
        <v>3033.1190340493695</v>
      </c>
      <c r="W267">
        <f t="shared" ca="1" si="121"/>
        <v>2427.914250826715</v>
      </c>
      <c r="X267">
        <f t="shared" ca="1" si="121"/>
        <v>1969.5208364521873</v>
      </c>
      <c r="Y267">
        <f t="shared" ca="1" si="121"/>
        <v>1596.433524698828</v>
      </c>
      <c r="Z267">
        <f t="shared" ca="1" si="121"/>
        <v>1283.8462101193634</v>
      </c>
      <c r="AA267">
        <f t="shared" ca="1" si="121"/>
        <v>1032.6274616581888</v>
      </c>
      <c r="AB267">
        <f t="shared" ca="1" si="121"/>
        <v>830.68400467917888</v>
      </c>
      <c r="AC267">
        <f t="shared" ca="1" si="121"/>
        <v>666.40772580537327</v>
      </c>
    </row>
    <row r="268" spans="6:29">
      <c r="F268" s="6" t="s">
        <v>264</v>
      </c>
      <c r="H268" s="704">
        <f ca="1">XIRR(Q267:AC267,Q94:AC94)</f>
        <v>0.40641245245933533</v>
      </c>
      <c r="Q268">
        <f ca="1">NPV(10%,Q267:$AC267)</f>
        <v>9293.0481188206631</v>
      </c>
      <c r="R268">
        <f ca="1">NPV(10%,R267:$AC267)</f>
        <v>18373.843427454343</v>
      </c>
      <c r="S268">
        <f ca="1">NPV(10%,S267:$AC267)</f>
        <v>16472.42046794316</v>
      </c>
      <c r="T268">
        <f ca="1">NPV(10%,T267:$AC267)</f>
        <v>14347.166368526621</v>
      </c>
      <c r="U268">
        <f ca="1">NPV(10%,U267:$AC267)</f>
        <v>11966.970422651564</v>
      </c>
      <c r="V268">
        <f ca="1">NPV(10%,V267:$AC267)</f>
        <v>9451.2525082411794</v>
      </c>
      <c r="W268">
        <f ca="1">NPV(10%,W267:$AC267)</f>
        <v>7363.2587250159295</v>
      </c>
      <c r="X268">
        <f ca="1">NPV(10%,X267:$AC267)</f>
        <v>5671.6703466908093</v>
      </c>
      <c r="Y268">
        <f ca="1">NPV(10%,Y267:$AC267)</f>
        <v>4269.3165449077032</v>
      </c>
      <c r="Z268">
        <f ca="1">NPV(10%,Z267:$AC267)</f>
        <v>3099.8146746996454</v>
      </c>
      <c r="AA268">
        <f ca="1">NPV(10%,AA267:$AC267)</f>
        <v>2125.9499320502464</v>
      </c>
      <c r="AB268">
        <f ca="1">NPV(10%,AB267:$AC267)</f>
        <v>1305.9174635970826</v>
      </c>
      <c r="AC268">
        <f ca="1">NPV(10%,AC267:$AC267)</f>
        <v>605.82520527761199</v>
      </c>
    </row>
    <row r="269" spans="6:29">
      <c r="F269" s="339"/>
    </row>
    <row r="270" spans="6:29">
      <c r="F270" s="339" t="s">
        <v>297</v>
      </c>
      <c r="R270">
        <f ca="1">(+R180*R$53)+(R181*R$64)</f>
        <v>2412.1464716242276</v>
      </c>
      <c r="S270">
        <f t="shared" ref="S270:AC270" ca="1" si="122">(+S180*S$53)+(S181*S$64)</f>
        <v>4871.8547433517515</v>
      </c>
      <c r="T270">
        <f t="shared" ca="1" si="122"/>
        <v>4904.1359240902739</v>
      </c>
      <c r="U270">
        <f t="shared" ca="1" si="122"/>
        <v>4945.2352068370674</v>
      </c>
      <c r="V270">
        <f t="shared" ca="1" si="122"/>
        <v>4793.5846541344308</v>
      </c>
      <c r="W270">
        <f t="shared" ca="1" si="122"/>
        <v>3898.7841626458749</v>
      </c>
      <c r="X270">
        <f t="shared" ca="1" si="122"/>
        <v>3138.5886466058082</v>
      </c>
      <c r="Y270">
        <f t="shared" ca="1" si="122"/>
        <v>2525.6182362078562</v>
      </c>
      <c r="Z270">
        <f t="shared" ca="1" si="122"/>
        <v>2019.7719977094157</v>
      </c>
      <c r="AA270">
        <f t="shared" ca="1" si="122"/>
        <v>1615.6643159104765</v>
      </c>
      <c r="AB270">
        <f t="shared" ca="1" si="122"/>
        <v>1292.7308956474328</v>
      </c>
      <c r="AC270">
        <f t="shared" ca="1" si="122"/>
        <v>1032.1417058523871</v>
      </c>
    </row>
    <row r="271" spans="6:29">
      <c r="F271" s="339" t="s">
        <v>298</v>
      </c>
      <c r="R271">
        <f ca="1">+R179*$H$73</f>
        <v>533.38022390246761</v>
      </c>
      <c r="S271">
        <f t="shared" ref="S271:AC271" ca="1" si="123">+S179*$H$73</f>
        <v>1061.4443805470985</v>
      </c>
      <c r="T271">
        <f t="shared" ca="1" si="123"/>
        <v>1050.8828324946435</v>
      </c>
      <c r="U271">
        <f t="shared" ca="1" si="123"/>
        <v>1040.4263736011765</v>
      </c>
      <c r="V271">
        <f t="shared" ca="1" si="123"/>
        <v>989.16351494623041</v>
      </c>
      <c r="W271">
        <f t="shared" ca="1" si="123"/>
        <v>788.62212547026081</v>
      </c>
      <c r="X271">
        <f t="shared" ca="1" si="123"/>
        <v>615.62930614550066</v>
      </c>
      <c r="Y271">
        <f t="shared" ca="1" si="123"/>
        <v>480.58433861361766</v>
      </c>
      <c r="Z271">
        <f t="shared" ca="1" si="123"/>
        <v>375.16294987117101</v>
      </c>
      <c r="AA271">
        <f t="shared" ca="1" si="123"/>
        <v>292.86688651166679</v>
      </c>
      <c r="AB271">
        <f t="shared" ca="1" si="123"/>
        <v>228.62335751568961</v>
      </c>
      <c r="AC271">
        <f t="shared" ca="1" si="123"/>
        <v>178.47234361083926</v>
      </c>
    </row>
    <row r="272" spans="6:29">
      <c r="F272" s="339" t="s">
        <v>299</v>
      </c>
      <c r="R272">
        <f ca="1">R$23</f>
        <v>10000</v>
      </c>
    </row>
    <row r="273" spans="6:29">
      <c r="F273" s="339" t="s">
        <v>300</v>
      </c>
      <c r="R273">
        <f t="shared" ref="R273:AC273" ca="1" si="124">+R270-R271-R272</f>
        <v>-8121.23375227824</v>
      </c>
      <c r="S273">
        <f t="shared" ca="1" si="124"/>
        <v>3810.4103628046532</v>
      </c>
      <c r="T273">
        <f t="shared" ca="1" si="124"/>
        <v>3853.2530915956304</v>
      </c>
      <c r="U273">
        <f t="shared" ca="1" si="124"/>
        <v>3904.8088332358911</v>
      </c>
      <c r="V273">
        <f t="shared" ca="1" si="124"/>
        <v>3804.4211391882004</v>
      </c>
      <c r="W273">
        <f t="shared" ca="1" si="124"/>
        <v>3110.1620371756139</v>
      </c>
      <c r="X273">
        <f t="shared" ca="1" si="124"/>
        <v>2522.9593404603074</v>
      </c>
      <c r="Y273">
        <f t="shared" ca="1" si="124"/>
        <v>2045.0338975942386</v>
      </c>
      <c r="Z273">
        <f t="shared" ca="1" si="124"/>
        <v>1644.6090478382448</v>
      </c>
      <c r="AA273">
        <f t="shared" ca="1" si="124"/>
        <v>1322.7974293988098</v>
      </c>
      <c r="AB273">
        <f t="shared" ca="1" si="124"/>
        <v>1064.1075381317432</v>
      </c>
      <c r="AC273">
        <f t="shared" ca="1" si="124"/>
        <v>853.66936224154779</v>
      </c>
    </row>
    <row r="274" spans="6:29">
      <c r="F274" s="6" t="s">
        <v>264</v>
      </c>
      <c r="H274" s="704">
        <f ca="1">XIRR(R273:AC273,R94:AC94)</f>
        <v>0.41988146901130685</v>
      </c>
      <c r="R274">
        <f ca="1">NPV(10%,R273:$AC273)</f>
        <v>9547.1938406094741</v>
      </c>
      <c r="S274">
        <f ca="1">NPV(10%,S273:$AC273)</f>
        <v>18623.146976948665</v>
      </c>
      <c r="T274">
        <f ca="1">NPV(10%,T273:$AC273)</f>
        <v>16675.051311838877</v>
      </c>
      <c r="U274">
        <f ca="1">NPV(10%,U273:$AC273)</f>
        <v>14489.303351427137</v>
      </c>
      <c r="V274">
        <f ca="1">NPV(10%,V273:$AC273)</f>
        <v>12033.424853333961</v>
      </c>
      <c r="W274">
        <f ca="1">NPV(10%,W273:$AC273)</f>
        <v>9432.3461994791596</v>
      </c>
      <c r="X274">
        <f ca="1">NPV(10%,X273:$AC273)</f>
        <v>7265.4187822514614</v>
      </c>
      <c r="Y274">
        <f ca="1">NPV(10%,Y273:$AC273)</f>
        <v>5469.0013200163003</v>
      </c>
      <c r="Z274">
        <f ca="1">NPV(10%,Z273:$AC273)</f>
        <v>3970.8675544236921</v>
      </c>
      <c r="AA274">
        <f ca="1">NPV(10%,AA273:$AC273)</f>
        <v>2723.3452620278172</v>
      </c>
      <c r="AB274">
        <f ca="1">NPV(10%,AB273:$AC273)</f>
        <v>1672.8823588317894</v>
      </c>
      <c r="AC274">
        <f ca="1">NPV(10%,AC273:$AC273)</f>
        <v>776.06305658322515</v>
      </c>
    </row>
    <row r="275" spans="6:29">
      <c r="F275" s="6"/>
      <c r="H275" s="704"/>
    </row>
    <row r="276" spans="6:29">
      <c r="F276" s="339" t="s">
        <v>301</v>
      </c>
      <c r="S276">
        <f ca="1">(+S183*S$53)+(S184*S$64)</f>
        <v>2448.1273078951995</v>
      </c>
      <c r="T276">
        <f t="shared" ref="T276:AC276" ca="1" si="125">(+T183*T$53)+(T184*T$64)</f>
        <v>4953.4233095308527</v>
      </c>
      <c r="U276">
        <f t="shared" ca="1" si="125"/>
        <v>4994.9356469362901</v>
      </c>
      <c r="V276">
        <f t="shared" ca="1" si="125"/>
        <v>5042.0095594836439</v>
      </c>
      <c r="W276">
        <f t="shared" ca="1" si="125"/>
        <v>4890.2191832873204</v>
      </c>
      <c r="X276">
        <f t="shared" ca="1" si="125"/>
        <v>4020.5370744291877</v>
      </c>
      <c r="Y276">
        <f t="shared" ca="1" si="125"/>
        <v>3235.3209986627062</v>
      </c>
      <c r="Z276">
        <f t="shared" ca="1" si="125"/>
        <v>2587.3311583748027</v>
      </c>
      <c r="AA276">
        <f t="shared" ca="1" si="125"/>
        <v>2069.6685718834779</v>
      </c>
      <c r="AB276">
        <f t="shared" ca="1" si="125"/>
        <v>1655.9903442049667</v>
      </c>
      <c r="AC276">
        <f t="shared" ca="1" si="125"/>
        <v>1322.1751754349275</v>
      </c>
    </row>
    <row r="277" spans="6:29">
      <c r="F277" s="339" t="s">
        <v>302</v>
      </c>
      <c r="S277">
        <f ca="1">+S182*$H$73</f>
        <v>533.38022390246761</v>
      </c>
      <c r="T277">
        <f t="shared" ref="T277:AC277" ca="1" si="126">+T182*$H$73</f>
        <v>1061.4443805470985</v>
      </c>
      <c r="U277">
        <f t="shared" ca="1" si="126"/>
        <v>1050.8828324946435</v>
      </c>
      <c r="V277">
        <f t="shared" ca="1" si="126"/>
        <v>1040.4263736011765</v>
      </c>
      <c r="W277">
        <f t="shared" ca="1" si="126"/>
        <v>989.16351494623041</v>
      </c>
      <c r="X277">
        <f t="shared" ca="1" si="126"/>
        <v>788.62212547026081</v>
      </c>
      <c r="Y277">
        <f t="shared" ca="1" si="126"/>
        <v>615.62930614550066</v>
      </c>
      <c r="Z277">
        <f t="shared" ca="1" si="126"/>
        <v>480.58433861361766</v>
      </c>
      <c r="AA277">
        <f t="shared" ca="1" si="126"/>
        <v>375.16294987117101</v>
      </c>
      <c r="AB277">
        <f t="shared" ca="1" si="126"/>
        <v>292.86688651166679</v>
      </c>
      <c r="AC277">
        <f t="shared" ca="1" si="126"/>
        <v>228.62335751568961</v>
      </c>
    </row>
    <row r="278" spans="6:29">
      <c r="F278" s="339" t="s">
        <v>303</v>
      </c>
      <c r="S278">
        <f ca="1">S$23</f>
        <v>10000</v>
      </c>
    </row>
    <row r="279" spans="6:29">
      <c r="F279" s="339" t="s">
        <v>304</v>
      </c>
      <c r="S279">
        <f t="shared" ref="S279:AC279" ca="1" si="127">+S276-S277-S278</f>
        <v>-8085.2529160072681</v>
      </c>
      <c r="T279">
        <f t="shared" ca="1" si="127"/>
        <v>3891.9789289837545</v>
      </c>
      <c r="U279">
        <f t="shared" ca="1" si="127"/>
        <v>3944.0528144416467</v>
      </c>
      <c r="V279">
        <f t="shared" ca="1" si="127"/>
        <v>4001.5831858824677</v>
      </c>
      <c r="W279">
        <f t="shared" ca="1" si="127"/>
        <v>3901.05566834109</v>
      </c>
      <c r="X279">
        <f t="shared" ca="1" si="127"/>
        <v>3231.9149489589267</v>
      </c>
      <c r="Y279">
        <f t="shared" ca="1" si="127"/>
        <v>2619.6916925172054</v>
      </c>
      <c r="Z279">
        <f t="shared" ca="1" si="127"/>
        <v>2106.7468197611852</v>
      </c>
      <c r="AA279">
        <f t="shared" ca="1" si="127"/>
        <v>1694.505622012307</v>
      </c>
      <c r="AB279">
        <f t="shared" ca="1" si="127"/>
        <v>1363.1234576933</v>
      </c>
      <c r="AC279">
        <f t="shared" ca="1" si="127"/>
        <v>1093.5518179192379</v>
      </c>
    </row>
    <row r="280" spans="6:29">
      <c r="F280" s="6" t="s">
        <v>264</v>
      </c>
      <c r="H280" s="704">
        <f ca="1">XIRR(S279:AC279,S94:AC94)</f>
        <v>0.43423174023628242</v>
      </c>
      <c r="S280">
        <f ca="1">NPV(10%,S279:$AC279)</f>
        <v>9763.8135216819337</v>
      </c>
      <c r="T280">
        <f ca="1">NPV(10%,T279:$AC279)</f>
        <v>18825.447789857397</v>
      </c>
      <c r="U280">
        <f ca="1">NPV(10%,U279:$AC279)</f>
        <v>16816.013639859382</v>
      </c>
      <c r="V280">
        <f ca="1">NPV(10%,V279:$AC279)</f>
        <v>14553.562189403679</v>
      </c>
      <c r="W280">
        <f ca="1">NPV(10%,W279:$AC279)</f>
        <v>12007.335222461577</v>
      </c>
      <c r="X280">
        <f ca="1">NPV(10%,X279:$AC279)</f>
        <v>9307.0130763666475</v>
      </c>
      <c r="Y280">
        <f ca="1">NPV(10%,Y279:$AC279)</f>
        <v>7005.7994350443851</v>
      </c>
      <c r="Z280">
        <f ca="1">NPV(10%,Z279:$AC279)</f>
        <v>5086.6876860316206</v>
      </c>
      <c r="AA280">
        <f ca="1">NPV(10%,AA279:$AC279)</f>
        <v>3488.6096348735978</v>
      </c>
      <c r="AB280">
        <f ca="1">NPV(10%,AB279:$AC279)</f>
        <v>2142.9649763486509</v>
      </c>
      <c r="AC280">
        <f ca="1">NPV(10%,AC279:$AC279)</f>
        <v>994.13801629021623</v>
      </c>
    </row>
    <row r="281" spans="6:29">
      <c r="F281" s="6"/>
      <c r="H281" s="704"/>
    </row>
    <row r="282" spans="6:29">
      <c r="F282" s="339" t="s">
        <v>305</v>
      </c>
      <c r="T282">
        <f ca="1">(+T186*T$53)+(T187*T$64)</f>
        <v>2489.1158522686574</v>
      </c>
      <c r="U282">
        <f t="shared" ref="U282:AC282" ca="1" si="128">(+U186*U$53)+(U187*U$64)</f>
        <v>5045.1355847626673</v>
      </c>
      <c r="V282">
        <f t="shared" ca="1" si="128"/>
        <v>5092.6825979964278</v>
      </c>
      <c r="W282">
        <f t="shared" ca="1" si="128"/>
        <v>5143.6521203060202</v>
      </c>
      <c r="X282">
        <f t="shared" ca="1" si="128"/>
        <v>5042.9330550959567</v>
      </c>
      <c r="Y282">
        <f t="shared" ca="1" si="128"/>
        <v>4144.4513720744308</v>
      </c>
      <c r="Z282">
        <f t="shared" ca="1" si="128"/>
        <v>3314.375350628166</v>
      </c>
      <c r="AA282">
        <f t="shared" ca="1" si="128"/>
        <v>2651.2487496688295</v>
      </c>
      <c r="AB282">
        <f t="shared" ca="1" si="128"/>
        <v>2121.3262786039218</v>
      </c>
      <c r="AC282">
        <f t="shared" ca="1" si="128"/>
        <v>1693.7085136896847</v>
      </c>
    </row>
    <row r="283" spans="6:29">
      <c r="F283" s="339" t="s">
        <v>306</v>
      </c>
      <c r="T283">
        <f ca="1">+T185*$H$73</f>
        <v>533.38022390246761</v>
      </c>
      <c r="U283">
        <f t="shared" ref="U283:AC283" ca="1" si="129">+U185*$H$73</f>
        <v>1061.4443805470985</v>
      </c>
      <c r="V283">
        <f t="shared" ca="1" si="129"/>
        <v>1050.8828324946435</v>
      </c>
      <c r="W283">
        <f t="shared" ca="1" si="129"/>
        <v>1040.4263736011765</v>
      </c>
      <c r="X283">
        <f t="shared" ca="1" si="129"/>
        <v>989.16351494623041</v>
      </c>
      <c r="Y283">
        <f t="shared" ca="1" si="129"/>
        <v>788.62212547026081</v>
      </c>
      <c r="Z283">
        <f t="shared" ca="1" si="129"/>
        <v>615.62930614550066</v>
      </c>
      <c r="AA283">
        <f t="shared" ca="1" si="129"/>
        <v>480.58433861361766</v>
      </c>
      <c r="AB283">
        <f t="shared" ca="1" si="129"/>
        <v>375.16294987117101</v>
      </c>
      <c r="AC283">
        <f t="shared" ca="1" si="129"/>
        <v>292.86688651166679</v>
      </c>
    </row>
    <row r="284" spans="6:29">
      <c r="F284" s="339" t="s">
        <v>307</v>
      </c>
      <c r="T284">
        <f ca="1">T$23</f>
        <v>10000</v>
      </c>
    </row>
    <row r="285" spans="6:29">
      <c r="F285" s="339" t="s">
        <v>308</v>
      </c>
      <c r="T285">
        <f t="shared" ref="T285:AC285" ca="1" si="130">+T282-T283-T284</f>
        <v>-8044.2643716338098</v>
      </c>
      <c r="U285">
        <f t="shared" ca="1" si="130"/>
        <v>3983.6912042155691</v>
      </c>
      <c r="V285">
        <f t="shared" ca="1" si="130"/>
        <v>4041.7997655017843</v>
      </c>
      <c r="W285">
        <f t="shared" ca="1" si="130"/>
        <v>4103.2257467048439</v>
      </c>
      <c r="X285">
        <f t="shared" ca="1" si="130"/>
        <v>4053.7695401497263</v>
      </c>
      <c r="Y285">
        <f t="shared" ca="1" si="130"/>
        <v>3355.8292466041698</v>
      </c>
      <c r="Z285">
        <f t="shared" ca="1" si="130"/>
        <v>2698.7460444826652</v>
      </c>
      <c r="AA285">
        <f t="shared" ca="1" si="130"/>
        <v>2170.664411055212</v>
      </c>
      <c r="AB285">
        <f t="shared" ca="1" si="130"/>
        <v>1746.1633287327509</v>
      </c>
      <c r="AC285">
        <f t="shared" ca="1" si="130"/>
        <v>1400.8416271780179</v>
      </c>
    </row>
    <row r="286" spans="6:29">
      <c r="F286" s="6" t="s">
        <v>264</v>
      </c>
      <c r="H286" s="704">
        <f ca="1">XIRR(T285:AC285,T94:AC94)</f>
        <v>0.44974063038825984</v>
      </c>
      <c r="T286">
        <f ca="1">NPV(10%,T285:$AC285)</f>
        <v>9908.0548283379176</v>
      </c>
      <c r="U286">
        <f ca="1">NPV(10%,U285:$AC285)</f>
        <v>18943.124682805519</v>
      </c>
      <c r="V286">
        <f ca="1">NPV(10%,V285:$AC285)</f>
        <v>16853.745946870502</v>
      </c>
      <c r="W286">
        <f ca="1">NPV(10%,W285:$AC285)</f>
        <v>14497.320776055773</v>
      </c>
      <c r="X286">
        <f ca="1">NPV(10%,X285:$AC285)</f>
        <v>11843.827106956503</v>
      </c>
      <c r="Y286">
        <f ca="1">NPV(10%,Y285:$AC285)</f>
        <v>8974.44027750243</v>
      </c>
      <c r="Z286">
        <f ca="1">NPV(10%,Z285:$AC285)</f>
        <v>6516.055058648506</v>
      </c>
      <c r="AA286">
        <f ca="1">NPV(10%,AA285:$AC285)</f>
        <v>4468.9145200306912</v>
      </c>
      <c r="AB286">
        <f ca="1">NPV(10%,AB285:$AC285)</f>
        <v>2745.1415609785486</v>
      </c>
      <c r="AC286">
        <f ca="1">NPV(10%,AC285:$AC285)</f>
        <v>1273.4923883436525</v>
      </c>
    </row>
    <row r="287" spans="6:29">
      <c r="F287" s="6"/>
      <c r="H287" s="704"/>
    </row>
    <row r="288" spans="6:29">
      <c r="F288" s="339" t="s">
        <v>309</v>
      </c>
      <c r="U288">
        <f ca="1">(+U189*U$53)+(U190*U$64)</f>
        <v>2535.2016527064879</v>
      </c>
      <c r="V288">
        <f t="shared" ref="V288:AC288" ca="1" si="131">(+V189*V$53)+(V190*V$64)</f>
        <v>5143.8649090129275</v>
      </c>
      <c r="W288">
        <f t="shared" ca="1" si="131"/>
        <v>5195.3466835379313</v>
      </c>
      <c r="X288">
        <f t="shared" ca="1" si="131"/>
        <v>5304.2803050739258</v>
      </c>
      <c r="Y288">
        <f t="shared" ca="1" si="131"/>
        <v>5198.3579388928347</v>
      </c>
      <c r="Z288">
        <f t="shared" ca="1" si="131"/>
        <v>4245.720123338102</v>
      </c>
      <c r="AA288">
        <f t="shared" ca="1" si="131"/>
        <v>3396.2538872703471</v>
      </c>
      <c r="AB288">
        <f t="shared" ca="1" si="131"/>
        <v>2717.4223545705554</v>
      </c>
      <c r="AC288">
        <f t="shared" ca="1" si="131"/>
        <v>2169.6433140194767</v>
      </c>
    </row>
    <row r="289" spans="6:29">
      <c r="F289" s="339" t="s">
        <v>310</v>
      </c>
      <c r="U289">
        <f ca="1">+U188*$H$73</f>
        <v>533.38022390246761</v>
      </c>
      <c r="V289">
        <f t="shared" ref="V289:AC289" ca="1" si="132">+V188*$H$73</f>
        <v>1061.4443805470985</v>
      </c>
      <c r="W289">
        <f t="shared" ca="1" si="132"/>
        <v>1050.8828324946435</v>
      </c>
      <c r="X289">
        <f t="shared" ca="1" si="132"/>
        <v>1040.4263736011765</v>
      </c>
      <c r="Y289">
        <f t="shared" ca="1" si="132"/>
        <v>989.16351494623041</v>
      </c>
      <c r="Z289">
        <f t="shared" ca="1" si="132"/>
        <v>788.62212547026081</v>
      </c>
      <c r="AA289">
        <f t="shared" ca="1" si="132"/>
        <v>615.62930614550066</v>
      </c>
      <c r="AB289">
        <f t="shared" ca="1" si="132"/>
        <v>480.58433861361766</v>
      </c>
      <c r="AC289">
        <f t="shared" ca="1" si="132"/>
        <v>375.16294987117101</v>
      </c>
    </row>
    <row r="290" spans="6:29">
      <c r="F290" s="339" t="s">
        <v>311</v>
      </c>
      <c r="U290">
        <f ca="1">U$23</f>
        <v>10000</v>
      </c>
    </row>
    <row r="291" spans="6:29">
      <c r="F291" s="339" t="s">
        <v>312</v>
      </c>
      <c r="U291">
        <f t="shared" ref="U291:AC291" ca="1" si="133">+U288-U289-U290</f>
        <v>-7998.1785711959801</v>
      </c>
      <c r="V291">
        <f t="shared" ca="1" si="133"/>
        <v>4082.4205284658292</v>
      </c>
      <c r="W291">
        <f t="shared" ca="1" si="133"/>
        <v>4144.4638510432878</v>
      </c>
      <c r="X291">
        <f t="shared" ca="1" si="133"/>
        <v>4263.8539314727495</v>
      </c>
      <c r="Y291">
        <f t="shared" ca="1" si="133"/>
        <v>4209.1944239466047</v>
      </c>
      <c r="Z291">
        <f t="shared" ca="1" si="133"/>
        <v>3457.0979978678411</v>
      </c>
      <c r="AA291">
        <f t="shared" ca="1" si="133"/>
        <v>2780.6245811248464</v>
      </c>
      <c r="AB291">
        <f t="shared" ca="1" si="133"/>
        <v>2236.8380159569379</v>
      </c>
      <c r="AC291">
        <f t="shared" ca="1" si="133"/>
        <v>1794.4803641483059</v>
      </c>
    </row>
    <row r="292" spans="6:29">
      <c r="F292" s="6" t="s">
        <v>264</v>
      </c>
      <c r="H292" s="704">
        <f ca="1">XIRR(U291:AC291,U94:AC94)</f>
        <v>0.46590072512626657</v>
      </c>
      <c r="U292">
        <f ca="1">NPV(10%,U291:$AC291)</f>
        <v>9925.3531079852473</v>
      </c>
      <c r="V292">
        <f ca="1">NPV(10%,V291:$AC291)</f>
        <v>18916.066989979754</v>
      </c>
      <c r="W292">
        <f ca="1">NPV(10%,W291:$AC291)</f>
        <v>16725.253160511897</v>
      </c>
      <c r="X292">
        <f ca="1">NPV(10%,X291:$AC291)</f>
        <v>14253.314625519806</v>
      </c>
      <c r="Y292">
        <f ca="1">NPV(10%,Y291:$AC291)</f>
        <v>11414.79215659904</v>
      </c>
      <c r="Z292">
        <f ca="1">NPV(10%,Z291:$AC291)</f>
        <v>8347.0769483123386</v>
      </c>
      <c r="AA292">
        <f ca="1">NPV(10%,AA291:$AC291)</f>
        <v>5724.6866452757322</v>
      </c>
      <c r="AB292">
        <f ca="1">NPV(10%,AB291:$AC291)</f>
        <v>3516.5307286784605</v>
      </c>
      <c r="AC292">
        <f ca="1">NPV(10%,AC291:$AC291)</f>
        <v>1631.3457855893689</v>
      </c>
    </row>
    <row r="293" spans="6:29">
      <c r="F293" s="6"/>
      <c r="H293" s="704"/>
    </row>
    <row r="294" spans="6:29">
      <c r="F294" s="339" t="s">
        <v>313</v>
      </c>
      <c r="V294">
        <f ca="1">(+V192*V$53)+(V193*V$64)</f>
        <v>2584.8135495137426</v>
      </c>
      <c r="W294">
        <f t="shared" ref="W294:AC294" ca="1" si="134">(+W192*W$53)+(W193*W$64)</f>
        <v>5247.5607857676659</v>
      </c>
      <c r="X294">
        <f t="shared" ca="1" si="134"/>
        <v>5357.5892084011812</v>
      </c>
      <c r="Y294">
        <f t="shared" ca="1" si="134"/>
        <v>5467.7599985449906</v>
      </c>
      <c r="Z294">
        <f t="shared" ca="1" si="134"/>
        <v>5325.3786636720888</v>
      </c>
      <c r="AA294">
        <f t="shared" ca="1" si="134"/>
        <v>4350.6066596880955</v>
      </c>
      <c r="AB294">
        <f t="shared" ca="1" si="134"/>
        <v>3481.0223809510135</v>
      </c>
      <c r="AC294">
        <f t="shared" ca="1" si="134"/>
        <v>2779.3165541894914</v>
      </c>
    </row>
    <row r="295" spans="6:29">
      <c r="F295" s="339" t="s">
        <v>314</v>
      </c>
      <c r="V295">
        <f ca="1">+V191*$H$73</f>
        <v>533.38022390246761</v>
      </c>
      <c r="W295">
        <f t="shared" ref="W295:AC295" ca="1" si="135">+W191*$H$73</f>
        <v>1061.4443805470985</v>
      </c>
      <c r="X295">
        <f t="shared" ca="1" si="135"/>
        <v>1050.8828324946435</v>
      </c>
      <c r="Y295">
        <f t="shared" ca="1" si="135"/>
        <v>1040.4263736011765</v>
      </c>
      <c r="Z295">
        <f t="shared" ca="1" si="135"/>
        <v>989.16351494623041</v>
      </c>
      <c r="AA295">
        <f t="shared" ca="1" si="135"/>
        <v>788.62212547026081</v>
      </c>
      <c r="AB295">
        <f t="shared" ca="1" si="135"/>
        <v>615.62930614550066</v>
      </c>
      <c r="AC295">
        <f t="shared" ca="1" si="135"/>
        <v>480.58433861361766</v>
      </c>
    </row>
    <row r="296" spans="6:29">
      <c r="F296" s="339" t="s">
        <v>315</v>
      </c>
      <c r="V296">
        <f ca="1">V$23</f>
        <v>10000</v>
      </c>
    </row>
    <row r="297" spans="6:29">
      <c r="F297" s="339" t="s">
        <v>316</v>
      </c>
      <c r="V297">
        <f t="shared" ref="V297:AC297" ca="1" si="136">+V294-V295-V296</f>
        <v>-7948.566674388725</v>
      </c>
      <c r="W297">
        <f t="shared" ca="1" si="136"/>
        <v>4186.1164052205677</v>
      </c>
      <c r="X297">
        <f t="shared" ca="1" si="136"/>
        <v>4306.7063759065377</v>
      </c>
      <c r="Y297">
        <f t="shared" ca="1" si="136"/>
        <v>4427.3336249438144</v>
      </c>
      <c r="Z297">
        <f t="shared" ca="1" si="136"/>
        <v>4336.2151487258579</v>
      </c>
      <c r="AA297">
        <f t="shared" ca="1" si="136"/>
        <v>3561.9845342178346</v>
      </c>
      <c r="AB297">
        <f t="shared" ca="1" si="136"/>
        <v>2865.3930748055127</v>
      </c>
      <c r="AC297">
        <f t="shared" ca="1" si="136"/>
        <v>2298.7322155758739</v>
      </c>
    </row>
    <row r="298" spans="6:29">
      <c r="F298" s="6" t="s">
        <v>264</v>
      </c>
      <c r="H298" s="704">
        <f ca="1">XIRR(V297:AC297,V94:AC94)</f>
        <v>0.48269786238670342</v>
      </c>
      <c r="V298">
        <f ca="1">NPV(10%,V297:$AC297)</f>
        <v>9739.1224294731273</v>
      </c>
      <c r="W298">
        <f ca="1">NPV(10%,W297:$AC297)</f>
        <v>18661.601346809166</v>
      </c>
      <c r="X298">
        <f ca="1">NPV(10%,X297:$AC297)</f>
        <v>16341.645076269517</v>
      </c>
      <c r="Y298">
        <f ca="1">NPV(10%,Y297:$AC297)</f>
        <v>13669.103207989934</v>
      </c>
      <c r="Z298">
        <f ca="1">NPV(10%,Z297:$AC297)</f>
        <v>10608.679903845115</v>
      </c>
      <c r="AA298">
        <f ca="1">NPV(10%,AA297:$AC297)</f>
        <v>7333.3327455037688</v>
      </c>
      <c r="AB298">
        <f ca="1">NPV(10%,AB297:$AC297)</f>
        <v>4504.6814858363114</v>
      </c>
      <c r="AC298">
        <f ca="1">NPV(10%,AC297:$AC297)</f>
        <v>2089.7565596144304</v>
      </c>
    </row>
    <row r="299" spans="6:29">
      <c r="F299" s="6"/>
      <c r="H299" s="704"/>
    </row>
    <row r="300" spans="6:29">
      <c r="F300" s="339" t="s">
        <v>317</v>
      </c>
      <c r="W300">
        <f ca="1">(+W195*W$53)+(W196*W$64)</f>
        <v>2636.9211596484324</v>
      </c>
      <c r="X300">
        <f t="shared" ref="X300:AC300" ca="1" si="137">(+X195*X$53)+(X196*X$64)</f>
        <v>5411.4338751139494</v>
      </c>
      <c r="Y300">
        <f t="shared" ca="1" si="137"/>
        <v>5522.7119001064984</v>
      </c>
      <c r="Z300">
        <f t="shared" ca="1" si="137"/>
        <v>5601.3635029781854</v>
      </c>
      <c r="AA300">
        <f t="shared" ca="1" si="137"/>
        <v>5456.9371523521122</v>
      </c>
      <c r="AB300">
        <f t="shared" ca="1" si="137"/>
        <v>4459.1952356249922</v>
      </c>
      <c r="AC300">
        <f t="shared" ca="1" si="137"/>
        <v>3560.308949622307</v>
      </c>
    </row>
    <row r="301" spans="6:29">
      <c r="F301" s="339" t="s">
        <v>318</v>
      </c>
      <c r="W301">
        <f ca="1">+W194*$H$73</f>
        <v>533.38022390246761</v>
      </c>
      <c r="X301">
        <f t="shared" ref="X301:AC301" ca="1" si="138">+X194*$H$73</f>
        <v>1061.4443805470985</v>
      </c>
      <c r="Y301">
        <f t="shared" ca="1" si="138"/>
        <v>1050.8828324946435</v>
      </c>
      <c r="Z301">
        <f t="shared" ca="1" si="138"/>
        <v>1040.4263736011765</v>
      </c>
      <c r="AA301">
        <f t="shared" ca="1" si="138"/>
        <v>989.16351494623041</v>
      </c>
      <c r="AB301">
        <f t="shared" ca="1" si="138"/>
        <v>788.62212547026081</v>
      </c>
      <c r="AC301">
        <f t="shared" ca="1" si="138"/>
        <v>615.62930614550066</v>
      </c>
    </row>
    <row r="302" spans="6:29">
      <c r="F302" s="339" t="s">
        <v>319</v>
      </c>
      <c r="W302">
        <f ca="1">W$23</f>
        <v>10000</v>
      </c>
    </row>
    <row r="303" spans="6:29">
      <c r="F303" s="339" t="s">
        <v>320</v>
      </c>
      <c r="W303">
        <f t="shared" ref="W303:AC303" ca="1" si="139">+W300-W301-W302</f>
        <v>-7896.4590642540352</v>
      </c>
      <c r="X303">
        <f t="shared" ca="1" si="139"/>
        <v>4349.9894945668511</v>
      </c>
      <c r="Y303">
        <f t="shared" ca="1" si="139"/>
        <v>4471.829067611855</v>
      </c>
      <c r="Z303">
        <f t="shared" ca="1" si="139"/>
        <v>4560.9371293770091</v>
      </c>
      <c r="AA303">
        <f t="shared" ca="1" si="139"/>
        <v>4467.7736374058823</v>
      </c>
      <c r="AB303">
        <f t="shared" ca="1" si="139"/>
        <v>3670.5731101547312</v>
      </c>
      <c r="AC303">
        <f t="shared" ca="1" si="139"/>
        <v>2944.6796434768062</v>
      </c>
    </row>
    <row r="304" spans="6:29">
      <c r="F304" s="6" t="s">
        <v>264</v>
      </c>
      <c r="H304" s="704">
        <f ca="1">XIRR(W303:AC303,W94:AC94)</f>
        <v>0.49704089760780334</v>
      </c>
      <c r="W304">
        <f ca="1">NPV(10%,W303:$AC303)</f>
        <v>9248.5312965978246</v>
      </c>
      <c r="X304">
        <f ca="1">NPV(10%,X303:$AC303)</f>
        <v>18069.843490511641</v>
      </c>
      <c r="Y304">
        <f ca="1">NPV(10%,Y303:$AC303)</f>
        <v>15526.838344995957</v>
      </c>
      <c r="Z304">
        <f ca="1">NPV(10%,Z303:$AC303)</f>
        <v>12607.693111883698</v>
      </c>
      <c r="AA304">
        <f ca="1">NPV(10%,AA303:$AC303)</f>
        <v>9307.5252936950601</v>
      </c>
      <c r="AB304">
        <f ca="1">NPV(10%,AB303:$AC303)</f>
        <v>5770.5041856586859</v>
      </c>
      <c r="AC304">
        <f ca="1">NPV(10%,AC303:$AC303)</f>
        <v>2676.9814940698234</v>
      </c>
    </row>
    <row r="305" spans="6:29">
      <c r="F305" s="6"/>
      <c r="H305" s="704"/>
    </row>
    <row r="306" spans="6:29">
      <c r="F306" s="339" t="s">
        <v>321</v>
      </c>
      <c r="X306">
        <f t="shared" ref="X306:AC306" ca="1" si="140">(+X198*X$53)+(X199*X$64)</f>
        <v>2719.2680698483409</v>
      </c>
      <c r="Y306">
        <f t="shared" ca="1" si="140"/>
        <v>5578.2160774602935</v>
      </c>
      <c r="Z306">
        <f t="shared" ca="1" si="140"/>
        <v>5657.6581420822768</v>
      </c>
      <c r="AA306">
        <f t="shared" ca="1" si="140"/>
        <v>5739.7399384467408</v>
      </c>
      <c r="AB306">
        <f t="shared" ca="1" si="140"/>
        <v>5593.1390847956081</v>
      </c>
      <c r="AC306">
        <f t="shared" ca="1" si="140"/>
        <v>4560.7614568601148</v>
      </c>
    </row>
    <row r="307" spans="6:29">
      <c r="F307" s="339" t="s">
        <v>322</v>
      </c>
      <c r="X307">
        <f t="shared" ref="X307:AC307" ca="1" si="141">+X197*$H$73</f>
        <v>533.38022390246761</v>
      </c>
      <c r="Y307">
        <f t="shared" ca="1" si="141"/>
        <v>1061.4443805470985</v>
      </c>
      <c r="Z307">
        <f t="shared" ca="1" si="141"/>
        <v>1050.8828324946435</v>
      </c>
      <c r="AA307">
        <f t="shared" ca="1" si="141"/>
        <v>1040.4263736011765</v>
      </c>
      <c r="AB307">
        <f t="shared" ca="1" si="141"/>
        <v>989.16351494623041</v>
      </c>
      <c r="AC307">
        <f t="shared" ca="1" si="141"/>
        <v>788.62212547026081</v>
      </c>
    </row>
    <row r="308" spans="6:29">
      <c r="F308" s="339" t="s">
        <v>323</v>
      </c>
      <c r="X308">
        <f ca="1">X$23</f>
        <v>10000</v>
      </c>
    </row>
    <row r="309" spans="6:29">
      <c r="F309" s="339" t="s">
        <v>324</v>
      </c>
      <c r="X309">
        <f t="shared" ref="X309:AC309" ca="1" si="142">+X306-X307-X308</f>
        <v>-7814.1121540541262</v>
      </c>
      <c r="Y309">
        <f t="shared" ca="1" si="142"/>
        <v>4516.7716969131952</v>
      </c>
      <c r="Z309">
        <f t="shared" ca="1" si="142"/>
        <v>4606.7753095876333</v>
      </c>
      <c r="AA309">
        <f t="shared" ca="1" si="142"/>
        <v>4699.3135648455645</v>
      </c>
      <c r="AB309">
        <f t="shared" ca="1" si="142"/>
        <v>4603.9755698493773</v>
      </c>
      <c r="AC309">
        <f t="shared" ca="1" si="142"/>
        <v>3772.1393313898539</v>
      </c>
    </row>
    <row r="310" spans="6:29">
      <c r="F310" s="6" t="s">
        <v>264</v>
      </c>
      <c r="H310" s="704">
        <f ca="1">XIRR(X309:AC309,X94:AC94)</f>
        <v>0.50326377749443074</v>
      </c>
      <c r="X310">
        <f ca="1">NPV(10%,X309:$AC309)</f>
        <v>8287.9446346884652</v>
      </c>
      <c r="Y310">
        <f ca="1">NPV(10%,Y309:$AC309)</f>
        <v>16930.851252211436</v>
      </c>
      <c r="Z310">
        <f ca="1">NPV(10%,Z309:$AC309)</f>
        <v>14107.164680519387</v>
      </c>
      <c r="AA310">
        <f ca="1">NPV(10%,AA309:$AC309)</f>
        <v>10911.105838983694</v>
      </c>
      <c r="AB310">
        <f ca="1">NPV(10%,AB309:$AC309)</f>
        <v>7302.9028580365029</v>
      </c>
      <c r="AC310">
        <f ca="1">NPV(10%,AC309:$AC309)</f>
        <v>3429.2175739907761</v>
      </c>
    </row>
    <row r="311" spans="6:29">
      <c r="F311" s="6"/>
      <c r="H311" s="704"/>
    </row>
    <row r="312" spans="6:29">
      <c r="F312" s="339" t="s">
        <v>325</v>
      </c>
      <c r="Y312">
        <f ca="1">(+Y201*Y$53)+(Y202*Y$64)</f>
        <v>2803.076821452064</v>
      </c>
      <c r="Z312">
        <f ca="1">(+Z201*Z$53)+(Z202*Z$64)</f>
        <v>5714.5185517153077</v>
      </c>
      <c r="AA312">
        <f ca="1">(+AA201*AA$53)+(AA202*AA$64)</f>
        <v>5797.4252838478033</v>
      </c>
      <c r="AB312">
        <f ca="1">(+AB201*AB$53)+(AB202*AB$64)</f>
        <v>5883.0004616145034</v>
      </c>
      <c r="AC312">
        <f ca="1">(+AC201*AC$53)+(AC202*AC$64)</f>
        <v>5720.5329241921781</v>
      </c>
    </row>
    <row r="313" spans="6:29">
      <c r="F313" s="339" t="s">
        <v>326</v>
      </c>
      <c r="Y313">
        <f ca="1">+Y200*$H$73</f>
        <v>533.38022390246761</v>
      </c>
      <c r="Z313">
        <f ca="1">+Z200*$H$73</f>
        <v>1061.4443805470985</v>
      </c>
      <c r="AA313">
        <f ca="1">+AA200*$H$73</f>
        <v>1050.8828324946435</v>
      </c>
      <c r="AB313">
        <f ca="1">+AB200*$H$73</f>
        <v>1040.4263736011765</v>
      </c>
      <c r="AC313">
        <f ca="1">+AC200*$H$73</f>
        <v>989.16351494623041</v>
      </c>
    </row>
    <row r="314" spans="6:29">
      <c r="F314" s="339" t="s">
        <v>327</v>
      </c>
      <c r="Y314">
        <f ca="1">Y$23</f>
        <v>10000</v>
      </c>
    </row>
    <row r="315" spans="6:29">
      <c r="F315" s="339" t="s">
        <v>328</v>
      </c>
      <c r="Y315">
        <f ca="1">+Y312-Y313-Y314</f>
        <v>-7730.3034024504032</v>
      </c>
      <c r="Z315">
        <f ca="1">+Z312-Z313-Z314</f>
        <v>4653.0741711682094</v>
      </c>
      <c r="AA315">
        <f ca="1">+AA312-AA313-AA314</f>
        <v>4746.5424513531598</v>
      </c>
      <c r="AB315">
        <f ca="1">+AB312-AB313-AB314</f>
        <v>4842.5740880133271</v>
      </c>
      <c r="AC315">
        <f ca="1">+AC312-AC313-AC314</f>
        <v>4731.3694092459482</v>
      </c>
    </row>
    <row r="316" spans="6:29">
      <c r="F316" s="6" t="s">
        <v>264</v>
      </c>
      <c r="H316" s="704">
        <f ca="1">XIRR(Y315:AC315,Y94:AC94)</f>
        <v>0.48488660454750065</v>
      </c>
      <c r="Y316">
        <f ca="1">NPV(10%,Y315:$AC315)</f>
        <v>6629.4663072537132</v>
      </c>
      <c r="Z316">
        <f ca="1">NPV(10%,Z315:$AC315)</f>
        <v>15022.716340429488</v>
      </c>
      <c r="AA316">
        <f ca="1">NPV(10%,AA315:$AC315)</f>
        <v>11871.913803304229</v>
      </c>
      <c r="AB316">
        <f ca="1">NPV(10%,AB315:$AC315)</f>
        <v>8312.5627322814926</v>
      </c>
      <c r="AC316">
        <f ca="1">NPV(10%,AC315:$AC315)</f>
        <v>4301.2449174963158</v>
      </c>
    </row>
    <row r="317" spans="6:29">
      <c r="F317" s="6"/>
      <c r="H317" s="704"/>
    </row>
    <row r="318" spans="6:29">
      <c r="F318" s="339" t="s">
        <v>329</v>
      </c>
      <c r="Z318">
        <f ca="1">(+Z204*Z$53)+(Z205*Z$64)</f>
        <v>2871.5693826912388</v>
      </c>
      <c r="AA318">
        <f ca="1">(+AA204*AA$53)+(AA205*AA$64)</f>
        <v>5855.6903766084552</v>
      </c>
      <c r="AB318">
        <f ca="1">(+AB204*AB$53)+(AB205*AB$64)</f>
        <v>5942.1255992099668</v>
      </c>
      <c r="AC318">
        <f ca="1">(+AC204*AC$53)+(AC205*AC$64)</f>
        <v>6016.9964171261754</v>
      </c>
    </row>
    <row r="319" spans="6:29">
      <c r="F319" s="339" t="s">
        <v>330</v>
      </c>
      <c r="Z319">
        <f ca="1">+Z203*$H$73</f>
        <v>533.38022390246761</v>
      </c>
      <c r="AA319">
        <f ca="1">+AA203*$H$73</f>
        <v>1061.4443805470985</v>
      </c>
      <c r="AB319">
        <f ca="1">+AB203*$H$73</f>
        <v>1050.8828324946435</v>
      </c>
      <c r="AC319">
        <f ca="1">+AC203*$H$73</f>
        <v>1040.4263736011765</v>
      </c>
    </row>
    <row r="320" spans="6:29">
      <c r="F320" s="339" t="s">
        <v>331</v>
      </c>
      <c r="Z320">
        <f ca="1">Z$23</f>
        <v>10000</v>
      </c>
    </row>
    <row r="321" spans="6:29">
      <c r="F321" s="339" t="s">
        <v>332</v>
      </c>
      <c r="Z321">
        <f ca="1">+Z318-Z319-Z320</f>
        <v>-7661.8108412112288</v>
      </c>
      <c r="AA321">
        <f ca="1">+AA318-AA319-AA320</f>
        <v>4794.2459960613569</v>
      </c>
      <c r="AB321">
        <f ca="1">+AB318-AB319-AB320</f>
        <v>4891.2427667153233</v>
      </c>
      <c r="AC321">
        <f ca="1">+AC318-AC319-AC320</f>
        <v>4976.5700435249992</v>
      </c>
    </row>
    <row r="322" spans="6:29">
      <c r="F322" s="6" t="s">
        <v>264</v>
      </c>
      <c r="H322" s="704">
        <f ca="1">XIRR(Z321:AC321,Z94:AC94)</f>
        <v>0.40731421113014221</v>
      </c>
      <c r="Z322">
        <f ca="1">NPV(10%,Z321:$AC321)</f>
        <v>4070.8315774154416</v>
      </c>
      <c r="AA322">
        <f ca="1">NPV(10%,AA321:$AC321)</f>
        <v>12139.725576368215</v>
      </c>
      <c r="AB322">
        <f ca="1">NPV(10%,AB321:$AC321)</f>
        <v>8559.452137943681</v>
      </c>
      <c r="AC322">
        <f ca="1">NPV(10%,AC321:$AC321)</f>
        <v>4524.1545850227258</v>
      </c>
    </row>
    <row r="323" spans="6:29">
      <c r="F323" s="6"/>
      <c r="H323" s="704"/>
    </row>
    <row r="324" spans="6:29">
      <c r="F324" s="339" t="s">
        <v>333</v>
      </c>
      <c r="AA324">
        <f ca="1">(+AA207*AA$53)+(AA208*AA$64)</f>
        <v>2942.5088129150022</v>
      </c>
      <c r="AB324">
        <f ca="1">(+AB207*AB$53)+(AB208*AB$64)</f>
        <v>6001.84495431714</v>
      </c>
      <c r="AC324">
        <f ca="1">(+AC207*AC$53)+(AC208*AC$64)</f>
        <v>6077.4682364631335</v>
      </c>
    </row>
    <row r="325" spans="6:29">
      <c r="F325" s="339" t="s">
        <v>334</v>
      </c>
      <c r="AA325">
        <f ca="1">+AA206*$H$73</f>
        <v>533.38022390246761</v>
      </c>
      <c r="AB325">
        <f ca="1">+AB206*$H$73</f>
        <v>1061.4443805470985</v>
      </c>
      <c r="AC325">
        <f ca="1">+AC206*$H$73</f>
        <v>1050.8828324946435</v>
      </c>
    </row>
    <row r="326" spans="6:29">
      <c r="F326" s="339" t="s">
        <v>335</v>
      </c>
      <c r="AA326">
        <f ca="1">AA$23</f>
        <v>10000</v>
      </c>
    </row>
    <row r="327" spans="6:29">
      <c r="F327" s="339" t="s">
        <v>336</v>
      </c>
      <c r="AA327">
        <f ca="1">+AA324-AA325-AA326</f>
        <v>-7590.8714109874654</v>
      </c>
      <c r="AB327">
        <f ca="1">+AB324-AB325-AB326</f>
        <v>4940.4005737700418</v>
      </c>
      <c r="AC327">
        <f ca="1">+AC324-AC325-AC326</f>
        <v>5026.58540396849</v>
      </c>
    </row>
    <row r="328" spans="6:29">
      <c r="F328" s="6" t="s">
        <v>264</v>
      </c>
      <c r="H328" s="704">
        <f ca="1">XIRR(AA327:AC327,AA94:AC94)</f>
        <v>0.20182155966758733</v>
      </c>
      <c r="AA328">
        <f ca="1">NPV(10%,AA327:$AC327)</f>
        <v>958.73150099226211</v>
      </c>
      <c r="AB328">
        <f ca="1">NPV(10%,AB327:$AC327)</f>
        <v>8645.4760620789548</v>
      </c>
      <c r="AC328">
        <f ca="1">NPV(10%,AC327:$AC327)</f>
        <v>4569.623094516809</v>
      </c>
    </row>
    <row r="329" spans="6:29">
      <c r="F329" s="6"/>
      <c r="H329" s="704"/>
    </row>
    <row r="330" spans="6:29">
      <c r="F330" s="339" t="s">
        <v>337</v>
      </c>
      <c r="AB330">
        <f ca="1">(+AB210*AB$53)+(AB211*AB$64)</f>
        <v>3015.9520971900088</v>
      </c>
      <c r="AC330">
        <f ca="1">(+AC210*AC$53)+(AC211*AC$64)</f>
        <v>6138.5478076883137</v>
      </c>
    </row>
    <row r="331" spans="6:29">
      <c r="F331" s="339" t="s">
        <v>338</v>
      </c>
      <c r="AB331">
        <f ca="1">+AB209*$H$73</f>
        <v>533.38022390246761</v>
      </c>
      <c r="AC331">
        <f ca="1">+AC209*$H$73</f>
        <v>1061.4443805470985</v>
      </c>
    </row>
    <row r="332" spans="6:29">
      <c r="F332" s="339" t="s">
        <v>339</v>
      </c>
      <c r="AB332">
        <f ca="1">AB$23</f>
        <v>10000</v>
      </c>
    </row>
    <row r="333" spans="6:29">
      <c r="F333" s="339" t="s">
        <v>340</v>
      </c>
      <c r="AB333">
        <f ca="1">+AB330-AB331-AB332</f>
        <v>-7517.4281267124588</v>
      </c>
      <c r="AC333">
        <f ca="1">+AC330-AC331-AC332</f>
        <v>5077.1034271412154</v>
      </c>
    </row>
    <row r="334" spans="6:29">
      <c r="F334" s="6" t="s">
        <v>264</v>
      </c>
      <c r="H334" s="704">
        <f ca="1">XIRR(AB333:AC333,AB94:AC94)</f>
        <v>-0.32462228462100046</v>
      </c>
      <c r="AB334">
        <f ca="1">NPV(10%,AB333:$AC333)</f>
        <v>-2638.0723241673468</v>
      </c>
      <c r="AC334">
        <f ca="1">NPV(10%,AC333:$AC333)</f>
        <v>4615.5485701283769</v>
      </c>
    </row>
    <row r="335" spans="6:29">
      <c r="F335" s="6"/>
      <c r="H335" s="704"/>
    </row>
    <row r="336" spans="6:29">
      <c r="F336" s="339" t="s">
        <v>341</v>
      </c>
      <c r="AC336">
        <f ca="1">(+AC210*AC$53)+(AC211*AC$64)</f>
        <v>6138.5478076883137</v>
      </c>
    </row>
    <row r="337" spans="1:29">
      <c r="F337" s="339" t="s">
        <v>342</v>
      </c>
      <c r="AC337">
        <f ca="1">+AC209*$H$73</f>
        <v>1061.4443805470985</v>
      </c>
    </row>
    <row r="338" spans="1:29">
      <c r="F338" s="339" t="s">
        <v>343</v>
      </c>
      <c r="AC338">
        <f ca="1">AC$23</f>
        <v>10000</v>
      </c>
    </row>
    <row r="339" spans="1:29">
      <c r="F339" s="339" t="s">
        <v>344</v>
      </c>
      <c r="AC339">
        <f ca="1">+AC336-AC337-AC338</f>
        <v>-4922.8965728587846</v>
      </c>
    </row>
    <row r="340" spans="1:29">
      <c r="F340" s="6" t="s">
        <v>264</v>
      </c>
      <c r="H340" s="704" t="e">
        <f ca="1">XIRR(AC339:AC339,AB94:AC94)</f>
        <v>#NUM!</v>
      </c>
      <c r="AC340">
        <f ca="1">NPV(10%,AC339:$AC339)</f>
        <v>-4475.3605207807132</v>
      </c>
    </row>
    <row r="341" spans="1:29">
      <c r="F341" s="6"/>
      <c r="H341" s="704"/>
    </row>
    <row r="342" spans="1:29">
      <c r="F342" s="6"/>
      <c r="H342" s="704"/>
    </row>
    <row r="343" spans="1:29">
      <c r="F343" s="731" t="s">
        <v>345</v>
      </c>
      <c r="I343">
        <f t="shared" ref="I343:X343" ca="1" si="143">+I220+I226+I232+I238+I244+I250+I256+I262</f>
        <v>6321.962414942509</v>
      </c>
      <c r="J343">
        <f t="shared" ca="1" si="143"/>
        <v>25732.18657120215</v>
      </c>
      <c r="K343">
        <f t="shared" ca="1" si="143"/>
        <v>39922.512961074259</v>
      </c>
      <c r="L343">
        <f t="shared" ca="1" si="143"/>
        <v>52938.365412493607</v>
      </c>
      <c r="M343">
        <f t="shared" ca="1" si="143"/>
        <v>64324.058723103226</v>
      </c>
      <c r="N343">
        <f t="shared" ca="1" si="143"/>
        <v>73760.01325755936</v>
      </c>
      <c r="O343">
        <f t="shared" ca="1" si="143"/>
        <v>79950.67194342264</v>
      </c>
      <c r="P343">
        <f t="shared" ca="1" si="143"/>
        <v>88259.982646039207</v>
      </c>
      <c r="Q343">
        <f t="shared" ca="1" si="143"/>
        <v>84661.350820499953</v>
      </c>
      <c r="R343">
        <f t="shared" ca="1" si="143"/>
        <v>70940.682370903625</v>
      </c>
      <c r="S343">
        <f t="shared" ca="1" si="143"/>
        <v>58192.009093210174</v>
      </c>
      <c r="T343">
        <f t="shared" ca="1" si="143"/>
        <v>46740.229956402538</v>
      </c>
      <c r="U343">
        <f t="shared" ca="1" si="143"/>
        <v>36934.068328619993</v>
      </c>
      <c r="V343">
        <f t="shared" ca="1" si="143"/>
        <v>28995.598950711494</v>
      </c>
      <c r="W343">
        <f t="shared" ca="1" si="143"/>
        <v>22589.820425887719</v>
      </c>
      <c r="X343">
        <f t="shared" ca="1" si="143"/>
        <v>17400.178294875885</v>
      </c>
      <c r="Y343">
        <f ca="1">+Y220+Y226+Y232+Y238+Y244+Y250+Y256+Y262</f>
        <v>13097.882023767641</v>
      </c>
      <c r="Z343">
        <f ca="1">+Z220+Z226+Z232+Z238+Z244+Z250+Z256+Z262</f>
        <v>9509.9546912695296</v>
      </c>
      <c r="AA343">
        <f ca="1">+AA220+AA226+AA232+AA238+AA244+AA250+AA256+AA262</f>
        <v>6522.224600947914</v>
      </c>
      <c r="AB343">
        <f ca="1">+AB220+AB226+AB232+AB238+AB244+AB250+AB256+AB262</f>
        <v>4006.4381947444117</v>
      </c>
      <c r="AC343">
        <f ca="1">+AC220+AC226+AC232+AC238+AC244+AC250+AC256+AC262</f>
        <v>1858.6176457718066</v>
      </c>
    </row>
    <row r="345" spans="1:29" ht="12" thickBot="1"/>
    <row r="346" spans="1:29" ht="12" thickTop="1">
      <c r="A346" s="301"/>
      <c r="B346" s="301"/>
      <c r="C346" s="301"/>
      <c r="D346" s="301"/>
      <c r="E346" s="301"/>
      <c r="F346" s="612"/>
      <c r="G346" s="301"/>
      <c r="H346" s="301"/>
      <c r="I346" s="301"/>
      <c r="J346" s="301"/>
      <c r="K346" s="301"/>
      <c r="L346" s="301"/>
      <c r="M346" s="301"/>
      <c r="N346" s="301"/>
      <c r="O346" s="301"/>
      <c r="P346" s="301"/>
      <c r="Q346" s="301"/>
      <c r="R346" s="301"/>
      <c r="S346" s="301"/>
      <c r="T346" s="301"/>
      <c r="U346" s="301"/>
      <c r="V346" s="301"/>
      <c r="W346" s="301"/>
      <c r="X346" s="301"/>
      <c r="Y346" s="301"/>
      <c r="Z346" s="301"/>
      <c r="AA346" s="301"/>
      <c r="AB346" s="301"/>
      <c r="AC346" s="301"/>
    </row>
    <row r="347" spans="1:29">
      <c r="A347" s="310" t="s">
        <v>346</v>
      </c>
    </row>
    <row r="348" spans="1:29">
      <c r="B348" s="339" t="s">
        <v>347</v>
      </c>
      <c r="E348" s="476"/>
      <c r="F348" s="476"/>
      <c r="G348" s="476"/>
      <c r="H348" s="476"/>
      <c r="I348" s="476">
        <f t="shared" ref="I348:U348" ca="1" si="144">+I67</f>
        <v>0</v>
      </c>
      <c r="J348" s="476">
        <f t="shared" ca="1" si="144"/>
        <v>7966.3292547029732</v>
      </c>
      <c r="K348" s="476">
        <f t="shared" ca="1" si="144"/>
        <v>11713.116298840796</v>
      </c>
      <c r="L348" s="476">
        <f t="shared" ca="1" si="144"/>
        <v>15883.279257271664</v>
      </c>
      <c r="M348" s="476">
        <f t="shared" ca="1" si="144"/>
        <v>20188.030488963304</v>
      </c>
      <c r="N348" s="476">
        <f t="shared" ca="1" si="144"/>
        <v>23749.572071416325</v>
      </c>
      <c r="O348" s="476">
        <f t="shared" ca="1" si="144"/>
        <v>26621.474970183874</v>
      </c>
      <c r="P348" s="476">
        <f t="shared" ca="1" si="144"/>
        <v>28984.763185864173</v>
      </c>
      <c r="Q348" s="476">
        <f t="shared" ca="1" si="144"/>
        <v>30970.60908048688</v>
      </c>
      <c r="R348" s="476">
        <f t="shared" ca="1" si="144"/>
        <v>32688.477996866037</v>
      </c>
      <c r="S348" s="476">
        <f t="shared" ca="1" si="144"/>
        <v>34225.419928756426</v>
      </c>
      <c r="T348" s="476">
        <f t="shared" ca="1" si="144"/>
        <v>35631.323488326445</v>
      </c>
      <c r="U348" s="476">
        <f t="shared" ca="1" si="144"/>
        <v>36953.24658008961</v>
      </c>
      <c r="V348" s="476">
        <f t="shared" ref="V348:AC348" ca="1" si="145">+V67</f>
        <v>38203.45712759289</v>
      </c>
      <c r="W348" s="476">
        <f t="shared" ca="1" si="145"/>
        <v>39393.347577756038</v>
      </c>
      <c r="X348" s="476">
        <f t="shared" ca="1" si="145"/>
        <v>40961.439357743075</v>
      </c>
      <c r="Y348" s="476">
        <f t="shared" ca="1" si="145"/>
        <v>42495.791791013879</v>
      </c>
      <c r="Z348" s="476">
        <f t="shared" ca="1" si="145"/>
        <v>43751.614991891329</v>
      </c>
      <c r="AA348" s="476">
        <f t="shared" ca="1" si="145"/>
        <v>45006.399484958325</v>
      </c>
      <c r="AB348" s="476">
        <f t="shared" ca="1" si="145"/>
        <v>46268.907620848797</v>
      </c>
      <c r="AC348" s="476">
        <f t="shared" ca="1" si="145"/>
        <v>47433.88552889257</v>
      </c>
    </row>
    <row r="349" spans="1:29">
      <c r="B349" t="s">
        <v>348</v>
      </c>
      <c r="E349" s="476"/>
      <c r="F349" s="476"/>
      <c r="G349" s="476"/>
      <c r="H349" s="476"/>
      <c r="I349" s="476">
        <f t="shared" ref="I349:U349" ca="1" si="146">+I127</f>
        <v>533.38022390246761</v>
      </c>
      <c r="J349" s="476">
        <f t="shared" ca="1" si="146"/>
        <v>2327.7268958822397</v>
      </c>
      <c r="K349" s="476">
        <f t="shared" ca="1" si="146"/>
        <v>3723.3141364375624</v>
      </c>
      <c r="L349" s="476">
        <f t="shared" ca="1" si="146"/>
        <v>5147.39550221438</v>
      </c>
      <c r="M349" s="476">
        <f t="shared" ca="1" si="146"/>
        <v>6532.5961304762404</v>
      </c>
      <c r="N349" s="476">
        <f t="shared" ca="1" si="146"/>
        <v>7648.8800815321792</v>
      </c>
      <c r="O349" s="476">
        <f t="shared" ca="1" si="146"/>
        <v>8528.7244543642955</v>
      </c>
      <c r="P349" s="476">
        <f t="shared" ca="1" si="146"/>
        <v>9226.7313088204974</v>
      </c>
      <c r="Q349" s="476">
        <f t="shared" ca="1" si="146"/>
        <v>9784.5920809969612</v>
      </c>
      <c r="R349" s="476">
        <f t="shared" ca="1" si="146"/>
        <v>10235.502907815509</v>
      </c>
      <c r="S349" s="476">
        <f t="shared" ca="1" si="146"/>
        <v>10605.524923065115</v>
      </c>
      <c r="T349" s="476">
        <f t="shared" ca="1" si="146"/>
        <v>10913.340394156394</v>
      </c>
      <c r="U349" s="476">
        <f t="shared" ca="1" si="146"/>
        <v>11174.279817314686</v>
      </c>
      <c r="V349" s="476">
        <f t="shared" ref="V349:AC349" ca="1" si="147">+V127</f>
        <v>11398.05978473759</v>
      </c>
      <c r="W349" s="476">
        <f t="shared" ca="1" si="147"/>
        <v>11592.432486250909</v>
      </c>
      <c r="X349" s="476">
        <f t="shared" ca="1" si="147"/>
        <v>11802.975364146445</v>
      </c>
      <c r="Y349" s="476">
        <f t="shared" ca="1" si="147"/>
        <v>11995.875328532771</v>
      </c>
      <c r="Z349" s="476">
        <f t="shared" ca="1" si="147"/>
        <v>12151.800973979982</v>
      </c>
      <c r="AA349" s="476">
        <f t="shared" ca="1" si="147"/>
        <v>12298.771093130503</v>
      </c>
      <c r="AB349" s="476">
        <f t="shared" ca="1" si="147"/>
        <v>12439.535351730075</v>
      </c>
      <c r="AC349" s="476">
        <f t="shared" ca="1" si="147"/>
        <v>12565.927588885206</v>
      </c>
    </row>
    <row r="350" spans="1:29">
      <c r="B350" s="308" t="s">
        <v>349</v>
      </c>
      <c r="E350" s="476"/>
      <c r="F350" s="476"/>
      <c r="G350" s="476"/>
      <c r="H350" s="476"/>
      <c r="I350" s="476">
        <f t="shared" ref="I350:U350" ca="1" si="148">+I148</f>
        <v>0</v>
      </c>
      <c r="J350" s="476">
        <f t="shared" ca="1" si="148"/>
        <v>2521.4762149792041</v>
      </c>
      <c r="K350" s="476">
        <f t="shared" ca="1" si="148"/>
        <v>3907.0680287898454</v>
      </c>
      <c r="L350" s="476">
        <f t="shared" ca="1" si="148"/>
        <v>5583.4236712074644</v>
      </c>
      <c r="M350" s="476">
        <f t="shared" ca="1" si="148"/>
        <v>7478.8747108490952</v>
      </c>
      <c r="N350" s="476">
        <f t="shared" ca="1" si="148"/>
        <v>9272.1401762844034</v>
      </c>
      <c r="O350" s="476">
        <f t="shared" ca="1" si="148"/>
        <v>10953.129136580936</v>
      </c>
      <c r="P350" s="476">
        <f t="shared" ca="1" si="148"/>
        <v>12567.756117874314</v>
      </c>
      <c r="Q350" s="476">
        <f t="shared" ca="1" si="148"/>
        <v>14152.058937922047</v>
      </c>
      <c r="R350" s="476">
        <f t="shared" ca="1" si="148"/>
        <v>15741.513136278914</v>
      </c>
      <c r="S350" s="476">
        <f t="shared" ca="1" si="148"/>
        <v>17369.305574178044</v>
      </c>
      <c r="T350" s="476">
        <f t="shared" ca="1" si="148"/>
        <v>19056.692156403558</v>
      </c>
      <c r="U350" s="476">
        <f t="shared" ca="1" si="148"/>
        <v>20828.119385763897</v>
      </c>
      <c r="V350" s="476">
        <f t="shared" ref="V350:AC350" ca="1" si="149">+V148</f>
        <v>22692.482937153571</v>
      </c>
      <c r="W350" s="476">
        <f t="shared" ca="1" si="149"/>
        <v>24659.492503475623</v>
      </c>
      <c r="X350" s="476">
        <f t="shared" ca="1" si="149"/>
        <v>27022.053510444512</v>
      </c>
      <c r="Y350" s="476">
        <f t="shared" ca="1" si="149"/>
        <v>29544.113303657894</v>
      </c>
      <c r="Z350" s="476">
        <f t="shared" ca="1" si="149"/>
        <v>32055.386480950423</v>
      </c>
      <c r="AA350" s="476">
        <f t="shared" ca="1" si="149"/>
        <v>34750.662899001996</v>
      </c>
      <c r="AB350" s="476">
        <f t="shared" ca="1" si="149"/>
        <v>37649.565027914825</v>
      </c>
      <c r="AC350" s="476">
        <f t="shared" ca="1" si="149"/>
        <v>40676.287861275072</v>
      </c>
    </row>
    <row r="351" spans="1:29">
      <c r="B351" s="399" t="s">
        <v>350</v>
      </c>
      <c r="C351" s="205"/>
      <c r="E351" s="476"/>
      <c r="F351" s="476"/>
      <c r="G351" s="476"/>
      <c r="H351" s="476"/>
      <c r="I351" s="476">
        <f ca="1">+I23</f>
        <v>10000</v>
      </c>
      <c r="J351" s="476">
        <f t="shared" ref="J351:Y351" ca="1" si="150">+J23</f>
        <v>10000</v>
      </c>
      <c r="K351" s="476">
        <f t="shared" ca="1" si="150"/>
        <v>10000</v>
      </c>
      <c r="L351" s="476">
        <f t="shared" ca="1" si="150"/>
        <v>10000</v>
      </c>
      <c r="M351" s="476">
        <f t="shared" ca="1" si="150"/>
        <v>10000</v>
      </c>
      <c r="N351" s="476">
        <f t="shared" ca="1" si="150"/>
        <v>10000</v>
      </c>
      <c r="O351" s="476">
        <f t="shared" ca="1" si="150"/>
        <v>10000</v>
      </c>
      <c r="P351" s="476">
        <f t="shared" ca="1" si="150"/>
        <v>10000</v>
      </c>
      <c r="Q351" s="476">
        <f t="shared" ca="1" si="150"/>
        <v>10000</v>
      </c>
      <c r="R351" s="476">
        <f t="shared" ca="1" si="150"/>
        <v>10000</v>
      </c>
      <c r="S351" s="476">
        <f t="shared" ca="1" si="150"/>
        <v>10000</v>
      </c>
      <c r="T351" s="476">
        <f t="shared" ca="1" si="150"/>
        <v>10000</v>
      </c>
      <c r="U351" s="476">
        <f t="shared" ca="1" si="150"/>
        <v>10000</v>
      </c>
      <c r="V351" s="476">
        <f t="shared" ca="1" si="150"/>
        <v>10000</v>
      </c>
      <c r="W351" s="476">
        <f t="shared" ca="1" si="150"/>
        <v>10000</v>
      </c>
      <c r="X351" s="476">
        <f t="shared" ca="1" si="150"/>
        <v>10000</v>
      </c>
      <c r="Y351" s="476">
        <f t="shared" ca="1" si="150"/>
        <v>10000</v>
      </c>
      <c r="Z351" s="476">
        <f ca="1">+Z23</f>
        <v>10000</v>
      </c>
      <c r="AA351" s="476">
        <f ca="1">+AA23</f>
        <v>10000</v>
      </c>
      <c r="AB351" s="476">
        <f ca="1">+AB23</f>
        <v>10000</v>
      </c>
      <c r="AC351" s="476">
        <f ca="1">+AC23</f>
        <v>10000</v>
      </c>
    </row>
    <row r="352" spans="1:29">
      <c r="B352" s="308" t="s">
        <v>351</v>
      </c>
      <c r="E352" s="476"/>
      <c r="F352" s="476"/>
      <c r="G352" s="476"/>
      <c r="H352" s="476"/>
      <c r="I352" s="476"/>
      <c r="J352" s="476"/>
      <c r="K352" s="476"/>
      <c r="L352" s="476"/>
      <c r="M352" s="476"/>
      <c r="N352" s="476"/>
      <c r="O352" s="476"/>
      <c r="P352" s="476"/>
      <c r="Q352" s="476"/>
      <c r="R352" s="476"/>
      <c r="S352" s="476"/>
      <c r="T352" s="476"/>
      <c r="U352" s="476"/>
      <c r="V352" s="476"/>
      <c r="W352" s="476"/>
      <c r="X352" s="476"/>
      <c r="Y352" s="476"/>
      <c r="Z352" s="476"/>
      <c r="AA352" s="476"/>
      <c r="AB352" s="476"/>
      <c r="AC352" s="476"/>
    </row>
    <row r="353" spans="1:29">
      <c r="B353" s="308" t="s">
        <v>352</v>
      </c>
      <c r="E353" s="476"/>
      <c r="F353" s="476"/>
      <c r="G353" s="476"/>
      <c r="H353" s="476"/>
      <c r="I353" s="476"/>
      <c r="J353" s="476"/>
      <c r="K353" s="476"/>
      <c r="L353" s="476"/>
      <c r="M353" s="476"/>
      <c r="N353" s="476"/>
      <c r="O353" s="476"/>
      <c r="P353" s="476"/>
      <c r="Q353" s="476"/>
      <c r="R353" s="476"/>
      <c r="S353" s="476"/>
      <c r="T353" s="476"/>
      <c r="U353" s="476"/>
      <c r="V353" s="476"/>
      <c r="W353" s="476"/>
      <c r="X353" s="476"/>
      <c r="Y353" s="476"/>
      <c r="Z353" s="476"/>
      <c r="AA353" s="476"/>
      <c r="AB353" s="476"/>
      <c r="AC353" s="476"/>
    </row>
    <row r="354" spans="1:29">
      <c r="B354" s="211" t="s">
        <v>353</v>
      </c>
      <c r="C354" s="211"/>
      <c r="E354" s="476"/>
      <c r="F354" s="476"/>
      <c r="G354" s="476"/>
      <c r="H354" s="476"/>
      <c r="I354" s="476"/>
      <c r="J354" s="476"/>
      <c r="K354" s="476"/>
      <c r="L354" s="476"/>
      <c r="M354" s="476"/>
      <c r="N354" s="476"/>
      <c r="O354" s="476"/>
      <c r="P354" s="476"/>
      <c r="Q354" s="476"/>
      <c r="R354" s="476"/>
      <c r="S354" s="476"/>
      <c r="T354" s="476"/>
      <c r="U354" s="476"/>
      <c r="V354" s="476"/>
      <c r="W354" s="476"/>
      <c r="X354" s="476"/>
      <c r="Y354" s="476"/>
      <c r="Z354" s="476"/>
      <c r="AA354" s="476"/>
      <c r="AB354" s="476"/>
      <c r="AC354" s="476"/>
    </row>
    <row r="355" spans="1:29">
      <c r="B355" t="s">
        <v>354</v>
      </c>
      <c r="E355" s="476"/>
      <c r="F355" s="476"/>
      <c r="G355" s="476"/>
      <c r="H355" s="476"/>
      <c r="I355" s="476"/>
      <c r="J355" s="476"/>
      <c r="K355" s="476"/>
      <c r="L355" s="476"/>
      <c r="M355" s="476"/>
      <c r="N355" s="476"/>
      <c r="O355" s="476"/>
      <c r="P355" s="476"/>
      <c r="Q355" s="476"/>
      <c r="R355" s="476"/>
      <c r="S355" s="476"/>
      <c r="T355" s="476"/>
      <c r="U355" s="476"/>
      <c r="V355" s="476"/>
      <c r="W355" s="476"/>
      <c r="X355" s="476"/>
      <c r="Y355" s="476"/>
      <c r="Z355" s="476"/>
      <c r="AA355" s="476"/>
      <c r="AB355" s="476"/>
      <c r="AC355" s="476"/>
    </row>
    <row r="356" spans="1:29">
      <c r="B356" t="s">
        <v>355</v>
      </c>
      <c r="E356" s="476"/>
      <c r="F356" s="476"/>
      <c r="G356" s="476"/>
      <c r="H356" s="476"/>
      <c r="I356" s="476"/>
      <c r="J356" s="476"/>
      <c r="K356" s="476"/>
      <c r="L356" s="476"/>
      <c r="M356" s="476"/>
      <c r="N356" s="476"/>
      <c r="O356" s="476"/>
      <c r="P356" s="476"/>
      <c r="Q356" s="476"/>
      <c r="R356" s="476"/>
      <c r="S356" s="476"/>
      <c r="T356" s="476"/>
      <c r="U356" s="476"/>
      <c r="V356" s="476"/>
      <c r="W356" s="476"/>
      <c r="X356" s="476"/>
      <c r="Y356" s="476"/>
      <c r="Z356" s="476"/>
      <c r="AA356" s="476"/>
      <c r="AB356" s="476"/>
      <c r="AC356" s="476"/>
    </row>
    <row r="357" spans="1:29">
      <c r="B357" t="s">
        <v>356</v>
      </c>
      <c r="E357" s="476"/>
      <c r="F357" s="476"/>
      <c r="G357" s="476"/>
      <c r="H357" s="476"/>
      <c r="I357" s="476"/>
      <c r="J357" s="476"/>
      <c r="K357" s="476"/>
      <c r="L357" s="476"/>
      <c r="M357" s="476"/>
      <c r="N357" s="476"/>
      <c r="O357" s="476"/>
      <c r="P357" s="476"/>
      <c r="Q357" s="476"/>
      <c r="R357" s="476"/>
      <c r="S357" s="476"/>
      <c r="T357" s="476"/>
      <c r="U357" s="476"/>
      <c r="V357" s="476"/>
      <c r="W357" s="476"/>
      <c r="X357" s="476"/>
      <c r="Y357" s="476"/>
      <c r="Z357" s="476"/>
      <c r="AA357" s="476"/>
      <c r="AB357" s="476"/>
      <c r="AC357" s="476"/>
    </row>
    <row r="358" spans="1:29">
      <c r="B358" s="83" t="s">
        <v>357</v>
      </c>
      <c r="E358" s="476"/>
      <c r="F358" s="476"/>
      <c r="G358" s="476"/>
      <c r="H358" s="476"/>
      <c r="I358" s="476"/>
      <c r="J358" s="476"/>
      <c r="K358" s="476"/>
      <c r="L358" s="476"/>
      <c r="M358" s="476"/>
      <c r="N358" s="476"/>
      <c r="O358" s="476"/>
      <c r="P358" s="476"/>
      <c r="Q358" s="476"/>
      <c r="R358" s="476"/>
      <c r="S358" s="476"/>
      <c r="T358" s="476"/>
      <c r="U358" s="476"/>
      <c r="V358" s="476"/>
      <c r="W358" s="476"/>
      <c r="X358" s="476"/>
      <c r="Y358" s="476"/>
      <c r="Z358" s="476"/>
      <c r="AA358" s="476"/>
      <c r="AB358" s="476"/>
      <c r="AC358" s="476"/>
    </row>
    <row r="359" spans="1:29">
      <c r="B359" s="308" t="s">
        <v>358</v>
      </c>
      <c r="E359" s="476"/>
      <c r="F359" s="476"/>
      <c r="G359" s="476"/>
      <c r="H359" s="476"/>
      <c r="I359" s="476"/>
      <c r="J359" s="476"/>
      <c r="K359" s="476"/>
      <c r="L359" s="476"/>
      <c r="M359" s="476"/>
      <c r="N359" s="476"/>
      <c r="O359" s="476"/>
      <c r="P359" s="476"/>
      <c r="Q359" s="476"/>
      <c r="R359" s="476"/>
      <c r="S359" s="476"/>
      <c r="T359" s="476"/>
      <c r="U359" s="476"/>
      <c r="V359" s="476"/>
      <c r="W359" s="476"/>
      <c r="X359" s="476"/>
      <c r="Y359" s="476"/>
      <c r="Z359" s="476"/>
      <c r="AA359" s="476"/>
      <c r="AB359" s="476"/>
      <c r="AC359" s="476"/>
    </row>
    <row r="360" spans="1:29">
      <c r="B360" s="308"/>
      <c r="E360" s="476"/>
      <c r="F360" s="476"/>
      <c r="G360" s="476"/>
      <c r="H360" s="476"/>
      <c r="I360" s="476"/>
      <c r="J360" s="476"/>
      <c r="K360" s="476"/>
      <c r="L360" s="476"/>
      <c r="M360" s="476"/>
      <c r="N360" s="476"/>
      <c r="O360" s="476"/>
      <c r="P360" s="476"/>
      <c r="Q360" s="476"/>
      <c r="R360" s="476"/>
      <c r="S360" s="476"/>
      <c r="T360" s="476"/>
      <c r="U360" s="476"/>
      <c r="V360" s="476"/>
      <c r="W360" s="476"/>
      <c r="X360" s="476"/>
      <c r="Y360" s="476"/>
      <c r="Z360" s="476"/>
      <c r="AA360" s="476"/>
      <c r="AB360" s="476"/>
      <c r="AC360" s="476"/>
    </row>
    <row r="361" spans="1:29">
      <c r="B361" s="350" t="s">
        <v>359</v>
      </c>
      <c r="E361" s="476"/>
      <c r="F361" s="476"/>
      <c r="G361" s="476"/>
      <c r="H361" s="476"/>
      <c r="I361" s="476"/>
      <c r="J361" s="476"/>
      <c r="K361" s="476"/>
      <c r="L361" s="476"/>
      <c r="M361" s="476"/>
      <c r="N361" s="476"/>
      <c r="O361" s="476"/>
      <c r="P361" s="476"/>
      <c r="Q361" s="476"/>
      <c r="R361" s="476"/>
      <c r="S361" s="476"/>
      <c r="T361" s="476"/>
      <c r="U361" s="476"/>
      <c r="V361" s="476"/>
      <c r="W361" s="476"/>
      <c r="X361" s="476"/>
      <c r="Y361" s="476"/>
      <c r="Z361" s="476"/>
      <c r="AA361" s="476"/>
      <c r="AB361" s="476"/>
      <c r="AC361" s="476"/>
    </row>
    <row r="362" spans="1:29">
      <c r="B362" s="308" t="s">
        <v>360</v>
      </c>
      <c r="E362" s="476"/>
      <c r="F362" s="476"/>
      <c r="G362" s="476"/>
      <c r="H362" s="476"/>
      <c r="I362" s="476">
        <f ca="1">+I23</f>
        <v>10000</v>
      </c>
      <c r="J362" s="476">
        <f t="shared" ref="J362:Y362" ca="1" si="151">+J23</f>
        <v>10000</v>
      </c>
      <c r="K362" s="476">
        <f t="shared" ca="1" si="151"/>
        <v>10000</v>
      </c>
      <c r="L362" s="476">
        <f t="shared" ca="1" si="151"/>
        <v>10000</v>
      </c>
      <c r="M362" s="476">
        <f t="shared" ca="1" si="151"/>
        <v>10000</v>
      </c>
      <c r="N362" s="476">
        <f t="shared" ca="1" si="151"/>
        <v>10000</v>
      </c>
      <c r="O362" s="476">
        <f t="shared" ca="1" si="151"/>
        <v>10000</v>
      </c>
      <c r="P362" s="476">
        <f t="shared" ca="1" si="151"/>
        <v>10000</v>
      </c>
      <c r="Q362" s="476">
        <f t="shared" ca="1" si="151"/>
        <v>10000</v>
      </c>
      <c r="R362" s="476">
        <f t="shared" ca="1" si="151"/>
        <v>10000</v>
      </c>
      <c r="S362" s="476">
        <f t="shared" ca="1" si="151"/>
        <v>10000</v>
      </c>
      <c r="T362" s="476">
        <f t="shared" ca="1" si="151"/>
        <v>10000</v>
      </c>
      <c r="U362" s="476">
        <f t="shared" ca="1" si="151"/>
        <v>10000</v>
      </c>
      <c r="V362" s="476">
        <f t="shared" ca="1" si="151"/>
        <v>10000</v>
      </c>
      <c r="W362" s="476">
        <f t="shared" ca="1" si="151"/>
        <v>10000</v>
      </c>
      <c r="X362" s="476">
        <f t="shared" ca="1" si="151"/>
        <v>10000</v>
      </c>
      <c r="Y362" s="476">
        <f t="shared" ca="1" si="151"/>
        <v>10000</v>
      </c>
      <c r="Z362" s="476">
        <f ca="1">+Z23</f>
        <v>10000</v>
      </c>
      <c r="AA362" s="476">
        <f ca="1">+AA23</f>
        <v>10000</v>
      </c>
      <c r="AB362" s="476">
        <f ca="1">+AB23</f>
        <v>10000</v>
      </c>
      <c r="AC362" s="476">
        <f ca="1">+AC23</f>
        <v>10000</v>
      </c>
    </row>
    <row r="363" spans="1:29">
      <c r="B363" s="339" t="s">
        <v>361</v>
      </c>
      <c r="E363" s="476"/>
      <c r="F363" s="476"/>
      <c r="G363" s="476"/>
      <c r="H363" s="476"/>
      <c r="I363" s="476"/>
      <c r="J363" s="476"/>
      <c r="K363" s="476"/>
      <c r="L363" s="476"/>
      <c r="M363" s="476"/>
      <c r="N363" s="476"/>
      <c r="O363" s="476"/>
      <c r="P363" s="476"/>
      <c r="Q363" s="476"/>
      <c r="R363" s="476"/>
      <c r="S363" s="476"/>
      <c r="T363" s="476"/>
      <c r="U363" s="476"/>
      <c r="V363" s="476"/>
      <c r="W363" s="476"/>
      <c r="X363" s="476"/>
      <c r="Y363" s="476"/>
      <c r="Z363" s="476"/>
      <c r="AA363" s="476"/>
      <c r="AB363" s="476"/>
      <c r="AC363" s="476"/>
    </row>
    <row r="364" spans="1:29">
      <c r="B364" s="339" t="s">
        <v>362</v>
      </c>
      <c r="E364" s="476"/>
      <c r="F364" s="476"/>
      <c r="G364" s="476"/>
      <c r="H364" s="476"/>
      <c r="I364" s="476">
        <f ca="1">+I103</f>
        <v>40.130617850840864</v>
      </c>
      <c r="J364" s="476">
        <f t="shared" ref="J364:Y364" ca="1" si="152">+J103</f>
        <v>240.46723849778351</v>
      </c>
      <c r="K364" s="476">
        <f t="shared" ca="1" si="152"/>
        <v>601.21683324848664</v>
      </c>
      <c r="L364" s="476">
        <f t="shared" ca="1" si="152"/>
        <v>1125.3168043952639</v>
      </c>
      <c r="M364" s="476">
        <f t="shared" ca="1" si="152"/>
        <v>1802.9661225805878</v>
      </c>
      <c r="N364" s="476">
        <f t="shared" ca="1" si="152"/>
        <v>2563.2670390872436</v>
      </c>
      <c r="O364" s="476">
        <f t="shared" ca="1" si="152"/>
        <v>3383.9140143087538</v>
      </c>
      <c r="P364" s="476">
        <f t="shared" ca="1" si="152"/>
        <v>4257.5266055638749</v>
      </c>
      <c r="Q364" s="476">
        <f t="shared" ca="1" si="152"/>
        <v>5183.1312026928726</v>
      </c>
      <c r="R364" s="476">
        <f t="shared" ca="1" si="152"/>
        <v>6164.9799445739864</v>
      </c>
      <c r="S364" s="476">
        <f t="shared" ca="1" si="152"/>
        <v>7212.095351543966</v>
      </c>
      <c r="T364" s="476">
        <f t="shared" ca="1" si="152"/>
        <v>8338.5003381693477</v>
      </c>
      <c r="U364" s="476">
        <f t="shared" ca="1" si="152"/>
        <v>9564.246180837421</v>
      </c>
      <c r="V364" s="476">
        <f t="shared" ca="1" si="152"/>
        <v>10917.581273109157</v>
      </c>
      <c r="W364" s="476">
        <f t="shared" ca="1" si="152"/>
        <v>12439.043955610816</v>
      </c>
      <c r="X364" s="476">
        <f t="shared" ca="1" si="152"/>
        <v>14189.251403987086</v>
      </c>
      <c r="Y364" s="476">
        <f t="shared" ca="1" si="152"/>
        <v>16264.696732758472</v>
      </c>
      <c r="Z364" s="476">
        <f ca="1">+Z103</f>
        <v>18833.461205439158</v>
      </c>
      <c r="AA364" s="476">
        <f ca="1">+AA103</f>
        <v>22230.569541839395</v>
      </c>
      <c r="AB364" s="476">
        <f ca="1">+AB103</f>
        <v>27291.776475413295</v>
      </c>
      <c r="AC364" s="476">
        <f ca="1">+AC103</f>
        <v>37355.861118492168</v>
      </c>
    </row>
    <row r="365" spans="1:29">
      <c r="A365" s="5"/>
      <c r="B365" t="s">
        <v>363</v>
      </c>
      <c r="C365" s="5"/>
      <c r="E365" s="476"/>
      <c r="F365" s="476"/>
      <c r="G365" s="476"/>
      <c r="H365" s="476"/>
      <c r="I365" s="476">
        <f t="shared" ref="I365:R365" ca="1" si="153">+I364</f>
        <v>40.130617850840864</v>
      </c>
      <c r="J365" s="476">
        <f t="shared" ca="1" si="153"/>
        <v>240.46723849778351</v>
      </c>
      <c r="K365" s="476">
        <f t="shared" ca="1" si="153"/>
        <v>601.21683324848664</v>
      </c>
      <c r="L365" s="476">
        <f t="shared" ca="1" si="153"/>
        <v>1125.3168043952639</v>
      </c>
      <c r="M365" s="476">
        <f t="shared" ca="1" si="153"/>
        <v>1802.9661225805878</v>
      </c>
      <c r="N365" s="476">
        <f t="shared" ca="1" si="153"/>
        <v>2563.2670390872436</v>
      </c>
      <c r="O365" s="476">
        <f t="shared" ca="1" si="153"/>
        <v>3383.9140143087538</v>
      </c>
      <c r="P365" s="476">
        <f t="shared" ca="1" si="153"/>
        <v>4257.5266055638749</v>
      </c>
      <c r="Q365" s="476">
        <f t="shared" ca="1" si="153"/>
        <v>5183.1312026928726</v>
      </c>
      <c r="R365" s="476">
        <f t="shared" ca="1" si="153"/>
        <v>6164.9799445739864</v>
      </c>
      <c r="S365" s="476">
        <f t="shared" ref="S365:AC365" ca="1" si="154">+S364</f>
        <v>7212.095351543966</v>
      </c>
      <c r="T365" s="476">
        <f t="shared" ca="1" si="154"/>
        <v>8338.5003381693477</v>
      </c>
      <c r="U365" s="476">
        <f t="shared" ca="1" si="154"/>
        <v>9564.246180837421</v>
      </c>
      <c r="V365" s="476">
        <f t="shared" ca="1" si="154"/>
        <v>10917.581273109157</v>
      </c>
      <c r="W365" s="476">
        <f t="shared" ca="1" si="154"/>
        <v>12439.043955610816</v>
      </c>
      <c r="X365" s="476">
        <f t="shared" ca="1" si="154"/>
        <v>14189.251403987086</v>
      </c>
      <c r="Y365" s="476">
        <f t="shared" ca="1" si="154"/>
        <v>16264.696732758472</v>
      </c>
      <c r="Z365" s="476">
        <f t="shared" ca="1" si="154"/>
        <v>18833.461205439158</v>
      </c>
      <c r="AA365" s="476">
        <f t="shared" ca="1" si="154"/>
        <v>22230.569541839395</v>
      </c>
      <c r="AB365" s="476">
        <f t="shared" ca="1" si="154"/>
        <v>27291.776475413295</v>
      </c>
      <c r="AC365" s="476">
        <f t="shared" ca="1" si="154"/>
        <v>37355.861118492168</v>
      </c>
    </row>
    <row r="366" spans="1:29">
      <c r="A366" s="5"/>
      <c r="B366" t="s">
        <v>364</v>
      </c>
      <c r="C366" s="5"/>
      <c r="E366" s="476"/>
      <c r="F366" s="476"/>
      <c r="G366" s="476"/>
      <c r="H366" s="476"/>
      <c r="I366" s="476"/>
      <c r="J366" s="476"/>
      <c r="K366" s="476"/>
      <c r="L366" s="476"/>
      <c r="M366" s="476"/>
      <c r="N366" s="476"/>
      <c r="O366" s="476"/>
      <c r="P366" s="476"/>
      <c r="Q366" s="476"/>
      <c r="R366" s="476"/>
      <c r="S366" s="476"/>
      <c r="T366" s="476"/>
      <c r="U366" s="476"/>
      <c r="V366" s="476"/>
      <c r="W366" s="476"/>
      <c r="X366" s="476"/>
      <c r="Y366" s="476"/>
      <c r="Z366" s="476"/>
      <c r="AA366" s="476"/>
      <c r="AB366" s="476"/>
      <c r="AC366" s="476"/>
    </row>
    <row r="367" spans="1:29">
      <c r="A367" s="5"/>
      <c r="B367" s="339" t="s">
        <v>365</v>
      </c>
      <c r="C367" s="5"/>
      <c r="E367" s="476"/>
      <c r="F367" s="476"/>
      <c r="G367" s="476"/>
      <c r="H367" s="476"/>
      <c r="I367" s="476"/>
      <c r="J367" s="476"/>
      <c r="K367" s="476"/>
      <c r="L367" s="476"/>
      <c r="M367" s="476"/>
      <c r="N367" s="476"/>
      <c r="O367" s="476"/>
      <c r="P367" s="476"/>
      <c r="Q367" s="476"/>
      <c r="R367" s="476"/>
      <c r="S367" s="476"/>
      <c r="T367" s="476"/>
      <c r="U367" s="476"/>
      <c r="V367" s="476"/>
      <c r="W367" s="476"/>
      <c r="X367" s="476"/>
      <c r="Y367" s="476"/>
      <c r="Z367" s="476"/>
      <c r="AA367" s="476"/>
      <c r="AB367" s="476"/>
      <c r="AC367" s="476"/>
    </row>
    <row r="368" spans="1:29">
      <c r="A368" s="5"/>
      <c r="B368" s="339" t="s">
        <v>366</v>
      </c>
      <c r="C368" s="5"/>
      <c r="E368" s="476"/>
      <c r="F368" s="476"/>
      <c r="G368" s="476"/>
      <c r="H368" s="476"/>
      <c r="I368" s="476"/>
      <c r="J368" s="476"/>
      <c r="K368" s="476"/>
      <c r="L368" s="476"/>
      <c r="M368" s="476"/>
      <c r="N368" s="476"/>
      <c r="O368" s="476"/>
      <c r="P368" s="476"/>
      <c r="Q368" s="476"/>
      <c r="R368" s="476"/>
      <c r="S368" s="476"/>
      <c r="T368" s="476"/>
      <c r="U368" s="476"/>
      <c r="V368" s="476"/>
      <c r="W368" s="476"/>
      <c r="X368" s="476"/>
      <c r="Y368" s="476"/>
      <c r="Z368" s="476"/>
      <c r="AA368" s="476"/>
      <c r="AB368" s="476"/>
      <c r="AC368" s="476"/>
    </row>
    <row r="369" spans="1:29">
      <c r="A369" s="77" t="s">
        <v>367</v>
      </c>
      <c r="B369" s="5"/>
      <c r="C369" s="74"/>
      <c r="D369" s="5"/>
      <c r="E369" s="5"/>
      <c r="F369" s="5"/>
      <c r="G369" s="5"/>
      <c r="H369" s="71"/>
      <c r="I369" s="165"/>
      <c r="J369" s="165"/>
      <c r="K369" s="165"/>
      <c r="L369" s="165"/>
      <c r="M369" s="165"/>
      <c r="N369" s="165"/>
      <c r="O369" s="165"/>
      <c r="P369" s="165"/>
      <c r="Q369" s="165"/>
      <c r="R369" s="165"/>
      <c r="S369" s="165"/>
      <c r="T369" s="165"/>
      <c r="U369" s="165"/>
      <c r="V369" s="165"/>
      <c r="W369" s="165"/>
      <c r="X369" s="165"/>
      <c r="Y369" s="165"/>
      <c r="Z369" s="165"/>
      <c r="AA369" s="165"/>
      <c r="AB369" s="165"/>
      <c r="AC369" s="165"/>
    </row>
    <row r="370" spans="1:29">
      <c r="A370" s="77" t="s">
        <v>368</v>
      </c>
      <c r="B370" s="5"/>
      <c r="C370" s="74"/>
      <c r="D370" s="5"/>
      <c r="E370" s="5"/>
      <c r="F370" s="5"/>
      <c r="G370" s="5"/>
      <c r="H370" s="71"/>
      <c r="I370" s="165"/>
      <c r="J370" s="165"/>
      <c r="K370" s="165"/>
      <c r="L370" s="165"/>
      <c r="M370" s="165"/>
      <c r="N370" s="165"/>
      <c r="O370" s="165"/>
      <c r="P370" s="165"/>
      <c r="Q370" s="165"/>
      <c r="R370" s="165"/>
      <c r="S370" s="165"/>
      <c r="T370" s="165"/>
      <c r="U370" s="165"/>
      <c r="V370" s="165"/>
      <c r="W370" s="165"/>
      <c r="X370" s="165"/>
      <c r="Y370" s="165"/>
      <c r="Z370" s="165"/>
      <c r="AA370" s="165"/>
      <c r="AB370" s="165"/>
      <c r="AC370" s="165"/>
    </row>
    <row r="371" spans="1:29">
      <c r="A371" s="291" t="s">
        <v>369</v>
      </c>
      <c r="B371" s="5"/>
      <c r="C371" s="74"/>
      <c r="D371" s="5"/>
      <c r="E371" s="5"/>
      <c r="F371" s="5"/>
      <c r="G371" s="5"/>
      <c r="H371" s="5"/>
      <c r="I371" s="16"/>
      <c r="J371" s="5"/>
      <c r="K371" s="5"/>
      <c r="L371" s="89"/>
      <c r="M371" s="89"/>
      <c r="N371" s="89"/>
      <c r="O371" s="89"/>
      <c r="P371" s="89"/>
      <c r="Q371" s="89"/>
      <c r="R371" s="89"/>
      <c r="S371" s="89"/>
      <c r="T371" s="5"/>
      <c r="U371" s="5"/>
      <c r="V371" s="5"/>
      <c r="W371" s="5"/>
      <c r="X371" s="5"/>
    </row>
    <row r="372" spans="1:29" ht="12" thickBot="1">
      <c r="A372" s="302"/>
      <c r="B372" s="302"/>
      <c r="C372" s="302"/>
      <c r="D372" s="302"/>
      <c r="E372" s="302"/>
      <c r="F372" s="302"/>
      <c r="G372" s="302"/>
      <c r="H372" s="302"/>
      <c r="I372" s="302"/>
      <c r="J372" s="302"/>
      <c r="K372" s="302"/>
      <c r="L372" s="302"/>
      <c r="M372" s="302"/>
      <c r="N372" s="302"/>
      <c r="O372" s="302"/>
      <c r="P372" s="302"/>
      <c r="Q372" s="302"/>
      <c r="R372" s="302"/>
      <c r="S372" s="302"/>
      <c r="T372" s="302"/>
      <c r="U372" s="302"/>
      <c r="V372" s="302"/>
      <c r="W372" s="302"/>
      <c r="X372" s="302"/>
      <c r="Y372" s="302"/>
      <c r="Z372" s="302"/>
      <c r="AA372" s="302"/>
      <c r="AB372" s="302"/>
      <c r="AC372" s="302"/>
    </row>
    <row r="373" spans="1:29" ht="12" thickTop="1"/>
    <row r="374" spans="1:29">
      <c r="A374" s="310" t="s">
        <v>370</v>
      </c>
      <c r="H374" s="409"/>
    </row>
    <row r="375" spans="1:29">
      <c r="E375" t="s">
        <v>371</v>
      </c>
      <c r="H375" s="409">
        <f ca="1">+CFMODEL!H966</f>
        <v>0.5</v>
      </c>
    </row>
    <row r="376" spans="1:29">
      <c r="E376" s="339" t="s">
        <v>372</v>
      </c>
      <c r="G376" s="389"/>
      <c r="H376" s="476">
        <f>+CFMODEL!H967</f>
        <v>1000</v>
      </c>
    </row>
    <row r="377" spans="1:29">
      <c r="E377" s="339" t="s">
        <v>151</v>
      </c>
      <c r="G377" s="389"/>
      <c r="H377" s="476"/>
      <c r="I377" s="729">
        <f ca="1">+CFMODEL!I969</f>
        <v>135.29332796348427</v>
      </c>
      <c r="J377" s="729">
        <f ca="1">+CFMODEL!J969</f>
        <v>0</v>
      </c>
      <c r="K377" s="729">
        <f ca="1">+CFMODEL!K969</f>
        <v>0</v>
      </c>
      <c r="L377" s="729">
        <f ca="1">+CFMODEL!L969</f>
        <v>0</v>
      </c>
      <c r="M377" s="729">
        <f ca="1">+CFMODEL!M969</f>
        <v>0</v>
      </c>
      <c r="N377" s="729">
        <f ca="1">+CFMODEL!N969</f>
        <v>0</v>
      </c>
      <c r="O377" s="729">
        <f ca="1">+CFMODEL!O969</f>
        <v>0</v>
      </c>
      <c r="P377" s="729">
        <f ca="1">+CFMODEL!P969</f>
        <v>0</v>
      </c>
      <c r="Q377" s="729">
        <f ca="1">+CFMODEL!Q969</f>
        <v>0</v>
      </c>
      <c r="R377" s="729">
        <f ca="1">+CFMODEL!R969</f>
        <v>0</v>
      </c>
      <c r="S377" s="729">
        <f ca="1">+CFMODEL!S969</f>
        <v>0</v>
      </c>
      <c r="T377" s="729">
        <f ca="1">+CFMODEL!T969</f>
        <v>0</v>
      </c>
      <c r="U377" s="729">
        <f ca="1">+CFMODEL!U969</f>
        <v>0</v>
      </c>
      <c r="V377" s="729">
        <f ca="1">+CFMODEL!V969</f>
        <v>0</v>
      </c>
      <c r="W377" s="729">
        <f ca="1">+CFMODEL!W969</f>
        <v>0</v>
      </c>
      <c r="X377" s="729">
        <f ca="1">+CFMODEL!X969</f>
        <v>0</v>
      </c>
      <c r="Y377" s="729">
        <f ca="1">+CFMODEL!Y969</f>
        <v>0</v>
      </c>
      <c r="Z377" s="729">
        <f ca="1">+CFMODEL!Z969</f>
        <v>0</v>
      </c>
      <c r="AA377" s="729">
        <f ca="1">+CFMODEL!AA969</f>
        <v>0</v>
      </c>
      <c r="AB377" s="729">
        <f ca="1">+CFMODEL!AB969</f>
        <v>0</v>
      </c>
      <c r="AC377" s="729">
        <f ca="1">+CFMODEL!AC969</f>
        <v>0</v>
      </c>
    </row>
    <row r="378" spans="1:29">
      <c r="E378" s="308" t="s">
        <v>373</v>
      </c>
      <c r="G378" s="389"/>
      <c r="H378" s="476"/>
      <c r="I378" s="613">
        <f ca="1">+CFMODEL!I970</f>
        <v>504.85591119790752</v>
      </c>
      <c r="J378" s="613">
        <f ca="1">+CFMODEL!J970</f>
        <v>0</v>
      </c>
      <c r="K378" s="613">
        <f ca="1">+CFMODEL!K970</f>
        <v>0</v>
      </c>
      <c r="L378" s="613">
        <f ca="1">+CFMODEL!L970</f>
        <v>0</v>
      </c>
      <c r="M378" s="613">
        <f ca="1">+CFMODEL!M970</f>
        <v>0</v>
      </c>
      <c r="N378" s="613">
        <f ca="1">+CFMODEL!N970</f>
        <v>0</v>
      </c>
      <c r="O378" s="613">
        <f ca="1">+CFMODEL!O970</f>
        <v>0</v>
      </c>
      <c r="P378" s="613">
        <f ca="1">+CFMODEL!P970</f>
        <v>0</v>
      </c>
      <c r="Q378" s="613">
        <f ca="1">+CFMODEL!Q970</f>
        <v>0</v>
      </c>
      <c r="R378" s="613">
        <f ca="1">+CFMODEL!R970</f>
        <v>0</v>
      </c>
      <c r="S378" s="613">
        <f ca="1">+CFMODEL!S970</f>
        <v>0</v>
      </c>
      <c r="T378" s="613">
        <f ca="1">+CFMODEL!T970</f>
        <v>0</v>
      </c>
      <c r="U378" s="613">
        <f ca="1">+CFMODEL!U970</f>
        <v>0</v>
      </c>
      <c r="V378" s="613">
        <f ca="1">+CFMODEL!V970</f>
        <v>0</v>
      </c>
      <c r="W378" s="613">
        <f ca="1">+CFMODEL!W970</f>
        <v>0</v>
      </c>
      <c r="X378" s="613">
        <f ca="1">+CFMODEL!X970</f>
        <v>0</v>
      </c>
      <c r="Y378" s="613">
        <f ca="1">+CFMODEL!Y970</f>
        <v>0</v>
      </c>
      <c r="Z378" s="613">
        <f ca="1">+CFMODEL!Z970</f>
        <v>0</v>
      </c>
      <c r="AA378" s="613">
        <f ca="1">+CFMODEL!AA970</f>
        <v>0</v>
      </c>
      <c r="AB378" s="613">
        <f ca="1">+CFMODEL!AB970</f>
        <v>0</v>
      </c>
      <c r="AC378" s="613">
        <f ca="1">+CFMODEL!AC970</f>
        <v>0</v>
      </c>
    </row>
    <row r="379" spans="1:29">
      <c r="E379" s="308" t="s">
        <v>374</v>
      </c>
      <c r="G379" s="389"/>
      <c r="I379" s="476">
        <f ca="1">+CFMODEL!I971</f>
        <v>-501.12434572607458</v>
      </c>
      <c r="J379" s="476">
        <f ca="1">+CFMODEL!J971</f>
        <v>5741.8120488183758</v>
      </c>
      <c r="K379" s="476">
        <f ca="1">+CFMODEL!K971</f>
        <v>11015.585423883958</v>
      </c>
      <c r="L379" s="476">
        <f ca="1">+CFMODEL!L971</f>
        <v>15391.575794357937</v>
      </c>
      <c r="M379" s="476">
        <f ca="1">+CFMODEL!M971</f>
        <v>18671.469381785493</v>
      </c>
      <c r="N379" s="476">
        <f ca="1">+CFMODEL!N971</f>
        <v>21808.423096192477</v>
      </c>
      <c r="O379" s="476">
        <f ca="1">+CFMODEL!O971</f>
        <v>24738.941428766579</v>
      </c>
      <c r="P379" s="476">
        <f ca="1">+CFMODEL!P971</f>
        <v>27470.589628866888</v>
      </c>
      <c r="Q379" s="476">
        <f ca="1">+CFMODEL!Q971</f>
        <v>30063.138359186254</v>
      </c>
      <c r="R379" s="476">
        <f ca="1">+CFMODEL!R971</f>
        <v>32540.197169465533</v>
      </c>
      <c r="S379" s="476">
        <f ca="1">+CFMODEL!S971</f>
        <v>34936.09907714829</v>
      </c>
      <c r="T379" s="476">
        <f ca="1">+CFMODEL!T971</f>
        <v>37252.390650837428</v>
      </c>
      <c r="U379" s="476">
        <f ca="1">+CFMODEL!U971</f>
        <v>39512.55473396038</v>
      </c>
      <c r="V379" s="476">
        <f ca="1">+CFMODEL!V971</f>
        <v>41717.963012814202</v>
      </c>
      <c r="W379" s="476">
        <f ca="1">+CFMODEL!W971</f>
        <v>43898.620461492152</v>
      </c>
      <c r="X379" s="476">
        <f ca="1">+CFMODEL!X971</f>
        <v>46050.382252827592</v>
      </c>
      <c r="Y379" s="476">
        <f ca="1">+CFMODEL!Y971</f>
        <v>48182.135074048972</v>
      </c>
      <c r="Z379" s="476">
        <f ca="1">+CFMODEL!Z971</f>
        <v>50273.958240255684</v>
      </c>
      <c r="AA379" s="476">
        <f ca="1">+CFMODEL!AA971</f>
        <v>52359.780135601533</v>
      </c>
      <c r="AB379" s="476">
        <f ca="1">+CFMODEL!AB971</f>
        <v>54455.389380526518</v>
      </c>
      <c r="AC379" s="476">
        <f ca="1">+CFMODEL!AC971</f>
        <v>56588.121645373372</v>
      </c>
    </row>
    <row r="380" spans="1:29">
      <c r="E380" s="308" t="s">
        <v>375</v>
      </c>
      <c r="G380" s="389"/>
      <c r="I380" s="476">
        <f ca="1">+CFMODEL!I972</f>
        <v>0</v>
      </c>
      <c r="J380" s="476">
        <f ca="1">+CFMODEL!J972</f>
        <v>6242.9363945444502</v>
      </c>
      <c r="K380" s="476">
        <f ca="1">+CFMODEL!K972</f>
        <v>4451.7369283973248</v>
      </c>
      <c r="L380" s="476">
        <f ca="1">+CFMODEL!L972</f>
        <v>4038.1080743725247</v>
      </c>
      <c r="M380" s="476">
        <f ca="1">+CFMODEL!M972</f>
        <v>3950.9631886494744</v>
      </c>
      <c r="N380" s="476">
        <f ca="1">+CFMODEL!N972</f>
        <v>3759.0530256385973</v>
      </c>
      <c r="O380" s="476">
        <f ca="1">+CFMODEL!O972</f>
        <v>3468.1556632170818</v>
      </c>
      <c r="P380" s="476">
        <f ca="1">+CFMODEL!P972</f>
        <v>3250.04784218843</v>
      </c>
      <c r="Q380" s="476">
        <f ca="1">+CFMODEL!Q972</f>
        <v>3091.2337890596059</v>
      </c>
      <c r="R380" s="476">
        <f ca="1">+CFMODEL!R972</f>
        <v>2973.5588756482061</v>
      </c>
      <c r="S380" s="476">
        <f ca="1">+CFMODEL!S972</f>
        <v>2401.0365292844181</v>
      </c>
      <c r="T380" s="476">
        <f ca="1">+CFMODEL!T972</f>
        <v>2320.6052670895951</v>
      </c>
      <c r="U380" s="476">
        <f ca="1">+CFMODEL!U972</f>
        <v>2263.7801302088938</v>
      </c>
      <c r="V380" s="476">
        <f ca="1">+CFMODEL!V972</f>
        <v>2208.3773065102155</v>
      </c>
      <c r="W380" s="476">
        <f ca="1">+CFMODEL!W972</f>
        <v>2183.0922930344996</v>
      </c>
      <c r="X380" s="476">
        <f ca="1">+CFMODEL!X972</f>
        <v>2153.7369944628117</v>
      </c>
      <c r="Y380" s="476">
        <f ca="1">+CFMODEL!Y972</f>
        <v>2133.3094605303454</v>
      </c>
      <c r="Z380" s="476">
        <f ca="1">+CFMODEL!Z972</f>
        <v>2092.9666798577464</v>
      </c>
      <c r="AA380" s="476">
        <f ca="1">+CFMODEL!AA972</f>
        <v>2086.6963226260082</v>
      </c>
      <c r="AB380" s="476">
        <f ca="1">+CFMODEL!AB972</f>
        <v>2096.2819169234576</v>
      </c>
      <c r="AC380" s="476">
        <f ca="1">+CFMODEL!AC972</f>
        <v>2133.2882504072836</v>
      </c>
    </row>
    <row r="381" spans="1:29" ht="12" thickBot="1">
      <c r="A381" s="302"/>
      <c r="B381" s="302"/>
      <c r="C381" s="302"/>
      <c r="D381" s="302"/>
      <c r="E381" s="302"/>
      <c r="F381" s="302"/>
      <c r="G381" s="302"/>
      <c r="H381" s="302"/>
      <c r="I381" s="302"/>
      <c r="J381" s="302"/>
      <c r="K381" s="302"/>
      <c r="L381" s="302"/>
      <c r="M381" s="302"/>
      <c r="N381" s="302"/>
      <c r="O381" s="302"/>
      <c r="P381" s="302"/>
      <c r="Q381" s="302"/>
      <c r="R381" s="302"/>
      <c r="S381" s="302"/>
      <c r="T381" s="302"/>
      <c r="U381" s="302"/>
      <c r="V381" s="302"/>
      <c r="W381" s="302"/>
      <c r="X381" s="302"/>
      <c r="Y381" s="302"/>
      <c r="Z381" s="302"/>
      <c r="AA381" s="302"/>
      <c r="AB381" s="302"/>
      <c r="AC381" s="302"/>
    </row>
    <row r="382" spans="1:29" ht="12" thickTop="1"/>
  </sheetData>
  <printOptions gridLinesSet="0"/>
  <pageMargins left="0.75" right="0.75" top="1" bottom="1" header="0.5" footer="0.5"/>
  <pageSetup paperSize="5" scale="67" fitToHeight="10" orientation="landscape" horizontalDpi="4294967292" r:id="rId1"/>
  <headerFooter alignWithMargins="0">
    <oddHeader>&amp;A</oddHeader>
    <oddFooter>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R885"/>
  <sheetViews>
    <sheetView showGridLines="0" workbookViewId="0">
      <pane xSplit="3" ySplit="3" topLeftCell="AF796" activePane="bottomRight" state="frozen"/>
      <selection pane="topRight" activeCell="D1" sqref="D1"/>
      <selection pane="bottomLeft" activeCell="A4" sqref="A4"/>
      <selection pane="bottomRight" activeCell="AI828" sqref="AI828"/>
    </sheetView>
  </sheetViews>
  <sheetFormatPr defaultColWidth="9.83203125" defaultRowHeight="11.25"/>
  <cols>
    <col min="1" max="2" width="11.5" customWidth="1"/>
    <col min="3" max="3" width="15.6640625" customWidth="1"/>
    <col min="6" max="6" width="9.5" customWidth="1"/>
  </cols>
  <sheetData>
    <row r="1" spans="1:31" ht="12" thickBot="1">
      <c r="A1">
        <v>0</v>
      </c>
      <c r="AE1" s="308" t="s">
        <v>376</v>
      </c>
    </row>
    <row r="2" spans="1:31" ht="12.75" thickTop="1" thickBot="1">
      <c r="A2" t="b">
        <v>0</v>
      </c>
      <c r="F2" s="5"/>
      <c r="H2" s="460" t="str">
        <f ca="1">YearHeadings</f>
        <v>6/30/99 or</v>
      </c>
      <c r="I2" s="461" t="str">
        <f>YearHeadings</f>
        <v>12/31/99 or</v>
      </c>
      <c r="J2" s="10" t="s">
        <v>377</v>
      </c>
      <c r="K2" s="5"/>
      <c r="L2" s="5"/>
      <c r="M2" s="5"/>
      <c r="N2" s="5"/>
      <c r="O2" s="5"/>
      <c r="P2" s="5"/>
      <c r="Q2" s="5"/>
      <c r="R2" s="5"/>
      <c r="S2" s="11" t="str">
        <f>YearHeadings</f>
        <v>Year 10</v>
      </c>
      <c r="U2" s="5"/>
      <c r="V2" s="5"/>
      <c r="W2" s="5"/>
      <c r="X2" s="5"/>
      <c r="AA2" s="300"/>
      <c r="AC2" s="9" t="s">
        <v>21</v>
      </c>
      <c r="AE2" t="s">
        <v>378</v>
      </c>
    </row>
    <row r="3" spans="1:31" ht="12.75" thickTop="1" thickBot="1">
      <c r="E3" s="298" t="str">
        <f>YearHeadings</f>
        <v xml:space="preserve">1996 </v>
      </c>
      <c r="F3" s="298" t="str">
        <f>YearHeadings</f>
        <v xml:space="preserve">1997 </v>
      </c>
      <c r="G3" s="298" t="str">
        <f>YearHeadings</f>
        <v xml:space="preserve">1998 </v>
      </c>
      <c r="H3" s="462" t="str">
        <f ca="1">YearHeadings</f>
        <v xml:space="preserve">6 M/1999 </v>
      </c>
      <c r="I3" s="463" t="str">
        <f ca="1">YearHeadings</f>
        <v xml:space="preserve">6 M/1999 </v>
      </c>
      <c r="J3" s="299">
        <f>YearHeadings</f>
        <v>2000</v>
      </c>
      <c r="K3" s="299">
        <f>YearHeadings</f>
        <v>2001</v>
      </c>
      <c r="L3" s="299">
        <f t="shared" ref="L3:S3" si="0">YearHeadings</f>
        <v>2002</v>
      </c>
      <c r="M3" s="299">
        <f t="shared" si="0"/>
        <v>2003</v>
      </c>
      <c r="N3" s="299">
        <f t="shared" si="0"/>
        <v>2004</v>
      </c>
      <c r="O3" s="299">
        <f t="shared" si="0"/>
        <v>2005</v>
      </c>
      <c r="P3" s="299">
        <f t="shared" si="0"/>
        <v>2006</v>
      </c>
      <c r="Q3" s="299">
        <f t="shared" si="0"/>
        <v>2007</v>
      </c>
      <c r="R3" s="299">
        <f t="shared" si="0"/>
        <v>2008</v>
      </c>
      <c r="S3" s="453">
        <f t="shared" si="0"/>
        <v>2009</v>
      </c>
      <c r="T3" s="447">
        <f>YearHeadings</f>
        <v>2010</v>
      </c>
      <c r="U3" s="299">
        <f>YearHeadings</f>
        <v>2011</v>
      </c>
      <c r="V3" s="299">
        <f>YearHeadings</f>
        <v>2012</v>
      </c>
      <c r="W3" s="299">
        <f>YearHeadings</f>
        <v>2013</v>
      </c>
      <c r="X3" s="299">
        <f>YearHeadings</f>
        <v>2014</v>
      </c>
      <c r="Y3" s="447">
        <f>+X3+1</f>
        <v>2015</v>
      </c>
      <c r="Z3" s="447">
        <f>+Y3+1</f>
        <v>2016</v>
      </c>
      <c r="AA3" s="447">
        <f>+Z3+1</f>
        <v>2017</v>
      </c>
      <c r="AB3" s="447">
        <f>+AA3+1</f>
        <v>2018</v>
      </c>
      <c r="AC3" s="14">
        <f>+AB3+1</f>
        <v>2019</v>
      </c>
      <c r="AE3" t="s">
        <v>379</v>
      </c>
    </row>
    <row r="4" spans="1:31" ht="12" thickTop="1">
      <c r="A4" s="15" t="str">
        <f>+CFMODEL!A4</f>
        <v>Clampett Oil Company</v>
      </c>
      <c r="AE4" t="s">
        <v>380</v>
      </c>
    </row>
    <row r="5" spans="1:31">
      <c r="A5" s="15" t="str">
        <f>+CFMODEL!A5</f>
        <v xml:space="preserve">SCENARIO:    </v>
      </c>
      <c r="C5" s="296" t="str">
        <f>+CFMODEL!C5</f>
        <v>BASE</v>
      </c>
      <c r="E5" s="192" t="str">
        <f>+CFMODEL!E5</f>
        <v>($ in</v>
      </c>
      <c r="F5" s="191" t="str">
        <f>+CFMODEL!F5&amp;")"</f>
        <v>Thousands)</v>
      </c>
      <c r="G5" s="297"/>
      <c r="AE5" t="s">
        <v>381</v>
      </c>
    </row>
    <row r="6" spans="1:31" ht="12" thickBot="1">
      <c r="AE6" t="s">
        <v>382</v>
      </c>
    </row>
    <row r="7" spans="1:31" ht="12.75" thickTop="1" thickBot="1">
      <c r="A7" s="301"/>
      <c r="B7" s="301"/>
      <c r="C7" s="301"/>
      <c r="D7" s="301"/>
      <c r="E7" s="301" t="s">
        <v>383</v>
      </c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E7" t="s">
        <v>384</v>
      </c>
    </row>
    <row r="8" spans="1:31" ht="12.75" thickTop="1" thickBot="1">
      <c r="A8" s="424" t="s">
        <v>385</v>
      </c>
      <c r="B8" s="208"/>
      <c r="C8" s="208"/>
      <c r="D8" s="208" t="s">
        <v>386</v>
      </c>
      <c r="E8" s="208" t="s">
        <v>387</v>
      </c>
      <c r="G8" s="476"/>
      <c r="I8" s="166" t="str">
        <f ca="1">+I$3</f>
        <v xml:space="preserve">6 M/1999 </v>
      </c>
      <c r="J8" s="166">
        <f t="shared" ref="J8:Z8" si="1">+J$3</f>
        <v>2000</v>
      </c>
      <c r="K8" s="166">
        <f t="shared" si="1"/>
        <v>2001</v>
      </c>
      <c r="L8" s="166">
        <f t="shared" si="1"/>
        <v>2002</v>
      </c>
      <c r="M8" s="166">
        <f t="shared" si="1"/>
        <v>2003</v>
      </c>
      <c r="N8" s="166">
        <f t="shared" si="1"/>
        <v>2004</v>
      </c>
      <c r="O8" s="166">
        <f t="shared" si="1"/>
        <v>2005</v>
      </c>
      <c r="P8" s="166">
        <f t="shared" si="1"/>
        <v>2006</v>
      </c>
      <c r="Q8" s="166">
        <f t="shared" si="1"/>
        <v>2007</v>
      </c>
      <c r="R8" s="166">
        <f t="shared" si="1"/>
        <v>2008</v>
      </c>
      <c r="S8" s="166">
        <f t="shared" si="1"/>
        <v>2009</v>
      </c>
      <c r="T8" s="166">
        <f t="shared" si="1"/>
        <v>2010</v>
      </c>
      <c r="U8" s="166">
        <f t="shared" si="1"/>
        <v>2011</v>
      </c>
      <c r="V8" s="166">
        <f t="shared" si="1"/>
        <v>2012</v>
      </c>
      <c r="W8" s="166">
        <f t="shared" si="1"/>
        <v>2013</v>
      </c>
      <c r="X8" s="166">
        <f t="shared" si="1"/>
        <v>2014</v>
      </c>
      <c r="Y8" s="166">
        <f t="shared" si="1"/>
        <v>2015</v>
      </c>
      <c r="Z8" s="166">
        <f t="shared" si="1"/>
        <v>2016</v>
      </c>
      <c r="AA8" s="166">
        <f>+AA$3</f>
        <v>2017</v>
      </c>
      <c r="AB8" s="166">
        <f>+AB$3</f>
        <v>2018</v>
      </c>
      <c r="AC8" s="166">
        <f>+AC$3</f>
        <v>2019</v>
      </c>
      <c r="AE8" t="s">
        <v>388</v>
      </c>
    </row>
    <row r="9" spans="1:31" ht="12" thickTop="1">
      <c r="A9" s="419" t="s">
        <v>389</v>
      </c>
      <c r="B9" s="208"/>
      <c r="C9" s="208"/>
      <c r="D9" s="420" t="s">
        <v>390</v>
      </c>
      <c r="E9" s="208" t="s">
        <v>391</v>
      </c>
      <c r="F9" t="s">
        <v>392</v>
      </c>
      <c r="G9" s="208" t="s">
        <v>393</v>
      </c>
      <c r="H9" t="s">
        <v>394</v>
      </c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E9" t="str">
        <f>+"Oil &amp; Gas - "&amp;C10</f>
        <v>Oil &amp; Gas - PDP</v>
      </c>
    </row>
    <row r="10" spans="1:31">
      <c r="A10" s="208"/>
      <c r="B10" s="15" t="s">
        <v>25</v>
      </c>
      <c r="C10" s="682" t="s">
        <v>395</v>
      </c>
      <c r="D10" s="334">
        <f t="shared" ref="D10:D26" si="2">SUM(I10:AC10)</f>
        <v>0</v>
      </c>
      <c r="G10" s="784">
        <f>I246</f>
        <v>1</v>
      </c>
      <c r="H10" s="335"/>
      <c r="I10" s="428">
        <v>0</v>
      </c>
      <c r="J10" s="428">
        <v>0</v>
      </c>
      <c r="K10" s="428">
        <v>0</v>
      </c>
      <c r="L10" s="428">
        <v>0</v>
      </c>
      <c r="M10" s="428">
        <v>0</v>
      </c>
      <c r="N10" s="428">
        <v>0</v>
      </c>
      <c r="O10" s="428">
        <v>0</v>
      </c>
      <c r="P10" s="428">
        <v>0</v>
      </c>
      <c r="Q10" s="428">
        <v>0</v>
      </c>
      <c r="R10" s="428">
        <v>0</v>
      </c>
      <c r="S10" s="428">
        <v>0</v>
      </c>
      <c r="T10" s="428">
        <v>0</v>
      </c>
      <c r="U10" s="428">
        <v>0</v>
      </c>
      <c r="V10" s="428">
        <v>0</v>
      </c>
      <c r="W10" s="428">
        <v>0</v>
      </c>
      <c r="X10" s="428">
        <v>0</v>
      </c>
      <c r="Y10" s="428">
        <v>0</v>
      </c>
      <c r="Z10" s="428">
        <v>0</v>
      </c>
      <c r="AA10" s="428">
        <v>0</v>
      </c>
      <c r="AB10" s="428">
        <v>0</v>
      </c>
      <c r="AC10" s="428">
        <v>0</v>
      </c>
      <c r="AE10" t="str">
        <f>+"Oil &amp; Gas - "&amp;C12</f>
        <v>Oil &amp; Gas - PDNP</v>
      </c>
    </row>
    <row r="11" spans="1:31">
      <c r="A11" s="208"/>
      <c r="B11" s="15"/>
      <c r="C11" s="682"/>
      <c r="D11" s="334"/>
      <c r="G11" s="784"/>
      <c r="H11" s="335"/>
      <c r="I11" s="712">
        <f t="shared" ref="I11:R11" si="3">I10*$G$10</f>
        <v>0</v>
      </c>
      <c r="J11" s="712">
        <f t="shared" si="3"/>
        <v>0</v>
      </c>
      <c r="K11" s="712">
        <f t="shared" si="3"/>
        <v>0</v>
      </c>
      <c r="L11" s="712">
        <f t="shared" si="3"/>
        <v>0</v>
      </c>
      <c r="M11" s="712">
        <f t="shared" si="3"/>
        <v>0</v>
      </c>
      <c r="N11" s="712">
        <f t="shared" si="3"/>
        <v>0</v>
      </c>
      <c r="O11" s="712">
        <f t="shared" si="3"/>
        <v>0</v>
      </c>
      <c r="P11" s="712">
        <f t="shared" si="3"/>
        <v>0</v>
      </c>
      <c r="Q11" s="712">
        <f t="shared" si="3"/>
        <v>0</v>
      </c>
      <c r="R11" s="712">
        <f t="shared" si="3"/>
        <v>0</v>
      </c>
      <c r="S11" s="712">
        <f t="shared" ref="S11:AC11" si="4">S10*$G$10</f>
        <v>0</v>
      </c>
      <c r="T11" s="712">
        <f t="shared" si="4"/>
        <v>0</v>
      </c>
      <c r="U11" s="712">
        <f t="shared" si="4"/>
        <v>0</v>
      </c>
      <c r="V11" s="712">
        <f t="shared" si="4"/>
        <v>0</v>
      </c>
      <c r="W11" s="712">
        <f t="shared" si="4"/>
        <v>0</v>
      </c>
      <c r="X11" s="712">
        <f t="shared" si="4"/>
        <v>0</v>
      </c>
      <c r="Y11" s="712">
        <f t="shared" si="4"/>
        <v>0</v>
      </c>
      <c r="Z11" s="712">
        <f t="shared" si="4"/>
        <v>0</v>
      </c>
      <c r="AA11" s="712">
        <f t="shared" si="4"/>
        <v>0</v>
      </c>
      <c r="AB11" s="712">
        <f t="shared" si="4"/>
        <v>0</v>
      </c>
      <c r="AC11" s="712">
        <f t="shared" si="4"/>
        <v>0</v>
      </c>
    </row>
    <row r="12" spans="1:31">
      <c r="A12" s="208"/>
      <c r="C12" s="682" t="s">
        <v>396</v>
      </c>
      <c r="D12" s="334">
        <f t="shared" si="2"/>
        <v>16.2</v>
      </c>
      <c r="G12" s="784">
        <f>F311</f>
        <v>1</v>
      </c>
      <c r="H12" s="335"/>
      <c r="I12" s="428">
        <v>0</v>
      </c>
      <c r="J12" s="428">
        <v>0</v>
      </c>
      <c r="K12" s="428">
        <v>0</v>
      </c>
      <c r="L12" s="428">
        <v>0</v>
      </c>
      <c r="M12" s="428">
        <v>0</v>
      </c>
      <c r="N12" s="685">
        <v>0</v>
      </c>
      <c r="O12" s="428">
        <v>0</v>
      </c>
      <c r="P12" s="428">
        <v>0</v>
      </c>
      <c r="Q12" s="428">
        <v>16.2</v>
      </c>
      <c r="R12" s="428">
        <v>0</v>
      </c>
      <c r="S12" s="428">
        <v>0</v>
      </c>
      <c r="T12" s="428">
        <v>0</v>
      </c>
      <c r="U12" s="428">
        <v>0</v>
      </c>
      <c r="V12" s="428">
        <v>0</v>
      </c>
      <c r="W12" s="428">
        <v>0</v>
      </c>
      <c r="X12" s="428">
        <v>0</v>
      </c>
      <c r="Y12" s="428">
        <v>0</v>
      </c>
      <c r="Z12" s="428">
        <v>0</v>
      </c>
      <c r="AA12" s="428">
        <v>0</v>
      </c>
      <c r="AB12" s="428">
        <v>0</v>
      </c>
      <c r="AC12" s="428">
        <v>0</v>
      </c>
      <c r="AE12" t="str">
        <f>+"Oil &amp; Gas - "&amp;C14</f>
        <v>Oil &amp; Gas - PUD</v>
      </c>
    </row>
    <row r="13" spans="1:31">
      <c r="A13" s="208"/>
      <c r="C13" s="682"/>
      <c r="D13" s="334"/>
      <c r="G13" s="784"/>
      <c r="H13" s="335"/>
      <c r="I13" s="712">
        <f t="shared" ref="I13:R13" si="5">I12*$G$12</f>
        <v>0</v>
      </c>
      <c r="J13" s="712">
        <f t="shared" si="5"/>
        <v>0</v>
      </c>
      <c r="K13" s="712">
        <f t="shared" si="5"/>
        <v>0</v>
      </c>
      <c r="L13" s="712">
        <f t="shared" si="5"/>
        <v>0</v>
      </c>
      <c r="M13" s="712">
        <f t="shared" si="5"/>
        <v>0</v>
      </c>
      <c r="N13" s="712">
        <f t="shared" si="5"/>
        <v>0</v>
      </c>
      <c r="O13" s="712">
        <f t="shared" si="5"/>
        <v>0</v>
      </c>
      <c r="P13" s="712">
        <f t="shared" si="5"/>
        <v>0</v>
      </c>
      <c r="Q13" s="712">
        <f t="shared" si="5"/>
        <v>16.2</v>
      </c>
      <c r="R13" s="712">
        <f t="shared" si="5"/>
        <v>0</v>
      </c>
      <c r="S13" s="712">
        <f t="shared" ref="S13:AC13" si="6">S12*$G$12</f>
        <v>0</v>
      </c>
      <c r="T13" s="712">
        <f t="shared" si="6"/>
        <v>0</v>
      </c>
      <c r="U13" s="712">
        <f t="shared" si="6"/>
        <v>0</v>
      </c>
      <c r="V13" s="712">
        <f t="shared" si="6"/>
        <v>0</v>
      </c>
      <c r="W13" s="712">
        <f t="shared" si="6"/>
        <v>0</v>
      </c>
      <c r="X13" s="712">
        <f t="shared" si="6"/>
        <v>0</v>
      </c>
      <c r="Y13" s="712">
        <f t="shared" si="6"/>
        <v>0</v>
      </c>
      <c r="Z13" s="712">
        <f t="shared" si="6"/>
        <v>0</v>
      </c>
      <c r="AA13" s="712">
        <f t="shared" si="6"/>
        <v>0</v>
      </c>
      <c r="AB13" s="712">
        <f t="shared" si="6"/>
        <v>0</v>
      </c>
      <c r="AC13" s="712">
        <f t="shared" si="6"/>
        <v>0</v>
      </c>
    </row>
    <row r="14" spans="1:31" ht="9.75" customHeight="1">
      <c r="A14" s="208"/>
      <c r="C14" s="682" t="s">
        <v>397</v>
      </c>
      <c r="D14" s="334">
        <f t="shared" si="2"/>
        <v>31.323</v>
      </c>
      <c r="G14" s="784">
        <f>F384</f>
        <v>1</v>
      </c>
      <c r="H14" s="335"/>
      <c r="I14" s="428">
        <v>0</v>
      </c>
      <c r="J14" s="428">
        <v>0</v>
      </c>
      <c r="K14" s="428">
        <v>0</v>
      </c>
      <c r="L14" s="428">
        <v>0</v>
      </c>
      <c r="M14" s="428">
        <v>0</v>
      </c>
      <c r="N14" s="428">
        <v>0</v>
      </c>
      <c r="O14" s="428">
        <v>25.811</v>
      </c>
      <c r="P14" s="428">
        <v>5.5119999999999996</v>
      </c>
      <c r="Q14" s="428">
        <v>0</v>
      </c>
      <c r="R14" s="428">
        <v>0</v>
      </c>
      <c r="S14" s="428">
        <v>0</v>
      </c>
      <c r="T14" s="428">
        <v>0</v>
      </c>
      <c r="U14" s="428">
        <v>0</v>
      </c>
      <c r="V14" s="428">
        <v>0</v>
      </c>
      <c r="W14" s="428">
        <v>0</v>
      </c>
      <c r="X14" s="428">
        <v>0</v>
      </c>
      <c r="Y14" s="428">
        <v>0</v>
      </c>
      <c r="Z14" s="428">
        <v>0</v>
      </c>
      <c r="AA14" s="428">
        <v>0</v>
      </c>
      <c r="AB14" s="428">
        <v>0</v>
      </c>
      <c r="AC14" s="428">
        <v>0</v>
      </c>
      <c r="AE14" t="str">
        <f>+"Oil &amp; Gas - "&amp;C16</f>
        <v>Oil &amp; Gas - PROBABLES</v>
      </c>
    </row>
    <row r="15" spans="1:31" ht="9.75" customHeight="1">
      <c r="A15" s="208"/>
      <c r="C15" s="682"/>
      <c r="D15" s="334"/>
      <c r="E15" s="710"/>
      <c r="G15" s="710"/>
      <c r="H15" s="335"/>
      <c r="I15" s="712">
        <f t="shared" ref="I15:R15" si="7">I14*$G$14</f>
        <v>0</v>
      </c>
      <c r="J15" s="712">
        <f t="shared" si="7"/>
        <v>0</v>
      </c>
      <c r="K15" s="712">
        <f t="shared" si="7"/>
        <v>0</v>
      </c>
      <c r="L15" s="712">
        <f t="shared" si="7"/>
        <v>0</v>
      </c>
      <c r="M15" s="712">
        <f t="shared" si="7"/>
        <v>0</v>
      </c>
      <c r="N15" s="712">
        <f t="shared" si="7"/>
        <v>0</v>
      </c>
      <c r="O15" s="712">
        <f t="shared" si="7"/>
        <v>25.811</v>
      </c>
      <c r="P15" s="712">
        <f t="shared" si="7"/>
        <v>5.5119999999999996</v>
      </c>
      <c r="Q15" s="712">
        <f t="shared" si="7"/>
        <v>0</v>
      </c>
      <c r="R15" s="712">
        <f t="shared" si="7"/>
        <v>0</v>
      </c>
      <c r="S15" s="712">
        <f t="shared" ref="S15:AC15" si="8">S14*$G$14</f>
        <v>0</v>
      </c>
      <c r="T15" s="712">
        <f t="shared" si="8"/>
        <v>0</v>
      </c>
      <c r="U15" s="712">
        <f t="shared" si="8"/>
        <v>0</v>
      </c>
      <c r="V15" s="712">
        <f t="shared" si="8"/>
        <v>0</v>
      </c>
      <c r="W15" s="712">
        <f t="shared" si="8"/>
        <v>0</v>
      </c>
      <c r="X15" s="712">
        <f t="shared" si="8"/>
        <v>0</v>
      </c>
      <c r="Y15" s="712">
        <f t="shared" si="8"/>
        <v>0</v>
      </c>
      <c r="Z15" s="712">
        <f t="shared" si="8"/>
        <v>0</v>
      </c>
      <c r="AA15" s="712">
        <f t="shared" si="8"/>
        <v>0</v>
      </c>
      <c r="AB15" s="712">
        <f t="shared" si="8"/>
        <v>0</v>
      </c>
      <c r="AC15" s="712">
        <f t="shared" si="8"/>
        <v>0</v>
      </c>
    </row>
    <row r="16" spans="1:31">
      <c r="A16" s="208"/>
      <c r="C16" s="683" t="s">
        <v>398</v>
      </c>
      <c r="D16" s="328">
        <f t="shared" si="2"/>
        <v>0</v>
      </c>
      <c r="E16" s="711">
        <f>I459</f>
        <v>0</v>
      </c>
      <c r="G16" s="711"/>
      <c r="H16" s="400"/>
      <c r="I16" s="428">
        <v>0</v>
      </c>
      <c r="J16" s="428">
        <v>0</v>
      </c>
      <c r="K16" s="428">
        <v>0</v>
      </c>
      <c r="L16" s="428">
        <v>0</v>
      </c>
      <c r="M16" s="428">
        <v>0</v>
      </c>
      <c r="N16" s="428">
        <v>0</v>
      </c>
      <c r="O16" s="428">
        <v>0</v>
      </c>
      <c r="P16" s="428">
        <v>0</v>
      </c>
      <c r="Q16" s="428">
        <v>0</v>
      </c>
      <c r="R16" s="428">
        <v>0</v>
      </c>
      <c r="S16" s="428">
        <v>0</v>
      </c>
      <c r="T16" s="428">
        <v>0</v>
      </c>
      <c r="U16" s="428">
        <v>0</v>
      </c>
      <c r="V16" s="428">
        <v>0</v>
      </c>
      <c r="W16" s="428">
        <v>0</v>
      </c>
      <c r="X16" s="428">
        <v>0</v>
      </c>
      <c r="Y16" s="428">
        <v>0</v>
      </c>
      <c r="Z16" s="428">
        <v>0</v>
      </c>
      <c r="AA16" s="428">
        <v>0</v>
      </c>
      <c r="AB16" s="428">
        <v>0</v>
      </c>
      <c r="AC16" s="428">
        <v>0</v>
      </c>
      <c r="AE16" t="str">
        <f>+"Oil &amp; Gas - "&amp;C18</f>
        <v xml:space="preserve">Oil &amp; Gas - Acrerage Dev. Prog. </v>
      </c>
    </row>
    <row r="17" spans="1:31">
      <c r="A17" s="208"/>
      <c r="C17" s="683"/>
      <c r="D17" s="328"/>
      <c r="E17" s="711"/>
      <c r="G17" s="711"/>
      <c r="H17" s="400"/>
      <c r="I17" s="712">
        <f t="shared" ref="I17:R17" si="9">I16*$E$16</f>
        <v>0</v>
      </c>
      <c r="J17" s="712">
        <f t="shared" si="9"/>
        <v>0</v>
      </c>
      <c r="K17" s="712">
        <f t="shared" si="9"/>
        <v>0</v>
      </c>
      <c r="L17" s="712">
        <f t="shared" si="9"/>
        <v>0</v>
      </c>
      <c r="M17" s="712">
        <f t="shared" si="9"/>
        <v>0</v>
      </c>
      <c r="N17" s="712">
        <f t="shared" si="9"/>
        <v>0</v>
      </c>
      <c r="O17" s="712">
        <f t="shared" si="9"/>
        <v>0</v>
      </c>
      <c r="P17" s="712">
        <f t="shared" si="9"/>
        <v>0</v>
      </c>
      <c r="Q17" s="712">
        <f t="shared" si="9"/>
        <v>0</v>
      </c>
      <c r="R17" s="712">
        <f t="shared" si="9"/>
        <v>0</v>
      </c>
      <c r="S17" s="712">
        <f t="shared" ref="S17:AC17" si="10">S16*$E$16</f>
        <v>0</v>
      </c>
      <c r="T17" s="712">
        <f t="shared" si="10"/>
        <v>0</v>
      </c>
      <c r="U17" s="712">
        <f t="shared" si="10"/>
        <v>0</v>
      </c>
      <c r="V17" s="712">
        <f t="shared" si="10"/>
        <v>0</v>
      </c>
      <c r="W17" s="712">
        <f t="shared" si="10"/>
        <v>0</v>
      </c>
      <c r="X17" s="712">
        <f t="shared" si="10"/>
        <v>0</v>
      </c>
      <c r="Y17" s="712">
        <f t="shared" si="10"/>
        <v>0</v>
      </c>
      <c r="Z17" s="712">
        <f t="shared" si="10"/>
        <v>0</v>
      </c>
      <c r="AA17" s="712">
        <f t="shared" si="10"/>
        <v>0</v>
      </c>
      <c r="AB17" s="712">
        <f t="shared" si="10"/>
        <v>0</v>
      </c>
      <c r="AC17" s="712">
        <f t="shared" si="10"/>
        <v>0</v>
      </c>
    </row>
    <row r="18" spans="1:31">
      <c r="A18" s="208"/>
      <c r="C18" s="682" t="s">
        <v>399</v>
      </c>
      <c r="D18" s="328">
        <f t="shared" si="2"/>
        <v>0</v>
      </c>
      <c r="E18" s="710">
        <f>I529</f>
        <v>1</v>
      </c>
      <c r="F18" s="720">
        <v>0.7</v>
      </c>
      <c r="G18" s="783">
        <f>F524</f>
        <v>1</v>
      </c>
      <c r="H18" s="720">
        <v>1.1499999999999999</v>
      </c>
      <c r="I18" s="428">
        <v>0</v>
      </c>
      <c r="J18" s="428">
        <v>0</v>
      </c>
      <c r="K18" s="428">
        <v>0</v>
      </c>
      <c r="L18" s="428">
        <v>0</v>
      </c>
      <c r="M18" s="428">
        <v>0</v>
      </c>
      <c r="N18" s="428">
        <v>0</v>
      </c>
      <c r="O18" s="428">
        <v>0</v>
      </c>
      <c r="P18" s="428">
        <v>0</v>
      </c>
      <c r="Q18" s="428">
        <v>0</v>
      </c>
      <c r="R18" s="428">
        <v>0</v>
      </c>
      <c r="S18" s="428">
        <v>0</v>
      </c>
      <c r="T18" s="428">
        <v>0</v>
      </c>
      <c r="U18" s="428">
        <v>0</v>
      </c>
      <c r="V18" s="428">
        <v>0</v>
      </c>
      <c r="W18" s="428">
        <v>0</v>
      </c>
      <c r="X18" s="428">
        <v>0</v>
      </c>
      <c r="Y18" s="428">
        <v>0</v>
      </c>
      <c r="Z18" s="428">
        <v>0</v>
      </c>
      <c r="AA18" s="428">
        <v>0</v>
      </c>
      <c r="AB18" s="428">
        <v>0</v>
      </c>
      <c r="AC18" s="428">
        <v>0</v>
      </c>
      <c r="AE18" t="str">
        <f>+"Oil &amp; Gas - "&amp;C19</f>
        <v>Oil &amp; Gas - Class F Reserves</v>
      </c>
    </row>
    <row r="19" spans="1:31">
      <c r="A19" s="208"/>
      <c r="C19" s="429" t="s">
        <v>400</v>
      </c>
      <c r="D19" s="328">
        <f t="shared" si="2"/>
        <v>0</v>
      </c>
      <c r="E19" s="334"/>
      <c r="F19" s="334"/>
      <c r="G19" s="334"/>
      <c r="H19" s="335"/>
      <c r="I19" s="428">
        <v>0</v>
      </c>
      <c r="J19" s="428">
        <v>0</v>
      </c>
      <c r="K19" s="428">
        <v>0</v>
      </c>
      <c r="L19" s="428">
        <v>0</v>
      </c>
      <c r="M19" s="428">
        <v>0</v>
      </c>
      <c r="N19" s="428">
        <v>0</v>
      </c>
      <c r="O19" s="428">
        <v>0</v>
      </c>
      <c r="P19" s="428">
        <v>0</v>
      </c>
      <c r="Q19" s="428">
        <v>0</v>
      </c>
      <c r="R19" s="428">
        <v>0</v>
      </c>
      <c r="S19" s="428">
        <v>0</v>
      </c>
      <c r="T19" s="428">
        <v>0</v>
      </c>
      <c r="U19" s="428">
        <v>0</v>
      </c>
      <c r="V19" s="428">
        <v>0</v>
      </c>
      <c r="W19" s="428">
        <v>0</v>
      </c>
      <c r="X19" s="428">
        <v>0</v>
      </c>
      <c r="Y19" s="428">
        <v>0</v>
      </c>
      <c r="Z19" s="428">
        <v>0</v>
      </c>
      <c r="AA19" s="428">
        <v>0</v>
      </c>
      <c r="AB19" s="428">
        <v>0</v>
      </c>
      <c r="AC19" s="428">
        <v>0</v>
      </c>
      <c r="AE19" s="339" t="s">
        <v>401</v>
      </c>
    </row>
    <row r="20" spans="1:31">
      <c r="A20" s="208"/>
      <c r="C20" s="423" t="s">
        <v>402</v>
      </c>
      <c r="D20" s="396">
        <f>SUM(D10:D19)</f>
        <v>47.522999999999996</v>
      </c>
      <c r="E20" s="334"/>
      <c r="F20" s="334"/>
      <c r="G20" s="334"/>
      <c r="H20" s="335"/>
      <c r="I20" s="396">
        <f>SUM(I11,I13,I15,I17,I18,I19)</f>
        <v>0</v>
      </c>
      <c r="J20" s="396">
        <f t="shared" ref="J20:Y20" si="11">SUM(J11,J13,J15,J17,J18,J19)</f>
        <v>0</v>
      </c>
      <c r="K20" s="396">
        <f t="shared" si="11"/>
        <v>0</v>
      </c>
      <c r="L20" s="396">
        <f t="shared" si="11"/>
        <v>0</v>
      </c>
      <c r="M20" s="396">
        <f t="shared" si="11"/>
        <v>0</v>
      </c>
      <c r="N20" s="396">
        <f t="shared" si="11"/>
        <v>0</v>
      </c>
      <c r="O20" s="396">
        <f t="shared" si="11"/>
        <v>25.811</v>
      </c>
      <c r="P20" s="396">
        <f t="shared" si="11"/>
        <v>5.5119999999999996</v>
      </c>
      <c r="Q20" s="396">
        <f t="shared" si="11"/>
        <v>16.2</v>
      </c>
      <c r="R20" s="396">
        <f t="shared" si="11"/>
        <v>0</v>
      </c>
      <c r="S20" s="396">
        <f t="shared" si="11"/>
        <v>0</v>
      </c>
      <c r="T20" s="396">
        <f t="shared" si="11"/>
        <v>0</v>
      </c>
      <c r="U20" s="396">
        <f t="shared" si="11"/>
        <v>0</v>
      </c>
      <c r="V20" s="396">
        <f t="shared" si="11"/>
        <v>0</v>
      </c>
      <c r="W20" s="396">
        <f t="shared" si="11"/>
        <v>0</v>
      </c>
      <c r="X20" s="396">
        <f t="shared" si="11"/>
        <v>0</v>
      </c>
      <c r="Y20" s="396">
        <f t="shared" si="11"/>
        <v>0</v>
      </c>
      <c r="Z20" s="396">
        <f>SUM(Z11,Z13,Z15,Z17,Z18,Z19)</f>
        <v>0</v>
      </c>
      <c r="AA20" s="396">
        <f>SUM(AA11,AA13,AA15,AA17,AA18,AA19)</f>
        <v>0</v>
      </c>
      <c r="AB20" s="396">
        <f>SUM(AB11,AB13,AB15,AB17,AB18,AB19)</f>
        <v>0</v>
      </c>
      <c r="AC20" s="396">
        <f>SUM(AC11,AC13,AC15,AC17,AC18,AC19)</f>
        <v>0</v>
      </c>
      <c r="AE20" s="339" t="s">
        <v>403</v>
      </c>
    </row>
    <row r="21" spans="1:31">
      <c r="A21" s="208"/>
      <c r="AE21" t="s">
        <v>404</v>
      </c>
    </row>
    <row r="22" spans="1:31">
      <c r="A22" s="208"/>
      <c r="B22" s="15" t="s">
        <v>405</v>
      </c>
      <c r="C22" s="430" t="s">
        <v>406</v>
      </c>
      <c r="D22" s="334">
        <f t="shared" si="2"/>
        <v>0</v>
      </c>
      <c r="E22" s="334"/>
      <c r="F22" s="334"/>
      <c r="G22" s="334"/>
      <c r="H22" s="335"/>
      <c r="I22" s="428">
        <v>0</v>
      </c>
      <c r="J22" s="428">
        <v>0</v>
      </c>
      <c r="K22" s="428">
        <v>0</v>
      </c>
      <c r="L22" s="428">
        <v>0</v>
      </c>
      <c r="M22" s="428">
        <v>0</v>
      </c>
      <c r="N22" s="428">
        <v>0</v>
      </c>
      <c r="O22" s="428">
        <v>0</v>
      </c>
      <c r="P22" s="428">
        <v>0</v>
      </c>
      <c r="Q22" s="428">
        <v>0</v>
      </c>
      <c r="R22" s="428">
        <v>0</v>
      </c>
      <c r="S22" s="428">
        <v>0</v>
      </c>
      <c r="T22" s="428">
        <v>0</v>
      </c>
      <c r="U22" s="428">
        <v>0</v>
      </c>
      <c r="V22" s="428">
        <v>0</v>
      </c>
      <c r="W22" s="428">
        <v>0</v>
      </c>
      <c r="X22" s="428">
        <v>0</v>
      </c>
      <c r="Y22" s="428">
        <v>0</v>
      </c>
      <c r="Z22" s="428">
        <v>0</v>
      </c>
      <c r="AA22" s="428">
        <v>0</v>
      </c>
      <c r="AB22" s="428">
        <v>0</v>
      </c>
      <c r="AC22" s="428">
        <v>0</v>
      </c>
      <c r="AE22" t="s">
        <v>407</v>
      </c>
    </row>
    <row r="23" spans="1:31">
      <c r="A23" s="208"/>
      <c r="B23" s="15"/>
      <c r="C23" s="430" t="s">
        <v>408</v>
      </c>
      <c r="D23" s="334">
        <f t="shared" si="2"/>
        <v>0</v>
      </c>
      <c r="E23" s="334"/>
      <c r="F23" s="334"/>
      <c r="G23" s="334"/>
      <c r="H23" s="335"/>
      <c r="I23" s="428">
        <v>0</v>
      </c>
      <c r="J23" s="428">
        <v>0</v>
      </c>
      <c r="K23" s="428">
        <v>0</v>
      </c>
      <c r="L23" s="428">
        <v>0</v>
      </c>
      <c r="M23" s="428">
        <v>0</v>
      </c>
      <c r="N23" s="428">
        <v>0</v>
      </c>
      <c r="O23" s="428">
        <v>0</v>
      </c>
      <c r="P23" s="428">
        <v>0</v>
      </c>
      <c r="Q23" s="428">
        <v>0</v>
      </c>
      <c r="R23" s="428">
        <v>0</v>
      </c>
      <c r="S23" s="428">
        <v>0</v>
      </c>
      <c r="T23" s="428">
        <v>0</v>
      </c>
      <c r="U23" s="428">
        <v>0</v>
      </c>
      <c r="V23" s="428">
        <v>0</v>
      </c>
      <c r="W23" s="428">
        <v>0</v>
      </c>
      <c r="X23" s="428">
        <v>0</v>
      </c>
      <c r="Y23" s="428">
        <v>0</v>
      </c>
      <c r="Z23" s="428">
        <v>0</v>
      </c>
      <c r="AA23" s="428">
        <v>0</v>
      </c>
      <c r="AB23" s="428">
        <v>0</v>
      </c>
      <c r="AC23" s="428">
        <v>0</v>
      </c>
      <c r="AE23" t="s">
        <v>409</v>
      </c>
    </row>
    <row r="24" spans="1:31">
      <c r="A24" s="208"/>
      <c r="C24" s="430" t="s">
        <v>410</v>
      </c>
      <c r="D24" s="334">
        <f t="shared" si="2"/>
        <v>0</v>
      </c>
      <c r="E24" s="334"/>
      <c r="F24" s="334"/>
      <c r="G24" s="334"/>
      <c r="H24" s="335"/>
      <c r="I24" s="428">
        <v>0</v>
      </c>
      <c r="J24" s="428">
        <v>0</v>
      </c>
      <c r="K24" s="428">
        <v>0</v>
      </c>
      <c r="L24" s="428">
        <v>0</v>
      </c>
      <c r="M24" s="428">
        <v>0</v>
      </c>
      <c r="N24" s="428">
        <v>0</v>
      </c>
      <c r="O24" s="428">
        <v>0</v>
      </c>
      <c r="P24" s="428">
        <v>0</v>
      </c>
      <c r="Q24" s="428">
        <v>0</v>
      </c>
      <c r="R24" s="428">
        <v>0</v>
      </c>
      <c r="S24" s="428">
        <v>0</v>
      </c>
      <c r="T24" s="428">
        <v>0</v>
      </c>
      <c r="U24" s="428">
        <v>0</v>
      </c>
      <c r="V24" s="428">
        <v>0</v>
      </c>
      <c r="W24" s="428">
        <v>0</v>
      </c>
      <c r="X24" s="428">
        <v>0</v>
      </c>
      <c r="Y24" s="428">
        <v>0</v>
      </c>
      <c r="Z24" s="428">
        <v>0</v>
      </c>
      <c r="AA24" s="428">
        <v>0</v>
      </c>
      <c r="AB24" s="428">
        <v>0</v>
      </c>
      <c r="AC24" s="428">
        <v>0</v>
      </c>
      <c r="AE24" t="s">
        <v>411</v>
      </c>
    </row>
    <row r="25" spans="1:31">
      <c r="A25" s="208"/>
      <c r="C25" s="430" t="s">
        <v>412</v>
      </c>
      <c r="D25" s="334">
        <f t="shared" si="2"/>
        <v>0</v>
      </c>
      <c r="E25" s="334"/>
      <c r="F25" s="334"/>
      <c r="G25" s="334"/>
      <c r="H25" s="335"/>
      <c r="I25" s="428">
        <v>0</v>
      </c>
      <c r="J25" s="428">
        <v>0</v>
      </c>
      <c r="K25" s="428">
        <v>0</v>
      </c>
      <c r="L25" s="428">
        <v>0</v>
      </c>
      <c r="M25" s="428">
        <v>0</v>
      </c>
      <c r="N25" s="428">
        <v>0</v>
      </c>
      <c r="O25" s="428">
        <v>0</v>
      </c>
      <c r="P25" s="428">
        <v>0</v>
      </c>
      <c r="Q25" s="428">
        <v>0</v>
      </c>
      <c r="R25" s="428">
        <v>0</v>
      </c>
      <c r="S25" s="428">
        <v>0</v>
      </c>
      <c r="T25" s="428">
        <v>0</v>
      </c>
      <c r="U25" s="428">
        <v>0</v>
      </c>
      <c r="V25" s="428">
        <v>0</v>
      </c>
      <c r="W25" s="428">
        <v>0</v>
      </c>
      <c r="X25" s="428">
        <v>0</v>
      </c>
      <c r="Y25" s="428">
        <v>0</v>
      </c>
      <c r="Z25" s="428">
        <v>0</v>
      </c>
      <c r="AA25" s="428">
        <v>0</v>
      </c>
      <c r="AB25" s="428">
        <v>0</v>
      </c>
      <c r="AC25" s="428">
        <v>0</v>
      </c>
      <c r="AE25">
        <v>24</v>
      </c>
    </row>
    <row r="26" spans="1:31">
      <c r="A26" s="208"/>
      <c r="C26" s="430" t="s">
        <v>413</v>
      </c>
      <c r="D26" s="328">
        <f t="shared" si="2"/>
        <v>0</v>
      </c>
      <c r="E26" s="334"/>
      <c r="F26" s="334"/>
      <c r="G26" s="334"/>
      <c r="H26" s="335"/>
      <c r="I26" s="428">
        <v>0</v>
      </c>
      <c r="J26" s="428">
        <v>0</v>
      </c>
      <c r="K26" s="428">
        <v>0</v>
      </c>
      <c r="L26" s="428">
        <v>0</v>
      </c>
      <c r="M26" s="428">
        <v>0</v>
      </c>
      <c r="N26" s="428">
        <v>0</v>
      </c>
      <c r="O26" s="428">
        <v>0</v>
      </c>
      <c r="P26" s="428">
        <v>0</v>
      </c>
      <c r="Q26" s="428">
        <v>0</v>
      </c>
      <c r="R26" s="428">
        <v>0</v>
      </c>
      <c r="S26" s="428">
        <v>0</v>
      </c>
      <c r="T26" s="428">
        <v>0</v>
      </c>
      <c r="U26" s="428">
        <v>0</v>
      </c>
      <c r="V26" s="428">
        <v>0</v>
      </c>
      <c r="W26" s="428">
        <v>0</v>
      </c>
      <c r="X26" s="428">
        <v>0</v>
      </c>
      <c r="Y26" s="428">
        <v>0</v>
      </c>
      <c r="Z26" s="428">
        <v>0</v>
      </c>
      <c r="AA26" s="428">
        <v>0</v>
      </c>
      <c r="AB26" s="428">
        <v>0</v>
      </c>
      <c r="AC26" s="428">
        <v>0</v>
      </c>
    </row>
    <row r="27" spans="1:31">
      <c r="A27" s="208"/>
      <c r="C27" s="320" t="s">
        <v>414</v>
      </c>
      <c r="D27" s="396">
        <f>SUM(D22:D26)</f>
        <v>0</v>
      </c>
      <c r="E27" s="515">
        <v>0</v>
      </c>
      <c r="F27" s="515">
        <v>0</v>
      </c>
      <c r="G27" s="515">
        <v>0</v>
      </c>
      <c r="H27" s="515">
        <v>0</v>
      </c>
      <c r="I27" s="396">
        <f>SUM(I22:I26)</f>
        <v>0</v>
      </c>
      <c r="J27" s="396">
        <f t="shared" ref="J27:Z27" si="12">SUM(J22:J26)</f>
        <v>0</v>
      </c>
      <c r="K27" s="396">
        <f t="shared" si="12"/>
        <v>0</v>
      </c>
      <c r="L27" s="396">
        <f t="shared" si="12"/>
        <v>0</v>
      </c>
      <c r="M27" s="396">
        <f t="shared" si="12"/>
        <v>0</v>
      </c>
      <c r="N27" s="396">
        <f t="shared" si="12"/>
        <v>0</v>
      </c>
      <c r="O27" s="396">
        <f t="shared" si="12"/>
        <v>0</v>
      </c>
      <c r="P27" s="396">
        <f t="shared" si="12"/>
        <v>0</v>
      </c>
      <c r="Q27" s="396">
        <f t="shared" si="12"/>
        <v>0</v>
      </c>
      <c r="R27" s="396">
        <f t="shared" si="12"/>
        <v>0</v>
      </c>
      <c r="S27" s="396">
        <f t="shared" si="12"/>
        <v>0</v>
      </c>
      <c r="T27" s="396">
        <f t="shared" si="12"/>
        <v>0</v>
      </c>
      <c r="U27" s="396">
        <f t="shared" si="12"/>
        <v>0</v>
      </c>
      <c r="V27" s="396">
        <f t="shared" si="12"/>
        <v>0</v>
      </c>
      <c r="W27" s="396">
        <f t="shared" si="12"/>
        <v>0</v>
      </c>
      <c r="X27" s="396">
        <f t="shared" si="12"/>
        <v>0</v>
      </c>
      <c r="Y27" s="396">
        <f t="shared" si="12"/>
        <v>0</v>
      </c>
      <c r="Z27" s="396">
        <f t="shared" si="12"/>
        <v>0</v>
      </c>
      <c r="AA27" s="396">
        <f>SUM(AA22:AA26)</f>
        <v>0</v>
      </c>
      <c r="AB27" s="396">
        <f>SUM(AB22:AB26)</f>
        <v>0</v>
      </c>
      <c r="AC27" s="396">
        <f>SUM(AC22:AC26)</f>
        <v>0</v>
      </c>
    </row>
    <row r="28" spans="1:31">
      <c r="A28" s="208"/>
      <c r="C28" s="421"/>
      <c r="D28" s="334"/>
      <c r="E28" s="334"/>
      <c r="F28" s="334"/>
      <c r="G28" s="334"/>
      <c r="H28" s="335"/>
      <c r="I28" s="334"/>
      <c r="J28" s="334"/>
      <c r="K28" s="334"/>
      <c r="L28" s="334"/>
      <c r="M28" s="334"/>
      <c r="N28" s="334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4"/>
      <c r="AA28" s="334"/>
      <c r="AB28" s="334"/>
      <c r="AC28" s="334"/>
    </row>
    <row r="29" spans="1:31">
      <c r="A29" s="337" t="s">
        <v>415</v>
      </c>
      <c r="C29" s="421"/>
      <c r="D29" s="334"/>
      <c r="E29" s="334"/>
      <c r="F29" s="334"/>
      <c r="G29" s="334"/>
      <c r="H29" s="335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4"/>
      <c r="U29" s="334"/>
      <c r="V29" s="334"/>
      <c r="W29" s="334"/>
      <c r="X29" s="334"/>
      <c r="Y29" s="334"/>
      <c r="Z29" s="334"/>
      <c r="AA29" s="334"/>
      <c r="AB29" s="334"/>
      <c r="AC29" s="334"/>
    </row>
    <row r="30" spans="1:31">
      <c r="A30" s="341" t="s">
        <v>416</v>
      </c>
      <c r="B30" s="431">
        <v>0.13</v>
      </c>
      <c r="C30" s="430" t="s">
        <v>417</v>
      </c>
      <c r="D30" s="334">
        <f>SUM(I30:AC30)</f>
        <v>0</v>
      </c>
      <c r="E30" s="334"/>
      <c r="F30" s="334"/>
      <c r="G30" s="334"/>
      <c r="H30" s="335"/>
      <c r="I30" s="428">
        <v>0</v>
      </c>
      <c r="J30" s="428">
        <v>0</v>
      </c>
      <c r="K30" s="428">
        <v>0</v>
      </c>
      <c r="L30" s="428">
        <v>0</v>
      </c>
      <c r="M30" s="428">
        <v>0</v>
      </c>
      <c r="N30" s="428">
        <v>0</v>
      </c>
      <c r="O30" s="428">
        <v>0</v>
      </c>
      <c r="P30" s="428">
        <v>0</v>
      </c>
      <c r="Q30" s="428">
        <v>0</v>
      </c>
      <c r="R30" s="428">
        <v>0</v>
      </c>
      <c r="S30" s="428">
        <v>0</v>
      </c>
      <c r="T30" s="428">
        <v>0</v>
      </c>
      <c r="U30" s="428">
        <v>0</v>
      </c>
      <c r="V30" s="428">
        <v>0</v>
      </c>
      <c r="W30" s="428">
        <v>0</v>
      </c>
      <c r="X30" s="428">
        <v>0</v>
      </c>
      <c r="Y30" s="428">
        <v>0</v>
      </c>
      <c r="Z30" s="428">
        <v>0</v>
      </c>
      <c r="AA30" s="428">
        <v>0</v>
      </c>
      <c r="AB30" s="428">
        <v>0</v>
      </c>
      <c r="AC30" s="428">
        <v>0</v>
      </c>
    </row>
    <row r="31" spans="1:31">
      <c r="A31" s="341" t="s">
        <v>416</v>
      </c>
      <c r="B31" s="431">
        <v>0.13</v>
      </c>
      <c r="C31" s="432" t="s">
        <v>418</v>
      </c>
      <c r="D31" s="328">
        <f>SUM(I31:AC31)</f>
        <v>0</v>
      </c>
      <c r="E31" s="334"/>
      <c r="F31" s="334"/>
      <c r="G31" s="334"/>
      <c r="H31" s="335"/>
      <c r="I31" s="428">
        <v>0</v>
      </c>
      <c r="J31" s="428">
        <v>0</v>
      </c>
      <c r="K31" s="428">
        <v>0</v>
      </c>
      <c r="L31" s="428">
        <v>0</v>
      </c>
      <c r="M31" s="428">
        <v>0</v>
      </c>
      <c r="N31" s="428">
        <v>0</v>
      </c>
      <c r="O31" s="428">
        <v>0</v>
      </c>
      <c r="P31" s="428">
        <v>0</v>
      </c>
      <c r="Q31" s="428">
        <v>0</v>
      </c>
      <c r="R31" s="428">
        <v>0</v>
      </c>
      <c r="S31" s="428">
        <v>0</v>
      </c>
      <c r="T31" s="428">
        <v>0</v>
      </c>
      <c r="U31" s="428">
        <v>0</v>
      </c>
      <c r="V31" s="428">
        <v>0</v>
      </c>
      <c r="W31" s="428">
        <v>0</v>
      </c>
      <c r="X31" s="428">
        <v>0</v>
      </c>
      <c r="Y31" s="428">
        <v>0</v>
      </c>
      <c r="Z31" s="428">
        <v>0</v>
      </c>
      <c r="AA31" s="428">
        <v>0</v>
      </c>
      <c r="AB31" s="428">
        <v>0</v>
      </c>
      <c r="AC31" s="428">
        <v>0</v>
      </c>
    </row>
    <row r="32" spans="1:31">
      <c r="C32" s="421" t="s">
        <v>419</v>
      </c>
      <c r="D32" s="516">
        <f>SUM(D30:D31)</f>
        <v>0</v>
      </c>
      <c r="E32" s="515">
        <v>0</v>
      </c>
      <c r="F32" s="515">
        <v>0</v>
      </c>
      <c r="G32" s="515">
        <v>0</v>
      </c>
      <c r="H32" s="515">
        <v>0</v>
      </c>
      <c r="I32" s="516">
        <f t="shared" ref="I32:X32" si="13">SUM(I30:I31)</f>
        <v>0</v>
      </c>
      <c r="J32" s="516">
        <f t="shared" si="13"/>
        <v>0</v>
      </c>
      <c r="K32" s="516">
        <f t="shared" si="13"/>
        <v>0</v>
      </c>
      <c r="L32" s="516">
        <f t="shared" si="13"/>
        <v>0</v>
      </c>
      <c r="M32" s="516">
        <f t="shared" si="13"/>
        <v>0</v>
      </c>
      <c r="N32" s="516">
        <f t="shared" si="13"/>
        <v>0</v>
      </c>
      <c r="O32" s="516">
        <f t="shared" si="13"/>
        <v>0</v>
      </c>
      <c r="P32" s="516">
        <f t="shared" si="13"/>
        <v>0</v>
      </c>
      <c r="Q32" s="516">
        <f t="shared" si="13"/>
        <v>0</v>
      </c>
      <c r="R32" s="516">
        <f t="shared" si="13"/>
        <v>0</v>
      </c>
      <c r="S32" s="516">
        <f t="shared" si="13"/>
        <v>0</v>
      </c>
      <c r="T32" s="516">
        <f t="shared" si="13"/>
        <v>0</v>
      </c>
      <c r="U32" s="516">
        <f t="shared" si="13"/>
        <v>0</v>
      </c>
      <c r="V32" s="516">
        <f t="shared" si="13"/>
        <v>0</v>
      </c>
      <c r="W32" s="516">
        <f t="shared" si="13"/>
        <v>0</v>
      </c>
      <c r="X32" s="516">
        <f t="shared" si="13"/>
        <v>0</v>
      </c>
      <c r="Y32" s="516">
        <f>SUM(Y30:Y31)</f>
        <v>0</v>
      </c>
      <c r="Z32" s="516">
        <f>SUM(Z30:Z31)</f>
        <v>0</v>
      </c>
      <c r="AA32" s="516">
        <f>SUM(AA30:AA31)</f>
        <v>0</v>
      </c>
      <c r="AB32" s="516">
        <f>SUM(AB30:AB31)</f>
        <v>0</v>
      </c>
      <c r="AC32" s="516">
        <f>SUM(AC30:AC31)</f>
        <v>0</v>
      </c>
    </row>
    <row r="33" spans="1:29">
      <c r="B33" s="421"/>
      <c r="C33" s="208"/>
      <c r="D33" s="334"/>
      <c r="E33" s="334"/>
      <c r="F33" s="334"/>
      <c r="G33" s="334"/>
      <c r="H33" s="335"/>
      <c r="I33" s="327"/>
      <c r="J33" s="327"/>
      <c r="K33" s="327"/>
      <c r="L33" s="327"/>
      <c r="M33" s="327"/>
      <c r="N33" s="327"/>
      <c r="O33" s="327"/>
      <c r="P33" s="327"/>
      <c r="Q33" s="327"/>
      <c r="R33" s="327"/>
      <c r="S33" s="327"/>
      <c r="T33" s="327"/>
      <c r="U33" s="327"/>
      <c r="V33" s="327"/>
      <c r="W33" s="327"/>
      <c r="X33" s="327"/>
      <c r="Y33" s="327"/>
      <c r="Z33" s="327"/>
      <c r="AA33" s="327"/>
      <c r="AB33" s="327"/>
      <c r="AC33" s="327"/>
    </row>
    <row r="34" spans="1:29">
      <c r="A34" s="337" t="s">
        <v>420</v>
      </c>
      <c r="B34" s="421"/>
      <c r="C34" s="208"/>
      <c r="D34" s="334">
        <f>SUM(I34:AC34)</f>
        <v>0</v>
      </c>
      <c r="E34" s="428">
        <v>0</v>
      </c>
      <c r="F34" s="428">
        <v>0</v>
      </c>
      <c r="G34" s="428">
        <v>0</v>
      </c>
      <c r="H34" s="433">
        <v>0</v>
      </c>
      <c r="I34" s="428">
        <v>0</v>
      </c>
      <c r="J34" s="428">
        <v>0</v>
      </c>
      <c r="K34" s="428">
        <v>0</v>
      </c>
      <c r="L34" s="428">
        <v>0</v>
      </c>
      <c r="M34" s="428">
        <v>0</v>
      </c>
      <c r="N34" s="428">
        <v>0</v>
      </c>
      <c r="O34" s="428">
        <v>0</v>
      </c>
      <c r="P34" s="428">
        <v>0</v>
      </c>
      <c r="Q34" s="428">
        <v>0</v>
      </c>
      <c r="R34" s="428">
        <v>0</v>
      </c>
      <c r="S34" s="428">
        <v>0</v>
      </c>
      <c r="T34" s="428">
        <v>0</v>
      </c>
      <c r="U34" s="428">
        <v>0</v>
      </c>
      <c r="V34" s="428">
        <v>0</v>
      </c>
      <c r="W34" s="428">
        <v>0</v>
      </c>
      <c r="X34" s="428">
        <v>0</v>
      </c>
      <c r="Y34" s="428">
        <v>0</v>
      </c>
      <c r="Z34" s="428">
        <v>0</v>
      </c>
      <c r="AA34" s="428">
        <v>0</v>
      </c>
      <c r="AB34" s="428">
        <v>0</v>
      </c>
      <c r="AC34" s="428">
        <v>0</v>
      </c>
    </row>
    <row r="35" spans="1:29">
      <c r="B35" s="421"/>
      <c r="C35" s="208"/>
      <c r="D35" s="334"/>
      <c r="E35" s="334"/>
      <c r="F35" s="334"/>
      <c r="G35" s="334"/>
      <c r="H35" s="335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34"/>
      <c r="X35" s="334"/>
      <c r="Y35" s="334"/>
      <c r="Z35" s="334"/>
      <c r="AA35" s="334"/>
      <c r="AB35" s="334"/>
      <c r="AC35" s="334"/>
    </row>
    <row r="36" spans="1:29">
      <c r="A36" s="438" t="s">
        <v>421</v>
      </c>
      <c r="B36" s="421"/>
      <c r="C36" s="208"/>
      <c r="D36" s="396">
        <f>+D27+D32+D34+D20</f>
        <v>47.522999999999996</v>
      </c>
      <c r="E36" s="396">
        <f t="shared" ref="E36:T36" si="14">+E27+E32+E34+E20</f>
        <v>0</v>
      </c>
      <c r="F36" s="396">
        <f t="shared" si="14"/>
        <v>0</v>
      </c>
      <c r="G36" s="396">
        <f t="shared" si="14"/>
        <v>0</v>
      </c>
      <c r="H36" s="396">
        <f t="shared" si="14"/>
        <v>0</v>
      </c>
      <c r="I36" s="396">
        <f t="shared" si="14"/>
        <v>0</v>
      </c>
      <c r="J36" s="396">
        <f t="shared" si="14"/>
        <v>0</v>
      </c>
      <c r="K36" s="396">
        <f t="shared" si="14"/>
        <v>0</v>
      </c>
      <c r="L36" s="396">
        <f t="shared" si="14"/>
        <v>0</v>
      </c>
      <c r="M36" s="396">
        <f t="shared" si="14"/>
        <v>0</v>
      </c>
      <c r="N36" s="396">
        <f t="shared" si="14"/>
        <v>0</v>
      </c>
      <c r="O36" s="396">
        <f t="shared" si="14"/>
        <v>25.811</v>
      </c>
      <c r="P36" s="396">
        <f t="shared" si="14"/>
        <v>5.5119999999999996</v>
      </c>
      <c r="Q36" s="396">
        <f t="shared" si="14"/>
        <v>16.2</v>
      </c>
      <c r="R36" s="396">
        <f t="shared" si="14"/>
        <v>0</v>
      </c>
      <c r="S36" s="396">
        <f t="shared" si="14"/>
        <v>0</v>
      </c>
      <c r="T36" s="396">
        <f t="shared" si="14"/>
        <v>0</v>
      </c>
      <c r="U36" s="396">
        <f t="shared" ref="U36:AC36" si="15">+U27+U32+U34+U20</f>
        <v>0</v>
      </c>
      <c r="V36" s="396">
        <f t="shared" si="15"/>
        <v>0</v>
      </c>
      <c r="W36" s="396">
        <f t="shared" si="15"/>
        <v>0</v>
      </c>
      <c r="X36" s="396">
        <f t="shared" si="15"/>
        <v>0</v>
      </c>
      <c r="Y36" s="396">
        <f t="shared" si="15"/>
        <v>0</v>
      </c>
      <c r="Z36" s="396">
        <f t="shared" si="15"/>
        <v>0</v>
      </c>
      <c r="AA36" s="396">
        <f t="shared" si="15"/>
        <v>0</v>
      </c>
      <c r="AB36" s="396">
        <f t="shared" si="15"/>
        <v>0</v>
      </c>
      <c r="AC36" s="396">
        <f t="shared" si="15"/>
        <v>0</v>
      </c>
    </row>
    <row r="37" spans="1:29">
      <c r="A37" s="422"/>
      <c r="B37" s="421"/>
      <c r="C37" s="208"/>
      <c r="D37" s="334"/>
      <c r="E37" s="334"/>
      <c r="F37" s="334"/>
      <c r="G37" s="334"/>
      <c r="H37" s="334"/>
      <c r="I37" s="334"/>
      <c r="J37" s="334"/>
      <c r="K37" s="334"/>
      <c r="L37" s="334"/>
      <c r="M37" s="334"/>
      <c r="N37" s="334"/>
      <c r="O37" s="334"/>
      <c r="P37" s="334"/>
      <c r="Q37" s="334"/>
      <c r="R37" s="334"/>
      <c r="S37" s="334"/>
      <c r="T37" s="334"/>
      <c r="U37" s="334"/>
      <c r="V37" s="334"/>
      <c r="W37" s="334"/>
      <c r="X37" s="334"/>
      <c r="Y37" s="334"/>
      <c r="Z37" s="334"/>
      <c r="AA37" s="334"/>
      <c r="AB37" s="334"/>
      <c r="AC37" s="334"/>
    </row>
    <row r="38" spans="1:29" ht="12" thickBot="1">
      <c r="A38" s="425"/>
      <c r="B38" s="426"/>
      <c r="C38" s="302"/>
      <c r="D38" s="348"/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48"/>
      <c r="P38" s="348"/>
      <c r="Q38" s="348"/>
      <c r="R38" s="348"/>
      <c r="S38" s="348"/>
      <c r="T38" s="348"/>
      <c r="U38" s="348"/>
      <c r="V38" s="348"/>
      <c r="W38" s="348"/>
      <c r="X38" s="348"/>
      <c r="Y38" s="348"/>
      <c r="Z38" s="348"/>
      <c r="AA38" s="348"/>
      <c r="AB38" s="348"/>
      <c r="AC38" s="348"/>
    </row>
    <row r="39" spans="1:29" ht="12.75" thickTop="1" thickBot="1">
      <c r="A39" s="422"/>
      <c r="B39" s="421"/>
      <c r="C39" s="208"/>
      <c r="D39" s="334"/>
      <c r="E39" s="334"/>
      <c r="F39" s="334"/>
      <c r="G39" s="334"/>
      <c r="H39" s="334"/>
      <c r="I39" s="334"/>
      <c r="J39" s="334"/>
      <c r="K39" s="334"/>
      <c r="L39" s="334"/>
      <c r="M39" s="334"/>
      <c r="N39" s="334"/>
      <c r="O39" s="334"/>
      <c r="P39" s="334"/>
      <c r="Q39" s="334"/>
      <c r="R39" s="334"/>
      <c r="S39" s="334"/>
      <c r="T39" s="334"/>
      <c r="U39" s="334"/>
      <c r="V39" s="334"/>
      <c r="W39" s="334"/>
      <c r="X39" s="334"/>
      <c r="Y39" s="334"/>
      <c r="Z39" s="334"/>
      <c r="AA39" s="334"/>
      <c r="AB39" s="334"/>
      <c r="AC39" s="334"/>
    </row>
    <row r="40" spans="1:29" ht="12.75" thickTop="1" thickBot="1">
      <c r="A40" s="442" t="s">
        <v>422</v>
      </c>
      <c r="B40" s="421"/>
      <c r="C40" s="328"/>
      <c r="D40" s="464" t="s">
        <v>423</v>
      </c>
      <c r="E40" s="328"/>
      <c r="F40" s="334"/>
      <c r="G40" s="334"/>
      <c r="I40" s="166" t="str">
        <f ca="1">+I$3</f>
        <v xml:space="preserve">6 M/1999 </v>
      </c>
      <c r="J40" s="166">
        <f t="shared" ref="J40:Z40" si="16">+J$3</f>
        <v>2000</v>
      </c>
      <c r="K40" s="166">
        <f t="shared" si="16"/>
        <v>2001</v>
      </c>
      <c r="L40" s="166">
        <f t="shared" si="16"/>
        <v>2002</v>
      </c>
      <c r="M40" s="166">
        <f t="shared" si="16"/>
        <v>2003</v>
      </c>
      <c r="N40" s="166">
        <f t="shared" si="16"/>
        <v>2004</v>
      </c>
      <c r="O40" s="166">
        <f t="shared" si="16"/>
        <v>2005</v>
      </c>
      <c r="P40" s="166">
        <f t="shared" si="16"/>
        <v>2006</v>
      </c>
      <c r="Q40" s="166">
        <f t="shared" si="16"/>
        <v>2007</v>
      </c>
      <c r="R40" s="166">
        <f t="shared" si="16"/>
        <v>2008</v>
      </c>
      <c r="S40" s="166">
        <f t="shared" si="16"/>
        <v>2009</v>
      </c>
      <c r="T40" s="166">
        <f t="shared" si="16"/>
        <v>2010</v>
      </c>
      <c r="U40" s="166">
        <f t="shared" si="16"/>
        <v>2011</v>
      </c>
      <c r="V40" s="166">
        <f t="shared" si="16"/>
        <v>2012</v>
      </c>
      <c r="W40" s="166">
        <f t="shared" si="16"/>
        <v>2013</v>
      </c>
      <c r="X40" s="166">
        <f t="shared" si="16"/>
        <v>2014</v>
      </c>
      <c r="Y40" s="166">
        <f t="shared" si="16"/>
        <v>2015</v>
      </c>
      <c r="Z40" s="166">
        <f t="shared" si="16"/>
        <v>2016</v>
      </c>
      <c r="AA40" s="166">
        <f>+AA$3</f>
        <v>2017</v>
      </c>
      <c r="AB40" s="166">
        <f>+AB$3</f>
        <v>2018</v>
      </c>
      <c r="AC40" s="166">
        <f>+AC$3</f>
        <v>2019</v>
      </c>
    </row>
    <row r="41" spans="1:29" ht="12" thickTop="1">
      <c r="A41" s="419" t="s">
        <v>389</v>
      </c>
      <c r="B41" s="208"/>
      <c r="C41" s="420"/>
      <c r="D41" s="464" t="s">
        <v>424</v>
      </c>
      <c r="E41" s="707" t="s">
        <v>425</v>
      </c>
      <c r="F41" s="334"/>
      <c r="G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4"/>
      <c r="AC41" s="334"/>
    </row>
    <row r="42" spans="1:29">
      <c r="A42" s="208"/>
      <c r="B42" s="15" t="s">
        <v>25</v>
      </c>
      <c r="C42" s="318" t="s">
        <v>164</v>
      </c>
      <c r="D42" s="578" t="s">
        <v>426</v>
      </c>
      <c r="E42" s="578" t="s">
        <v>426</v>
      </c>
      <c r="F42" s="423" t="s">
        <v>427</v>
      </c>
      <c r="I42" s="628">
        <f>D44</f>
        <v>1</v>
      </c>
      <c r="J42" s="628">
        <f t="shared" ref="J42:AC42" si="17">I42</f>
        <v>1</v>
      </c>
      <c r="K42" s="628">
        <f t="shared" si="17"/>
        <v>1</v>
      </c>
      <c r="L42" s="628">
        <f t="shared" si="17"/>
        <v>1</v>
      </c>
      <c r="M42" s="628">
        <f t="shared" si="17"/>
        <v>1</v>
      </c>
      <c r="N42" s="628">
        <f t="shared" si="17"/>
        <v>1</v>
      </c>
      <c r="O42" s="628">
        <f t="shared" si="17"/>
        <v>1</v>
      </c>
      <c r="P42" s="628">
        <f t="shared" si="17"/>
        <v>1</v>
      </c>
      <c r="Q42" s="628">
        <f t="shared" si="17"/>
        <v>1</v>
      </c>
      <c r="R42" s="628">
        <f t="shared" si="17"/>
        <v>1</v>
      </c>
      <c r="S42" s="628">
        <f t="shared" si="17"/>
        <v>1</v>
      </c>
      <c r="T42" s="628">
        <f t="shared" si="17"/>
        <v>1</v>
      </c>
      <c r="U42" s="628">
        <f t="shared" si="17"/>
        <v>1</v>
      </c>
      <c r="V42" s="628">
        <f t="shared" si="17"/>
        <v>1</v>
      </c>
      <c r="W42" s="628">
        <f t="shared" si="17"/>
        <v>1</v>
      </c>
      <c r="X42" s="628">
        <f t="shared" si="17"/>
        <v>1</v>
      </c>
      <c r="Y42" s="628">
        <f t="shared" si="17"/>
        <v>1</v>
      </c>
      <c r="Z42" s="628">
        <f t="shared" si="17"/>
        <v>1</v>
      </c>
      <c r="AA42" s="628">
        <f t="shared" si="17"/>
        <v>1</v>
      </c>
      <c r="AB42" s="628">
        <f t="shared" si="17"/>
        <v>1</v>
      </c>
      <c r="AC42" s="628">
        <f t="shared" si="17"/>
        <v>1</v>
      </c>
    </row>
    <row r="43" spans="1:29">
      <c r="A43" s="208"/>
      <c r="C43" s="231" t="s">
        <v>428</v>
      </c>
      <c r="D43" s="579">
        <v>0.9</v>
      </c>
      <c r="E43" s="579">
        <v>0.9</v>
      </c>
      <c r="F43" t="s">
        <v>429</v>
      </c>
      <c r="I43" s="334">
        <f>(SUM(I11,I13,I15,I17,I19)*I42)</f>
        <v>0</v>
      </c>
      <c r="J43" s="334">
        <f t="shared" ref="J43:Y43" si="18">(SUM(J11,J13,J15,J17,J19)*J42)</f>
        <v>0</v>
      </c>
      <c r="K43" s="334">
        <f t="shared" si="18"/>
        <v>0</v>
      </c>
      <c r="L43" s="334">
        <f t="shared" si="18"/>
        <v>0</v>
      </c>
      <c r="M43" s="334">
        <f t="shared" si="18"/>
        <v>0</v>
      </c>
      <c r="N43" s="334">
        <f t="shared" si="18"/>
        <v>0</v>
      </c>
      <c r="O43" s="334">
        <f t="shared" si="18"/>
        <v>25.811</v>
      </c>
      <c r="P43" s="334">
        <f t="shared" si="18"/>
        <v>5.5119999999999996</v>
      </c>
      <c r="Q43" s="334">
        <f t="shared" si="18"/>
        <v>16.2</v>
      </c>
      <c r="R43" s="334">
        <f t="shared" si="18"/>
        <v>0</v>
      </c>
      <c r="S43" s="334">
        <f t="shared" si="18"/>
        <v>0</v>
      </c>
      <c r="T43" s="334">
        <f t="shared" si="18"/>
        <v>0</v>
      </c>
      <c r="U43" s="334">
        <f t="shared" si="18"/>
        <v>0</v>
      </c>
      <c r="V43" s="334">
        <f t="shared" si="18"/>
        <v>0</v>
      </c>
      <c r="W43" s="334">
        <f t="shared" si="18"/>
        <v>0</v>
      </c>
      <c r="X43" s="334">
        <f t="shared" si="18"/>
        <v>0</v>
      </c>
      <c r="Y43" s="334">
        <f t="shared" si="18"/>
        <v>0</v>
      </c>
      <c r="Z43" s="334">
        <f>(SUM(Z11,Z13,Z15,Z17,Z19)*Z42)</f>
        <v>0</v>
      </c>
      <c r="AA43" s="334">
        <f>(SUM(AA11,AA13,AA15,AA17,AA19)*AA42)</f>
        <v>0</v>
      </c>
      <c r="AB43" s="334">
        <f>(SUM(AB11,AB13,AB15,AB17,AB19)*AB42)</f>
        <v>0</v>
      </c>
      <c r="AC43" s="334">
        <f>(SUM(AC11,AC13,AC15,AC17,AC19)*AC42)</f>
        <v>0</v>
      </c>
    </row>
    <row r="44" spans="1:29">
      <c r="A44" s="208"/>
      <c r="C44" s="231" t="s">
        <v>430</v>
      </c>
      <c r="D44" s="782">
        <v>1</v>
      </c>
      <c r="E44" s="708">
        <v>1</v>
      </c>
      <c r="F44" s="423" t="s">
        <v>425</v>
      </c>
      <c r="I44" s="628">
        <f>F524</f>
        <v>1</v>
      </c>
      <c r="J44" s="628">
        <f t="shared" ref="J44:AC44" si="19">I44</f>
        <v>1</v>
      </c>
      <c r="K44" s="628">
        <f t="shared" si="19"/>
        <v>1</v>
      </c>
      <c r="L44" s="628">
        <f t="shared" si="19"/>
        <v>1</v>
      </c>
      <c r="M44" s="628">
        <f t="shared" si="19"/>
        <v>1</v>
      </c>
      <c r="N44" s="628">
        <f t="shared" si="19"/>
        <v>1</v>
      </c>
      <c r="O44" s="628">
        <f t="shared" si="19"/>
        <v>1</v>
      </c>
      <c r="P44" s="628">
        <f t="shared" si="19"/>
        <v>1</v>
      </c>
      <c r="Q44" s="628">
        <f t="shared" si="19"/>
        <v>1</v>
      </c>
      <c r="R44" s="628">
        <f t="shared" si="19"/>
        <v>1</v>
      </c>
      <c r="S44" s="628">
        <f t="shared" si="19"/>
        <v>1</v>
      </c>
      <c r="T44" s="628">
        <f t="shared" si="19"/>
        <v>1</v>
      </c>
      <c r="U44" s="628">
        <f t="shared" si="19"/>
        <v>1</v>
      </c>
      <c r="V44" s="628">
        <f t="shared" si="19"/>
        <v>1</v>
      </c>
      <c r="W44" s="628">
        <f t="shared" si="19"/>
        <v>1</v>
      </c>
      <c r="X44" s="628">
        <f t="shared" si="19"/>
        <v>1</v>
      </c>
      <c r="Y44" s="628">
        <f t="shared" si="19"/>
        <v>1</v>
      </c>
      <c r="Z44" s="628">
        <f t="shared" si="19"/>
        <v>1</v>
      </c>
      <c r="AA44" s="628">
        <f t="shared" si="19"/>
        <v>1</v>
      </c>
      <c r="AB44" s="628">
        <f t="shared" si="19"/>
        <v>1</v>
      </c>
      <c r="AC44" s="628">
        <f t="shared" si="19"/>
        <v>1</v>
      </c>
    </row>
    <row r="45" spans="1:29">
      <c r="A45" s="208"/>
      <c r="C45" s="231" t="s">
        <v>431</v>
      </c>
      <c r="D45" s="579">
        <v>1.1000000000000001</v>
      </c>
      <c r="E45" s="579">
        <v>1.1000000000000001</v>
      </c>
      <c r="F45" t="s">
        <v>429</v>
      </c>
      <c r="G45" s="334"/>
      <c r="I45">
        <f>+I44*I18</f>
        <v>0</v>
      </c>
      <c r="J45">
        <f t="shared" ref="J45:Y45" si="20">+J44*J18</f>
        <v>0</v>
      </c>
      <c r="K45">
        <f t="shared" si="20"/>
        <v>0</v>
      </c>
      <c r="L45">
        <f t="shared" si="20"/>
        <v>0</v>
      </c>
      <c r="M45">
        <f t="shared" si="20"/>
        <v>0</v>
      </c>
      <c r="N45">
        <f t="shared" si="20"/>
        <v>0</v>
      </c>
      <c r="O45">
        <f t="shared" si="20"/>
        <v>0</v>
      </c>
      <c r="P45">
        <f t="shared" si="20"/>
        <v>0</v>
      </c>
      <c r="Q45">
        <f t="shared" si="20"/>
        <v>0</v>
      </c>
      <c r="R45">
        <f t="shared" si="20"/>
        <v>0</v>
      </c>
      <c r="S45">
        <f t="shared" si="20"/>
        <v>0</v>
      </c>
      <c r="T45">
        <f t="shared" si="20"/>
        <v>0</v>
      </c>
      <c r="U45">
        <f t="shared" si="20"/>
        <v>0</v>
      </c>
      <c r="V45">
        <f t="shared" si="20"/>
        <v>0</v>
      </c>
      <c r="W45">
        <f t="shared" si="20"/>
        <v>0</v>
      </c>
      <c r="X45">
        <f t="shared" si="20"/>
        <v>0</v>
      </c>
      <c r="Y45">
        <f t="shared" si="20"/>
        <v>0</v>
      </c>
      <c r="Z45">
        <f>+Z44*Z18</f>
        <v>0</v>
      </c>
      <c r="AA45">
        <f>+AA44*AA18</f>
        <v>0</v>
      </c>
      <c r="AB45">
        <f>+AB44*AB18</f>
        <v>0</v>
      </c>
      <c r="AC45">
        <f>+AC44*AC18</f>
        <v>0</v>
      </c>
    </row>
    <row r="46" spans="1:29">
      <c r="A46" s="208"/>
      <c r="C46" s="328"/>
      <c r="D46" s="231"/>
      <c r="E46" s="231"/>
      <c r="F46" s="427" t="s">
        <v>432</v>
      </c>
      <c r="G46" s="334"/>
      <c r="I46" s="396">
        <f>+I45+I43</f>
        <v>0</v>
      </c>
      <c r="J46" s="396">
        <f t="shared" ref="J46:Z46" si="21">+J45+J43</f>
        <v>0</v>
      </c>
      <c r="K46" s="396">
        <f t="shared" si="21"/>
        <v>0</v>
      </c>
      <c r="L46" s="396">
        <f t="shared" si="21"/>
        <v>0</v>
      </c>
      <c r="M46" s="396">
        <f t="shared" si="21"/>
        <v>0</v>
      </c>
      <c r="N46" s="396">
        <f t="shared" si="21"/>
        <v>0</v>
      </c>
      <c r="O46" s="396">
        <f t="shared" si="21"/>
        <v>25.811</v>
      </c>
      <c r="P46" s="396">
        <f t="shared" si="21"/>
        <v>5.5119999999999996</v>
      </c>
      <c r="Q46" s="396">
        <f t="shared" si="21"/>
        <v>16.2</v>
      </c>
      <c r="R46" s="396">
        <f t="shared" si="21"/>
        <v>0</v>
      </c>
      <c r="S46" s="396">
        <f t="shared" si="21"/>
        <v>0</v>
      </c>
      <c r="T46" s="396">
        <f t="shared" si="21"/>
        <v>0</v>
      </c>
      <c r="U46" s="396">
        <f t="shared" si="21"/>
        <v>0</v>
      </c>
      <c r="V46" s="396">
        <f t="shared" si="21"/>
        <v>0</v>
      </c>
      <c r="W46" s="396">
        <f t="shared" si="21"/>
        <v>0</v>
      </c>
      <c r="X46" s="396">
        <f t="shared" si="21"/>
        <v>0</v>
      </c>
      <c r="Y46" s="396">
        <f t="shared" si="21"/>
        <v>0</v>
      </c>
      <c r="Z46" s="396">
        <f t="shared" si="21"/>
        <v>0</v>
      </c>
      <c r="AA46" s="396">
        <f>+AA45+AA43</f>
        <v>0</v>
      </c>
      <c r="AB46" s="396">
        <f>+AB45+AB43</f>
        <v>0</v>
      </c>
      <c r="AC46" s="396">
        <f>+AC45+AC43</f>
        <v>0</v>
      </c>
    </row>
    <row r="47" spans="1:29">
      <c r="A47" s="208"/>
      <c r="C47" s="231"/>
      <c r="D47" s="328"/>
      <c r="E47" s="328"/>
      <c r="F47" s="334"/>
      <c r="G47" s="334"/>
      <c r="I47" s="334"/>
      <c r="J47" s="334"/>
      <c r="K47" s="334"/>
      <c r="L47" s="334"/>
      <c r="M47" s="334"/>
      <c r="N47" s="334"/>
      <c r="O47" s="334"/>
      <c r="P47" s="334"/>
      <c r="Q47" s="334"/>
      <c r="R47" s="334"/>
      <c r="S47" s="334"/>
      <c r="T47" s="334"/>
      <c r="U47" s="334"/>
      <c r="V47" s="334"/>
      <c r="W47" s="334"/>
      <c r="X47" s="334"/>
      <c r="Y47" s="334"/>
      <c r="Z47" s="334"/>
      <c r="AA47" s="334"/>
      <c r="AB47" s="334"/>
      <c r="AC47" s="334"/>
    </row>
    <row r="48" spans="1:29">
      <c r="A48" s="208"/>
      <c r="B48" s="15" t="s">
        <v>405</v>
      </c>
      <c r="C48" s="318" t="s">
        <v>164</v>
      </c>
      <c r="D48" s="578" t="s">
        <v>426</v>
      </c>
      <c r="E48" s="328"/>
      <c r="F48" s="334" t="str">
        <f>+C22</f>
        <v>Asset 1</v>
      </c>
      <c r="G48" s="334"/>
      <c r="I48" s="628">
        <v>1</v>
      </c>
      <c r="J48" s="628">
        <v>1</v>
      </c>
      <c r="K48" s="628">
        <v>1</v>
      </c>
      <c r="L48" s="628">
        <v>1</v>
      </c>
      <c r="M48" s="628">
        <v>1</v>
      </c>
      <c r="N48" s="628">
        <v>1</v>
      </c>
      <c r="O48" s="628">
        <v>1</v>
      </c>
      <c r="P48" s="628">
        <v>1</v>
      </c>
      <c r="Q48" s="628">
        <v>1</v>
      </c>
      <c r="R48" s="628">
        <v>1</v>
      </c>
      <c r="S48" s="628">
        <v>1</v>
      </c>
      <c r="T48" s="628">
        <v>1</v>
      </c>
      <c r="U48" s="628">
        <v>1</v>
      </c>
      <c r="V48" s="628">
        <v>1</v>
      </c>
      <c r="W48" s="628">
        <v>1</v>
      </c>
      <c r="X48" s="628">
        <v>1</v>
      </c>
      <c r="Y48" s="628">
        <v>1</v>
      </c>
      <c r="Z48" s="628">
        <v>1</v>
      </c>
      <c r="AA48" s="628">
        <v>1</v>
      </c>
      <c r="AB48" s="628">
        <v>1</v>
      </c>
      <c r="AC48" s="628">
        <v>1</v>
      </c>
    </row>
    <row r="49" spans="1:29">
      <c r="A49" s="208"/>
      <c r="B49" s="15"/>
      <c r="C49" s="231" t="s">
        <v>428</v>
      </c>
      <c r="D49" s="579"/>
      <c r="E49" s="328"/>
      <c r="F49" t="s">
        <v>429</v>
      </c>
      <c r="G49" s="334"/>
      <c r="I49" s="334">
        <f>+I48*I22</f>
        <v>0</v>
      </c>
      <c r="J49" s="334">
        <f t="shared" ref="J49:Z49" si="22">+J48*J22</f>
        <v>0</v>
      </c>
      <c r="K49" s="334">
        <f t="shared" si="22"/>
        <v>0</v>
      </c>
      <c r="L49" s="334">
        <f t="shared" si="22"/>
        <v>0</v>
      </c>
      <c r="M49" s="334">
        <f t="shared" si="22"/>
        <v>0</v>
      </c>
      <c r="N49" s="334">
        <f t="shared" si="22"/>
        <v>0</v>
      </c>
      <c r="O49" s="334">
        <f t="shared" si="22"/>
        <v>0</v>
      </c>
      <c r="P49" s="334">
        <f t="shared" si="22"/>
        <v>0</v>
      </c>
      <c r="Q49" s="334">
        <f t="shared" si="22"/>
        <v>0</v>
      </c>
      <c r="R49" s="334">
        <f t="shared" si="22"/>
        <v>0</v>
      </c>
      <c r="S49" s="334">
        <f t="shared" si="22"/>
        <v>0</v>
      </c>
      <c r="T49" s="334">
        <f t="shared" si="22"/>
        <v>0</v>
      </c>
      <c r="U49" s="334">
        <f t="shared" si="22"/>
        <v>0</v>
      </c>
      <c r="V49" s="334">
        <f t="shared" si="22"/>
        <v>0</v>
      </c>
      <c r="W49" s="334">
        <f t="shared" si="22"/>
        <v>0</v>
      </c>
      <c r="X49" s="334">
        <f t="shared" si="22"/>
        <v>0</v>
      </c>
      <c r="Y49" s="334">
        <f t="shared" si="22"/>
        <v>0</v>
      </c>
      <c r="Z49" s="334">
        <f t="shared" si="22"/>
        <v>0</v>
      </c>
      <c r="AA49" s="334">
        <f>+AA48*AA22</f>
        <v>0</v>
      </c>
      <c r="AB49" s="334">
        <f>+AB48*AB22</f>
        <v>0</v>
      </c>
      <c r="AC49" s="334">
        <f>+AC48*AC22</f>
        <v>0</v>
      </c>
    </row>
    <row r="50" spans="1:29">
      <c r="A50" s="208"/>
      <c r="C50" s="231" t="s">
        <v>430</v>
      </c>
      <c r="D50" s="579">
        <v>1</v>
      </c>
      <c r="E50" s="328"/>
      <c r="F50" s="334" t="str">
        <f>+C23</f>
        <v>Asset 2</v>
      </c>
      <c r="G50" s="334"/>
      <c r="I50" s="628">
        <v>1</v>
      </c>
      <c r="J50" s="628">
        <v>1</v>
      </c>
      <c r="K50" s="628">
        <v>1</v>
      </c>
      <c r="L50" s="628">
        <v>1</v>
      </c>
      <c r="M50" s="628">
        <v>1</v>
      </c>
      <c r="N50" s="628">
        <v>1</v>
      </c>
      <c r="O50" s="628">
        <v>1</v>
      </c>
      <c r="P50" s="628">
        <v>1</v>
      </c>
      <c r="Q50" s="628">
        <v>1</v>
      </c>
      <c r="R50" s="628">
        <v>1</v>
      </c>
      <c r="S50" s="628">
        <v>1</v>
      </c>
      <c r="T50" s="628">
        <v>1</v>
      </c>
      <c r="U50" s="628">
        <v>1</v>
      </c>
      <c r="V50" s="628">
        <v>1</v>
      </c>
      <c r="W50" s="628">
        <v>1</v>
      </c>
      <c r="X50" s="628">
        <v>1</v>
      </c>
      <c r="Y50" s="628">
        <v>1</v>
      </c>
      <c r="Z50" s="628">
        <v>1</v>
      </c>
      <c r="AA50" s="628">
        <v>1</v>
      </c>
      <c r="AB50" s="628">
        <v>1</v>
      </c>
      <c r="AC50" s="628">
        <v>1</v>
      </c>
    </row>
    <row r="51" spans="1:29">
      <c r="A51" s="208"/>
      <c r="C51" s="231" t="s">
        <v>431</v>
      </c>
      <c r="D51" s="579"/>
      <c r="E51" s="328"/>
      <c r="F51" t="s">
        <v>429</v>
      </c>
      <c r="G51" s="334"/>
      <c r="I51" s="334">
        <f>+I50*I23</f>
        <v>0</v>
      </c>
      <c r="J51" s="334">
        <f t="shared" ref="J51:Z51" si="23">+J50*J23</f>
        <v>0</v>
      </c>
      <c r="K51" s="334">
        <f t="shared" si="23"/>
        <v>0</v>
      </c>
      <c r="L51" s="334">
        <f t="shared" si="23"/>
        <v>0</v>
      </c>
      <c r="M51" s="334">
        <f t="shared" si="23"/>
        <v>0</v>
      </c>
      <c r="N51" s="334">
        <f t="shared" si="23"/>
        <v>0</v>
      </c>
      <c r="O51" s="334">
        <f t="shared" si="23"/>
        <v>0</v>
      </c>
      <c r="P51" s="334">
        <f t="shared" si="23"/>
        <v>0</v>
      </c>
      <c r="Q51" s="334">
        <f t="shared" si="23"/>
        <v>0</v>
      </c>
      <c r="R51" s="334">
        <f t="shared" si="23"/>
        <v>0</v>
      </c>
      <c r="S51" s="334">
        <f t="shared" si="23"/>
        <v>0</v>
      </c>
      <c r="T51" s="334">
        <f t="shared" si="23"/>
        <v>0</v>
      </c>
      <c r="U51" s="334">
        <f t="shared" si="23"/>
        <v>0</v>
      </c>
      <c r="V51" s="334">
        <f t="shared" si="23"/>
        <v>0</v>
      </c>
      <c r="W51" s="334">
        <f t="shared" si="23"/>
        <v>0</v>
      </c>
      <c r="X51" s="334">
        <f t="shared" si="23"/>
        <v>0</v>
      </c>
      <c r="Y51" s="334">
        <f t="shared" si="23"/>
        <v>0</v>
      </c>
      <c r="Z51" s="334">
        <f t="shared" si="23"/>
        <v>0</v>
      </c>
      <c r="AA51" s="334">
        <f>+AA50*AA23</f>
        <v>0</v>
      </c>
      <c r="AB51" s="334">
        <f>+AB50*AB23</f>
        <v>0</v>
      </c>
      <c r="AC51" s="334">
        <f>+AC50*AC23</f>
        <v>0</v>
      </c>
    </row>
    <row r="52" spans="1:29">
      <c r="A52" s="208"/>
      <c r="C52" s="231"/>
      <c r="D52" s="328"/>
      <c r="E52" s="328"/>
      <c r="F52" s="334" t="str">
        <f>+C24</f>
        <v>Asset 3</v>
      </c>
      <c r="G52" s="334"/>
      <c r="I52" s="628">
        <v>1</v>
      </c>
      <c r="J52" s="628">
        <v>1</v>
      </c>
      <c r="K52" s="628">
        <v>1</v>
      </c>
      <c r="L52" s="628">
        <v>1</v>
      </c>
      <c r="M52" s="628">
        <v>1</v>
      </c>
      <c r="N52" s="628">
        <v>1</v>
      </c>
      <c r="O52" s="628">
        <v>1</v>
      </c>
      <c r="P52" s="628">
        <v>1</v>
      </c>
      <c r="Q52" s="628">
        <v>1</v>
      </c>
      <c r="R52" s="628">
        <v>1</v>
      </c>
      <c r="S52" s="628">
        <v>1</v>
      </c>
      <c r="T52" s="628">
        <v>1</v>
      </c>
      <c r="U52" s="628">
        <v>1</v>
      </c>
      <c r="V52" s="628">
        <v>1</v>
      </c>
      <c r="W52" s="628">
        <v>1</v>
      </c>
      <c r="X52" s="628">
        <v>1</v>
      </c>
      <c r="Y52" s="628">
        <v>1</v>
      </c>
      <c r="Z52" s="628">
        <v>1</v>
      </c>
      <c r="AA52" s="628">
        <v>1</v>
      </c>
      <c r="AB52" s="628">
        <v>1</v>
      </c>
      <c r="AC52" s="628">
        <v>1</v>
      </c>
    </row>
    <row r="53" spans="1:29">
      <c r="A53" s="208"/>
      <c r="C53" s="231"/>
      <c r="D53" s="328"/>
      <c r="E53" s="328"/>
      <c r="F53" t="s">
        <v>429</v>
      </c>
      <c r="G53" s="334"/>
      <c r="I53" s="622">
        <f>+I24*I52</f>
        <v>0</v>
      </c>
      <c r="J53" s="622">
        <f t="shared" ref="J53:Z53" si="24">+J24*J52</f>
        <v>0</v>
      </c>
      <c r="K53" s="622">
        <f t="shared" si="24"/>
        <v>0</v>
      </c>
      <c r="L53" s="622">
        <f t="shared" si="24"/>
        <v>0</v>
      </c>
      <c r="M53" s="622">
        <f t="shared" si="24"/>
        <v>0</v>
      </c>
      <c r="N53" s="622">
        <f t="shared" si="24"/>
        <v>0</v>
      </c>
      <c r="O53" s="622">
        <f t="shared" si="24"/>
        <v>0</v>
      </c>
      <c r="P53" s="622">
        <f t="shared" si="24"/>
        <v>0</v>
      </c>
      <c r="Q53" s="622">
        <f t="shared" si="24"/>
        <v>0</v>
      </c>
      <c r="R53" s="622">
        <f t="shared" si="24"/>
        <v>0</v>
      </c>
      <c r="S53" s="622">
        <f t="shared" si="24"/>
        <v>0</v>
      </c>
      <c r="T53" s="622">
        <f t="shared" si="24"/>
        <v>0</v>
      </c>
      <c r="U53" s="622">
        <f t="shared" si="24"/>
        <v>0</v>
      </c>
      <c r="V53" s="622">
        <f t="shared" si="24"/>
        <v>0</v>
      </c>
      <c r="W53" s="622">
        <f t="shared" si="24"/>
        <v>0</v>
      </c>
      <c r="X53" s="622">
        <f t="shared" si="24"/>
        <v>0</v>
      </c>
      <c r="Y53" s="622">
        <f t="shared" si="24"/>
        <v>0</v>
      </c>
      <c r="Z53" s="622">
        <f t="shared" si="24"/>
        <v>0</v>
      </c>
      <c r="AA53" s="622">
        <f>+AA24*AA52</f>
        <v>0</v>
      </c>
      <c r="AB53" s="622">
        <f>+AB24*AB52</f>
        <v>0</v>
      </c>
      <c r="AC53" s="622">
        <f>+AC24*AC52</f>
        <v>0</v>
      </c>
    </row>
    <row r="54" spans="1:29">
      <c r="A54" s="208"/>
      <c r="C54" s="328"/>
      <c r="D54" s="328"/>
      <c r="E54" s="328"/>
      <c r="F54" s="334" t="str">
        <f>+C25</f>
        <v>Asset 4</v>
      </c>
      <c r="G54" s="334"/>
      <c r="I54" s="628">
        <v>1</v>
      </c>
      <c r="J54" s="628">
        <v>1</v>
      </c>
      <c r="K54" s="628">
        <v>1</v>
      </c>
      <c r="L54" s="628">
        <v>1</v>
      </c>
      <c r="M54" s="628">
        <v>1</v>
      </c>
      <c r="N54" s="628">
        <v>1</v>
      </c>
      <c r="O54" s="628">
        <v>1</v>
      </c>
      <c r="P54" s="628">
        <v>1</v>
      </c>
      <c r="Q54" s="628">
        <v>1</v>
      </c>
      <c r="R54" s="628">
        <v>1</v>
      </c>
      <c r="S54" s="628">
        <v>1</v>
      </c>
      <c r="T54" s="628">
        <v>1</v>
      </c>
      <c r="U54" s="628">
        <v>1</v>
      </c>
      <c r="V54" s="628">
        <v>1</v>
      </c>
      <c r="W54" s="628">
        <v>1</v>
      </c>
      <c r="X54" s="628">
        <v>1</v>
      </c>
      <c r="Y54" s="628">
        <v>1</v>
      </c>
      <c r="Z54" s="628">
        <v>1</v>
      </c>
      <c r="AA54" s="628">
        <v>1</v>
      </c>
      <c r="AB54" s="628">
        <v>1</v>
      </c>
      <c r="AC54" s="628">
        <v>1</v>
      </c>
    </row>
    <row r="55" spans="1:29">
      <c r="A55" s="208"/>
      <c r="C55" s="328"/>
      <c r="D55" s="328"/>
      <c r="E55" s="328"/>
      <c r="F55" t="s">
        <v>429</v>
      </c>
      <c r="G55" s="334"/>
      <c r="I55" s="334">
        <f>+I25*I54</f>
        <v>0</v>
      </c>
      <c r="J55" s="334">
        <f t="shared" ref="J55:Z55" si="25">+J25*J54</f>
        <v>0</v>
      </c>
      <c r="K55" s="334">
        <f t="shared" si="25"/>
        <v>0</v>
      </c>
      <c r="L55" s="334">
        <f t="shared" si="25"/>
        <v>0</v>
      </c>
      <c r="M55" s="334">
        <f t="shared" si="25"/>
        <v>0</v>
      </c>
      <c r="N55" s="334">
        <f t="shared" si="25"/>
        <v>0</v>
      </c>
      <c r="O55" s="334">
        <f t="shared" si="25"/>
        <v>0</v>
      </c>
      <c r="P55" s="334">
        <f t="shared" si="25"/>
        <v>0</v>
      </c>
      <c r="Q55" s="334">
        <f t="shared" si="25"/>
        <v>0</v>
      </c>
      <c r="R55" s="334">
        <f t="shared" si="25"/>
        <v>0</v>
      </c>
      <c r="S55" s="334">
        <f t="shared" si="25"/>
        <v>0</v>
      </c>
      <c r="T55" s="334">
        <f t="shared" si="25"/>
        <v>0</v>
      </c>
      <c r="U55" s="334">
        <f t="shared" si="25"/>
        <v>0</v>
      </c>
      <c r="V55" s="334">
        <f t="shared" si="25"/>
        <v>0</v>
      </c>
      <c r="W55" s="334">
        <f t="shared" si="25"/>
        <v>0</v>
      </c>
      <c r="X55" s="334">
        <f t="shared" si="25"/>
        <v>0</v>
      </c>
      <c r="Y55" s="334">
        <f t="shared" si="25"/>
        <v>0</v>
      </c>
      <c r="Z55" s="334">
        <f t="shared" si="25"/>
        <v>0</v>
      </c>
      <c r="AA55" s="334">
        <f>+AA25*AA54</f>
        <v>0</v>
      </c>
      <c r="AB55" s="334">
        <f>+AB25*AB54</f>
        <v>0</v>
      </c>
      <c r="AC55" s="334">
        <f>+AC25*AC54</f>
        <v>0</v>
      </c>
    </row>
    <row r="56" spans="1:29">
      <c r="A56" s="208"/>
      <c r="C56" s="328"/>
      <c r="D56" s="328"/>
      <c r="E56" s="328"/>
      <c r="F56" s="334" t="str">
        <f>+C26</f>
        <v>Asset 5</v>
      </c>
      <c r="G56" s="334"/>
      <c r="I56" s="628">
        <v>1</v>
      </c>
      <c r="J56" s="628">
        <v>1</v>
      </c>
      <c r="K56" s="628">
        <v>1</v>
      </c>
      <c r="L56" s="628">
        <v>1</v>
      </c>
      <c r="M56" s="628">
        <v>1</v>
      </c>
      <c r="N56" s="628">
        <v>1</v>
      </c>
      <c r="O56" s="628">
        <v>1</v>
      </c>
      <c r="P56" s="628">
        <v>1</v>
      </c>
      <c r="Q56" s="628">
        <v>1</v>
      </c>
      <c r="R56" s="628">
        <v>1</v>
      </c>
      <c r="S56" s="628">
        <v>1</v>
      </c>
      <c r="T56" s="628">
        <v>1</v>
      </c>
      <c r="U56" s="628">
        <v>1</v>
      </c>
      <c r="V56" s="628">
        <v>1</v>
      </c>
      <c r="W56" s="628">
        <v>1</v>
      </c>
      <c r="X56" s="628">
        <v>1</v>
      </c>
      <c r="Y56" s="628">
        <v>1</v>
      </c>
      <c r="Z56" s="628">
        <v>1</v>
      </c>
      <c r="AA56" s="628">
        <v>1</v>
      </c>
      <c r="AB56" s="628">
        <v>1</v>
      </c>
      <c r="AC56" s="628">
        <v>1</v>
      </c>
    </row>
    <row r="57" spans="1:29">
      <c r="A57" s="208"/>
      <c r="C57" s="328"/>
      <c r="D57" s="328"/>
      <c r="E57" s="328"/>
      <c r="F57" t="s">
        <v>429</v>
      </c>
      <c r="G57" s="334"/>
      <c r="I57" s="334">
        <f>+I26*I56</f>
        <v>0</v>
      </c>
      <c r="J57" s="334">
        <f t="shared" ref="J57:Z57" si="26">+J26*J56</f>
        <v>0</v>
      </c>
      <c r="K57" s="334">
        <f t="shared" si="26"/>
        <v>0</v>
      </c>
      <c r="L57" s="334">
        <f t="shared" si="26"/>
        <v>0</v>
      </c>
      <c r="M57" s="334">
        <f t="shared" si="26"/>
        <v>0</v>
      </c>
      <c r="N57" s="334">
        <f t="shared" si="26"/>
        <v>0</v>
      </c>
      <c r="O57" s="334">
        <f t="shared" si="26"/>
        <v>0</v>
      </c>
      <c r="P57" s="334">
        <f t="shared" si="26"/>
        <v>0</v>
      </c>
      <c r="Q57" s="334">
        <f t="shared" si="26"/>
        <v>0</v>
      </c>
      <c r="R57" s="334">
        <f t="shared" si="26"/>
        <v>0</v>
      </c>
      <c r="S57" s="334">
        <f t="shared" si="26"/>
        <v>0</v>
      </c>
      <c r="T57" s="334">
        <f t="shared" si="26"/>
        <v>0</v>
      </c>
      <c r="U57" s="334">
        <f t="shared" si="26"/>
        <v>0</v>
      </c>
      <c r="V57" s="334">
        <f t="shared" si="26"/>
        <v>0</v>
      </c>
      <c r="W57" s="334">
        <f t="shared" si="26"/>
        <v>0</v>
      </c>
      <c r="X57" s="334">
        <f t="shared" si="26"/>
        <v>0</v>
      </c>
      <c r="Y57" s="334">
        <f t="shared" si="26"/>
        <v>0</v>
      </c>
      <c r="Z57" s="334">
        <f t="shared" si="26"/>
        <v>0</v>
      </c>
      <c r="AA57" s="334">
        <f>+AA26*AA56</f>
        <v>0</v>
      </c>
      <c r="AB57" s="334">
        <f>+AB26*AB56</f>
        <v>0</v>
      </c>
      <c r="AC57" s="334">
        <f>+AC26*AC56</f>
        <v>0</v>
      </c>
    </row>
    <row r="58" spans="1:29">
      <c r="A58" s="208"/>
      <c r="C58" s="328"/>
      <c r="D58" s="328"/>
      <c r="E58" s="328"/>
      <c r="F58" s="427" t="s">
        <v>433</v>
      </c>
      <c r="G58" s="334"/>
      <c r="I58" s="396">
        <f>+I49+I51+I53+I55+I57</f>
        <v>0</v>
      </c>
      <c r="J58" s="396">
        <f t="shared" ref="J58:Z58" si="27">+J49+J51+J53+J55+J57</f>
        <v>0</v>
      </c>
      <c r="K58" s="396">
        <f t="shared" si="27"/>
        <v>0</v>
      </c>
      <c r="L58" s="396">
        <f t="shared" si="27"/>
        <v>0</v>
      </c>
      <c r="M58" s="396">
        <f t="shared" si="27"/>
        <v>0</v>
      </c>
      <c r="N58" s="396">
        <f t="shared" si="27"/>
        <v>0</v>
      </c>
      <c r="O58" s="396">
        <f t="shared" si="27"/>
        <v>0</v>
      </c>
      <c r="P58" s="396">
        <f t="shared" si="27"/>
        <v>0</v>
      </c>
      <c r="Q58" s="396">
        <f t="shared" si="27"/>
        <v>0</v>
      </c>
      <c r="R58" s="396">
        <f t="shared" si="27"/>
        <v>0</v>
      </c>
      <c r="S58" s="396">
        <f t="shared" si="27"/>
        <v>0</v>
      </c>
      <c r="T58" s="396">
        <f t="shared" si="27"/>
        <v>0</v>
      </c>
      <c r="U58" s="396">
        <f t="shared" si="27"/>
        <v>0</v>
      </c>
      <c r="V58" s="396">
        <f t="shared" si="27"/>
        <v>0</v>
      </c>
      <c r="W58" s="396">
        <f t="shared" si="27"/>
        <v>0</v>
      </c>
      <c r="X58" s="396">
        <f t="shared" si="27"/>
        <v>0</v>
      </c>
      <c r="Y58" s="396">
        <f t="shared" si="27"/>
        <v>0</v>
      </c>
      <c r="Z58" s="396">
        <f t="shared" si="27"/>
        <v>0</v>
      </c>
      <c r="AA58" s="396">
        <f>+AA49+AA51+AA53+AA55+AA57</f>
        <v>0</v>
      </c>
      <c r="AB58" s="396">
        <f>+AB49+AB51+AB53+AB55+AB57</f>
        <v>0</v>
      </c>
      <c r="AC58" s="396">
        <f>+AC49+AC51+AC53+AC55+AC57</f>
        <v>0</v>
      </c>
    </row>
    <row r="59" spans="1:29">
      <c r="A59" s="337" t="s">
        <v>415</v>
      </c>
      <c r="C59" s="328"/>
      <c r="D59" s="328"/>
      <c r="E59" s="328"/>
      <c r="F59" s="334"/>
      <c r="G59" s="334"/>
      <c r="I59" s="334"/>
      <c r="J59" s="334"/>
      <c r="K59" s="334"/>
      <c r="L59" s="334"/>
      <c r="M59" s="334"/>
      <c r="N59" s="334"/>
      <c r="O59" s="334"/>
      <c r="P59" s="334"/>
      <c r="Q59" s="334"/>
      <c r="R59" s="334"/>
      <c r="S59" s="334"/>
      <c r="T59" s="334"/>
      <c r="U59" s="334"/>
      <c r="V59" s="334"/>
      <c r="W59" s="334"/>
      <c r="X59" s="334"/>
      <c r="Y59" s="334"/>
      <c r="Z59" s="334"/>
      <c r="AA59" s="334"/>
      <c r="AB59" s="334"/>
      <c r="AC59" s="334"/>
    </row>
    <row r="60" spans="1:29">
      <c r="C60" s="318" t="s">
        <v>164</v>
      </c>
      <c r="D60" s="578" t="s">
        <v>426</v>
      </c>
      <c r="E60" s="328"/>
      <c r="F60" s="334" t="str">
        <f>+C30</f>
        <v>Funding 1</v>
      </c>
      <c r="G60" s="334"/>
      <c r="I60" s="628">
        <v>1</v>
      </c>
      <c r="J60" s="628">
        <v>1</v>
      </c>
      <c r="K60" s="628">
        <v>1</v>
      </c>
      <c r="L60" s="628">
        <v>1</v>
      </c>
      <c r="M60" s="628">
        <v>1</v>
      </c>
      <c r="N60" s="628">
        <v>1</v>
      </c>
      <c r="O60" s="628">
        <v>1</v>
      </c>
      <c r="P60" s="628">
        <v>1</v>
      </c>
      <c r="Q60" s="628">
        <v>1</v>
      </c>
      <c r="R60" s="628">
        <v>1</v>
      </c>
      <c r="S60" s="628">
        <v>1</v>
      </c>
      <c r="T60" s="628">
        <v>1</v>
      </c>
      <c r="U60" s="628">
        <v>1</v>
      </c>
      <c r="V60" s="628">
        <v>1</v>
      </c>
      <c r="W60" s="628">
        <v>1</v>
      </c>
      <c r="X60" s="628">
        <v>1</v>
      </c>
      <c r="Y60" s="628">
        <v>1</v>
      </c>
      <c r="Z60" s="628">
        <v>1</v>
      </c>
      <c r="AA60" s="628">
        <v>1</v>
      </c>
      <c r="AB60" s="628">
        <v>1</v>
      </c>
      <c r="AC60" s="628">
        <v>1</v>
      </c>
    </row>
    <row r="61" spans="1:29">
      <c r="C61" s="231" t="s">
        <v>428</v>
      </c>
      <c r="D61" s="579"/>
      <c r="E61" s="328"/>
      <c r="F61" t="s">
        <v>429</v>
      </c>
      <c r="G61" s="334"/>
      <c r="I61" s="334">
        <f>+I60*I30</f>
        <v>0</v>
      </c>
      <c r="J61" s="334">
        <f t="shared" ref="J61:Z61" si="28">+J60*J30</f>
        <v>0</v>
      </c>
      <c r="K61" s="334">
        <f t="shared" si="28"/>
        <v>0</v>
      </c>
      <c r="L61" s="334">
        <f t="shared" si="28"/>
        <v>0</v>
      </c>
      <c r="M61" s="334">
        <f t="shared" si="28"/>
        <v>0</v>
      </c>
      <c r="N61" s="334">
        <f t="shared" si="28"/>
        <v>0</v>
      </c>
      <c r="O61" s="334">
        <f t="shared" si="28"/>
        <v>0</v>
      </c>
      <c r="P61" s="334">
        <f t="shared" si="28"/>
        <v>0</v>
      </c>
      <c r="Q61" s="334">
        <f t="shared" si="28"/>
        <v>0</v>
      </c>
      <c r="R61" s="334">
        <f t="shared" si="28"/>
        <v>0</v>
      </c>
      <c r="S61" s="334">
        <f t="shared" si="28"/>
        <v>0</v>
      </c>
      <c r="T61" s="334">
        <f t="shared" si="28"/>
        <v>0</v>
      </c>
      <c r="U61" s="334">
        <f t="shared" si="28"/>
        <v>0</v>
      </c>
      <c r="V61" s="334">
        <f t="shared" si="28"/>
        <v>0</v>
      </c>
      <c r="W61" s="334">
        <f t="shared" si="28"/>
        <v>0</v>
      </c>
      <c r="X61" s="334">
        <f t="shared" si="28"/>
        <v>0</v>
      </c>
      <c r="Y61" s="334">
        <f t="shared" si="28"/>
        <v>0</v>
      </c>
      <c r="Z61" s="334">
        <f t="shared" si="28"/>
        <v>0</v>
      </c>
      <c r="AA61" s="334">
        <f>+AA60*AA30</f>
        <v>0</v>
      </c>
      <c r="AB61" s="334">
        <f>+AB60*AB30</f>
        <v>0</v>
      </c>
      <c r="AC61" s="334">
        <f>+AC60*AC30</f>
        <v>0</v>
      </c>
    </row>
    <row r="62" spans="1:29">
      <c r="C62" s="231" t="s">
        <v>430</v>
      </c>
      <c r="D62" s="579">
        <v>1</v>
      </c>
      <c r="E62" s="328"/>
      <c r="F62" s="334" t="str">
        <f>+C31</f>
        <v>Funding 2</v>
      </c>
      <c r="G62" s="334"/>
      <c r="I62" s="628">
        <v>1</v>
      </c>
      <c r="J62" s="628">
        <v>1</v>
      </c>
      <c r="K62" s="628">
        <v>1</v>
      </c>
      <c r="L62" s="628">
        <v>1</v>
      </c>
      <c r="M62" s="628">
        <v>1</v>
      </c>
      <c r="N62" s="628">
        <v>1</v>
      </c>
      <c r="O62" s="628">
        <v>1</v>
      </c>
      <c r="P62" s="628">
        <v>1</v>
      </c>
      <c r="Q62" s="628">
        <v>1</v>
      </c>
      <c r="R62" s="628">
        <v>1</v>
      </c>
      <c r="S62" s="628">
        <v>1</v>
      </c>
      <c r="T62" s="628">
        <v>1</v>
      </c>
      <c r="U62" s="628">
        <v>1</v>
      </c>
      <c r="V62" s="628">
        <v>1</v>
      </c>
      <c r="W62" s="628">
        <v>1</v>
      </c>
      <c r="X62" s="628">
        <v>1</v>
      </c>
      <c r="Y62" s="628">
        <v>1</v>
      </c>
      <c r="Z62" s="628">
        <v>1</v>
      </c>
      <c r="AA62" s="628">
        <v>1</v>
      </c>
      <c r="AB62" s="628">
        <v>1</v>
      </c>
      <c r="AC62" s="628">
        <v>1</v>
      </c>
    </row>
    <row r="63" spans="1:29">
      <c r="B63" s="421"/>
      <c r="C63" s="231" t="s">
        <v>431</v>
      </c>
      <c r="D63" s="579"/>
      <c r="E63" s="328"/>
      <c r="F63" t="s">
        <v>429</v>
      </c>
      <c r="G63" s="334"/>
      <c r="I63" s="334">
        <f>+I62*I31</f>
        <v>0</v>
      </c>
      <c r="J63" s="334">
        <f t="shared" ref="J63:Z63" si="29">+J62*J31</f>
        <v>0</v>
      </c>
      <c r="K63" s="334">
        <f t="shared" si="29"/>
        <v>0</v>
      </c>
      <c r="L63" s="334">
        <f t="shared" si="29"/>
        <v>0</v>
      </c>
      <c r="M63" s="334">
        <f t="shared" si="29"/>
        <v>0</v>
      </c>
      <c r="N63" s="334">
        <f t="shared" si="29"/>
        <v>0</v>
      </c>
      <c r="O63" s="334">
        <f t="shared" si="29"/>
        <v>0</v>
      </c>
      <c r="P63" s="334">
        <f t="shared" si="29"/>
        <v>0</v>
      </c>
      <c r="Q63" s="334">
        <f t="shared" si="29"/>
        <v>0</v>
      </c>
      <c r="R63" s="334">
        <f t="shared" si="29"/>
        <v>0</v>
      </c>
      <c r="S63" s="334">
        <f t="shared" si="29"/>
        <v>0</v>
      </c>
      <c r="T63" s="334">
        <f t="shared" si="29"/>
        <v>0</v>
      </c>
      <c r="U63" s="334">
        <f t="shared" si="29"/>
        <v>0</v>
      </c>
      <c r="V63" s="334">
        <f t="shared" si="29"/>
        <v>0</v>
      </c>
      <c r="W63" s="334">
        <f t="shared" si="29"/>
        <v>0</v>
      </c>
      <c r="X63" s="334">
        <f t="shared" si="29"/>
        <v>0</v>
      </c>
      <c r="Y63" s="334">
        <f t="shared" si="29"/>
        <v>0</v>
      </c>
      <c r="Z63" s="334">
        <f t="shared" si="29"/>
        <v>0</v>
      </c>
      <c r="AA63" s="334">
        <f>+AA62*AA31</f>
        <v>0</v>
      </c>
      <c r="AB63" s="334">
        <f>+AB62*AB31</f>
        <v>0</v>
      </c>
      <c r="AC63" s="334">
        <f>+AC62*AC31</f>
        <v>0</v>
      </c>
    </row>
    <row r="64" spans="1:29">
      <c r="B64" s="421"/>
      <c r="C64" s="231"/>
      <c r="D64" s="622"/>
      <c r="E64" s="328"/>
      <c r="F64" s="427" t="s">
        <v>434</v>
      </c>
      <c r="G64" s="334"/>
      <c r="I64" s="396">
        <f>+I63+I61</f>
        <v>0</v>
      </c>
      <c r="J64" s="396">
        <f t="shared" ref="J64:Z64" si="30">+J63+J61</f>
        <v>0</v>
      </c>
      <c r="K64" s="396">
        <f t="shared" si="30"/>
        <v>0</v>
      </c>
      <c r="L64" s="396">
        <f t="shared" si="30"/>
        <v>0</v>
      </c>
      <c r="M64" s="396">
        <f t="shared" si="30"/>
        <v>0</v>
      </c>
      <c r="N64" s="396">
        <f t="shared" si="30"/>
        <v>0</v>
      </c>
      <c r="O64" s="396">
        <f t="shared" si="30"/>
        <v>0</v>
      </c>
      <c r="P64" s="396">
        <f t="shared" si="30"/>
        <v>0</v>
      </c>
      <c r="Q64" s="396">
        <f t="shared" si="30"/>
        <v>0</v>
      </c>
      <c r="R64" s="396">
        <f t="shared" si="30"/>
        <v>0</v>
      </c>
      <c r="S64" s="396">
        <f t="shared" si="30"/>
        <v>0</v>
      </c>
      <c r="T64" s="396">
        <f t="shared" si="30"/>
        <v>0</v>
      </c>
      <c r="U64" s="396">
        <f t="shared" si="30"/>
        <v>0</v>
      </c>
      <c r="V64" s="396">
        <f t="shared" si="30"/>
        <v>0</v>
      </c>
      <c r="W64" s="396">
        <f t="shared" si="30"/>
        <v>0</v>
      </c>
      <c r="X64" s="396">
        <f t="shared" si="30"/>
        <v>0</v>
      </c>
      <c r="Y64" s="396">
        <f t="shared" si="30"/>
        <v>0</v>
      </c>
      <c r="Z64" s="396">
        <f t="shared" si="30"/>
        <v>0</v>
      </c>
      <c r="AA64" s="396">
        <f>+AA63+AA61</f>
        <v>0</v>
      </c>
      <c r="AB64" s="396">
        <f>+AB63+AB61</f>
        <v>0</v>
      </c>
      <c r="AC64" s="396">
        <f>+AC63+AC61</f>
        <v>0</v>
      </c>
    </row>
    <row r="65" spans="1:34">
      <c r="A65" s="337" t="s">
        <v>420</v>
      </c>
      <c r="B65" s="421"/>
      <c r="C65" s="231"/>
      <c r="D65" s="622"/>
      <c r="E65" s="328"/>
      <c r="F65" s="334"/>
      <c r="G65" s="334"/>
      <c r="I65" s="334"/>
      <c r="J65" s="334"/>
      <c r="K65" s="334"/>
      <c r="L65" s="334"/>
      <c r="M65" s="334"/>
      <c r="N65" s="334"/>
      <c r="O65" s="334"/>
      <c r="P65" s="334"/>
      <c r="Q65" s="334"/>
      <c r="R65" s="334"/>
      <c r="S65" s="334"/>
      <c r="T65" s="334"/>
      <c r="U65" s="334"/>
      <c r="V65" s="334"/>
      <c r="W65" s="334"/>
      <c r="X65" s="334"/>
      <c r="Y65" s="334"/>
      <c r="Z65" s="334"/>
      <c r="AA65" s="334"/>
      <c r="AB65" s="334"/>
      <c r="AC65" s="334"/>
    </row>
    <row r="66" spans="1:34">
      <c r="B66" s="421"/>
      <c r="C66" s="318" t="s">
        <v>164</v>
      </c>
      <c r="D66" s="578" t="s">
        <v>426</v>
      </c>
      <c r="E66" s="328"/>
      <c r="F66" s="334"/>
      <c r="G66" s="334"/>
      <c r="I66" s="628">
        <v>1</v>
      </c>
      <c r="J66" s="628">
        <v>1</v>
      </c>
      <c r="K66" s="628">
        <v>1</v>
      </c>
      <c r="L66" s="628">
        <v>1</v>
      </c>
      <c r="M66" s="628">
        <v>1</v>
      </c>
      <c r="N66" s="628">
        <v>1</v>
      </c>
      <c r="O66" s="628">
        <v>1</v>
      </c>
      <c r="P66" s="628">
        <v>1</v>
      </c>
      <c r="Q66" s="628">
        <v>1</v>
      </c>
      <c r="R66" s="628">
        <v>1</v>
      </c>
      <c r="S66" s="628">
        <v>1</v>
      </c>
      <c r="T66" s="628">
        <v>1</v>
      </c>
      <c r="U66" s="628">
        <v>1</v>
      </c>
      <c r="V66" s="628">
        <v>1</v>
      </c>
      <c r="W66" s="628">
        <v>1</v>
      </c>
      <c r="X66" s="628">
        <v>1</v>
      </c>
      <c r="Y66" s="628">
        <v>1</v>
      </c>
      <c r="Z66" s="628">
        <v>1</v>
      </c>
      <c r="AA66" s="628">
        <v>1</v>
      </c>
      <c r="AB66" s="628">
        <v>1</v>
      </c>
      <c r="AC66" s="628">
        <v>1</v>
      </c>
    </row>
    <row r="67" spans="1:34">
      <c r="B67" s="421"/>
      <c r="C67" s="231" t="s">
        <v>428</v>
      </c>
      <c r="D67" s="579"/>
      <c r="E67" s="328"/>
      <c r="F67" t="s">
        <v>429</v>
      </c>
      <c r="G67" s="334"/>
      <c r="I67" s="334">
        <f>+I66*I34</f>
        <v>0</v>
      </c>
      <c r="J67" s="334">
        <f t="shared" ref="J67:Z67" si="31">+J66*J34</f>
        <v>0</v>
      </c>
      <c r="K67" s="334">
        <f t="shared" si="31"/>
        <v>0</v>
      </c>
      <c r="L67" s="334">
        <f t="shared" si="31"/>
        <v>0</v>
      </c>
      <c r="M67" s="334">
        <f t="shared" si="31"/>
        <v>0</v>
      </c>
      <c r="N67" s="334">
        <f t="shared" si="31"/>
        <v>0</v>
      </c>
      <c r="O67" s="334">
        <f t="shared" si="31"/>
        <v>0</v>
      </c>
      <c r="P67" s="334">
        <f t="shared" si="31"/>
        <v>0</v>
      </c>
      <c r="Q67" s="334">
        <f t="shared" si="31"/>
        <v>0</v>
      </c>
      <c r="R67" s="334">
        <f t="shared" si="31"/>
        <v>0</v>
      </c>
      <c r="S67" s="334">
        <f t="shared" si="31"/>
        <v>0</v>
      </c>
      <c r="T67" s="334">
        <f t="shared" si="31"/>
        <v>0</v>
      </c>
      <c r="U67" s="334">
        <f t="shared" si="31"/>
        <v>0</v>
      </c>
      <c r="V67" s="334">
        <f t="shared" si="31"/>
        <v>0</v>
      </c>
      <c r="W67" s="334">
        <f t="shared" si="31"/>
        <v>0</v>
      </c>
      <c r="X67" s="334">
        <f t="shared" si="31"/>
        <v>0</v>
      </c>
      <c r="Y67" s="334">
        <f t="shared" si="31"/>
        <v>0</v>
      </c>
      <c r="Z67" s="334">
        <f t="shared" si="31"/>
        <v>0</v>
      </c>
      <c r="AA67" s="334">
        <f>+AA66*AA34</f>
        <v>0</v>
      </c>
      <c r="AB67" s="334">
        <f>+AB66*AB34</f>
        <v>0</v>
      </c>
      <c r="AC67" s="334">
        <f>+AC66*AC34</f>
        <v>0</v>
      </c>
    </row>
    <row r="68" spans="1:34">
      <c r="B68" s="421"/>
      <c r="C68" s="231" t="s">
        <v>430</v>
      </c>
      <c r="D68" s="579">
        <v>1</v>
      </c>
      <c r="E68" s="328"/>
      <c r="F68" s="334"/>
      <c r="G68" s="334"/>
      <c r="I68" s="334"/>
      <c r="J68" s="334"/>
      <c r="K68" s="334"/>
      <c r="L68" s="334"/>
      <c r="M68" s="334"/>
      <c r="N68" s="334"/>
      <c r="O68" s="334"/>
      <c r="P68" s="334"/>
      <c r="Q68" s="334"/>
      <c r="R68" s="334"/>
      <c r="S68" s="334"/>
      <c r="T68" s="334"/>
      <c r="U68" s="334"/>
      <c r="V68" s="334"/>
      <c r="W68" s="334"/>
      <c r="X68" s="334"/>
      <c r="Y68" s="334"/>
      <c r="Z68" s="334"/>
      <c r="AA68" s="334"/>
      <c r="AB68" s="334"/>
      <c r="AC68" s="334"/>
    </row>
    <row r="69" spans="1:34">
      <c r="A69" s="422"/>
      <c r="B69" s="421"/>
      <c r="C69" s="231" t="s">
        <v>431</v>
      </c>
      <c r="D69" s="579"/>
      <c r="E69" s="328"/>
      <c r="F69" s="334"/>
      <c r="G69" s="334"/>
      <c r="I69" s="334"/>
      <c r="J69" s="334"/>
      <c r="K69" s="334"/>
      <c r="L69" s="334"/>
      <c r="M69" s="334"/>
      <c r="N69" s="334"/>
      <c r="O69" s="334"/>
      <c r="P69" s="334"/>
      <c r="Q69" s="334"/>
      <c r="R69" s="334"/>
      <c r="S69" s="334"/>
      <c r="T69" s="334"/>
      <c r="U69" s="334"/>
      <c r="V69" s="334"/>
      <c r="W69" s="334"/>
      <c r="X69" s="334"/>
      <c r="Y69" s="334"/>
      <c r="Z69" s="334"/>
      <c r="AA69" s="334"/>
      <c r="AB69" s="334"/>
      <c r="AC69" s="334"/>
    </row>
    <row r="70" spans="1:34">
      <c r="A70" s="422"/>
      <c r="B70" s="421"/>
      <c r="C70" s="231"/>
      <c r="D70" s="622"/>
      <c r="E70" s="334"/>
      <c r="F70" s="334"/>
      <c r="G70" s="334"/>
      <c r="I70" s="334"/>
      <c r="J70" s="334"/>
      <c r="K70" s="334"/>
      <c r="L70" s="334"/>
      <c r="M70" s="334"/>
      <c r="N70" s="334"/>
      <c r="O70" s="334"/>
      <c r="P70" s="334"/>
      <c r="Q70" s="334"/>
      <c r="R70" s="334"/>
      <c r="S70" s="334"/>
      <c r="T70" s="334"/>
      <c r="U70" s="334"/>
      <c r="V70" s="334"/>
      <c r="W70" s="334"/>
      <c r="X70" s="334"/>
      <c r="Y70" s="334"/>
      <c r="Z70" s="334"/>
      <c r="AA70" s="334"/>
      <c r="AB70" s="334"/>
      <c r="AC70" s="334"/>
    </row>
    <row r="71" spans="1:34">
      <c r="A71" s="438" t="s">
        <v>421</v>
      </c>
      <c r="B71" s="421"/>
      <c r="C71" s="208"/>
      <c r="D71" s="334"/>
      <c r="E71" s="334"/>
      <c r="F71" s="334"/>
      <c r="G71" s="334"/>
      <c r="H71" s="334"/>
      <c r="I71" s="396">
        <f>+I46+I58+I64+I67</f>
        <v>0</v>
      </c>
      <c r="J71" s="396">
        <f t="shared" ref="J71:Z71" si="32">+J46+J58+J64+J67</f>
        <v>0</v>
      </c>
      <c r="K71" s="396">
        <f t="shared" si="32"/>
        <v>0</v>
      </c>
      <c r="L71" s="396">
        <f t="shared" si="32"/>
        <v>0</v>
      </c>
      <c r="M71" s="396">
        <f t="shared" si="32"/>
        <v>0</v>
      </c>
      <c r="N71" s="396">
        <f t="shared" si="32"/>
        <v>0</v>
      </c>
      <c r="O71" s="396">
        <f t="shared" si="32"/>
        <v>25.811</v>
      </c>
      <c r="P71" s="396">
        <f t="shared" si="32"/>
        <v>5.5119999999999996</v>
      </c>
      <c r="Q71" s="396">
        <f t="shared" si="32"/>
        <v>16.2</v>
      </c>
      <c r="R71" s="396">
        <f t="shared" si="32"/>
        <v>0</v>
      </c>
      <c r="S71" s="396">
        <f t="shared" si="32"/>
        <v>0</v>
      </c>
      <c r="T71" s="396">
        <f t="shared" si="32"/>
        <v>0</v>
      </c>
      <c r="U71" s="396">
        <f t="shared" si="32"/>
        <v>0</v>
      </c>
      <c r="V71" s="396">
        <f t="shared" si="32"/>
        <v>0</v>
      </c>
      <c r="W71" s="396">
        <f t="shared" si="32"/>
        <v>0</v>
      </c>
      <c r="X71" s="396">
        <f t="shared" si="32"/>
        <v>0</v>
      </c>
      <c r="Y71" s="396">
        <f t="shared" si="32"/>
        <v>0</v>
      </c>
      <c r="Z71" s="396">
        <f t="shared" si="32"/>
        <v>0</v>
      </c>
      <c r="AA71" s="396">
        <f>+AA46+AA58+AA64+AA67</f>
        <v>0</v>
      </c>
      <c r="AB71" s="396">
        <f>+AB46+AB58+AB64+AB67</f>
        <v>0</v>
      </c>
      <c r="AC71" s="396">
        <f>+AC46+AC58+AC64+AC67</f>
        <v>0</v>
      </c>
    </row>
    <row r="72" spans="1:34" ht="12" thickBot="1"/>
    <row r="73" spans="1:34" ht="12" thickTop="1">
      <c r="A73" s="301"/>
      <c r="B73" s="301"/>
      <c r="C73" s="301"/>
      <c r="D73" s="301"/>
      <c r="E73" s="301"/>
      <c r="F73" s="301"/>
      <c r="G73" s="301"/>
      <c r="H73" s="301"/>
      <c r="I73" s="301"/>
      <c r="J73" s="301"/>
      <c r="K73" s="301"/>
      <c r="L73" s="301"/>
      <c r="M73" s="301"/>
      <c r="N73" s="301"/>
      <c r="O73" s="301"/>
      <c r="P73" s="301"/>
      <c r="Q73" s="301"/>
      <c r="R73" s="301"/>
      <c r="S73" s="301"/>
      <c r="T73" s="301"/>
      <c r="U73" s="301"/>
      <c r="V73" s="301"/>
      <c r="W73" s="301"/>
      <c r="X73" s="301"/>
      <c r="Y73" s="301"/>
      <c r="Z73" s="301"/>
      <c r="AA73" s="301"/>
      <c r="AB73" s="301"/>
      <c r="AC73" s="301"/>
      <c r="AE73" t="s">
        <v>388</v>
      </c>
    </row>
    <row r="74" spans="1:34">
      <c r="A74" s="312" t="s">
        <v>435</v>
      </c>
      <c r="AE74" t="s">
        <v>436</v>
      </c>
    </row>
    <row r="75" spans="1:34">
      <c r="A75" s="312"/>
      <c r="AE75" s="339" t="s">
        <v>401</v>
      </c>
      <c r="AH75" s="339"/>
    </row>
    <row r="76" spans="1:34">
      <c r="A76" s="312"/>
      <c r="C76" s="313" t="s">
        <v>437</v>
      </c>
      <c r="D76" s="315"/>
      <c r="E76" s="315"/>
      <c r="F76" s="315"/>
      <c r="G76" s="315"/>
      <c r="H76" s="314"/>
      <c r="I76" s="316"/>
      <c r="L76" s="313" t="s">
        <v>438</v>
      </c>
      <c r="M76" s="315"/>
      <c r="N76" s="315"/>
      <c r="O76" s="315"/>
      <c r="P76" s="314"/>
      <c r="Q76" s="315"/>
      <c r="R76" s="317"/>
      <c r="AE76" s="339" t="s">
        <v>439</v>
      </c>
      <c r="AH76" s="339"/>
    </row>
    <row r="77" spans="1:34">
      <c r="C77" s="207"/>
      <c r="I77" s="88"/>
      <c r="L77" s="319"/>
      <c r="R77" s="88"/>
    </row>
    <row r="78" spans="1:34">
      <c r="C78" s="207"/>
      <c r="F78" s="341" t="s">
        <v>440</v>
      </c>
      <c r="I78" s="88"/>
      <c r="L78" s="207"/>
      <c r="R78" s="88"/>
    </row>
    <row r="79" spans="1:34">
      <c r="C79" s="207"/>
      <c r="D79" s="320" t="s">
        <v>441</v>
      </c>
      <c r="E79" s="320" t="s">
        <v>442</v>
      </c>
      <c r="F79" s="346" t="s">
        <v>443</v>
      </c>
      <c r="G79" s="208"/>
      <c r="H79" s="321" t="s">
        <v>444</v>
      </c>
      <c r="I79" s="88" t="s">
        <v>445</v>
      </c>
      <c r="L79" s="207"/>
      <c r="M79" s="320" t="s">
        <v>441</v>
      </c>
      <c r="N79" s="320" t="s">
        <v>442</v>
      </c>
      <c r="O79" s="320" t="s">
        <v>440</v>
      </c>
      <c r="P79" s="208"/>
      <c r="Q79" s="321" t="s">
        <v>444</v>
      </c>
      <c r="R79" s="88" t="s">
        <v>445</v>
      </c>
    </row>
    <row r="80" spans="1:34">
      <c r="A80" s="15" t="s">
        <v>389</v>
      </c>
      <c r="C80" s="322" t="s">
        <v>446</v>
      </c>
      <c r="D80" s="323" t="s">
        <v>447</v>
      </c>
      <c r="E80" s="323" t="s">
        <v>448</v>
      </c>
      <c r="F80" s="465" t="s">
        <v>449</v>
      </c>
      <c r="G80" s="324" t="s">
        <v>450</v>
      </c>
      <c r="H80" s="325" t="s">
        <v>451</v>
      </c>
      <c r="I80" s="326" t="s">
        <v>452</v>
      </c>
      <c r="L80" s="322" t="s">
        <v>446</v>
      </c>
      <c r="M80" s="323" t="s">
        <v>447</v>
      </c>
      <c r="N80" s="323" t="s">
        <v>448</v>
      </c>
      <c r="O80" s="324" t="s">
        <v>449</v>
      </c>
      <c r="P80" s="323" t="s">
        <v>453</v>
      </c>
      <c r="Q80" s="325" t="s">
        <v>451</v>
      </c>
      <c r="R80" s="326" t="s">
        <v>452</v>
      </c>
    </row>
    <row r="81" spans="1:29">
      <c r="B81" s="15"/>
      <c r="C81" s="340" t="str">
        <f>+C22</f>
        <v>Asset 1</v>
      </c>
      <c r="D81" s="328">
        <f>SUM(I49:Y49)</f>
        <v>0</v>
      </c>
      <c r="E81" s="428">
        <v>0</v>
      </c>
      <c r="F81" s="434">
        <v>36560</v>
      </c>
      <c r="G81" s="429">
        <v>4</v>
      </c>
      <c r="H81" s="435" t="s">
        <v>454</v>
      </c>
      <c r="I81" s="436">
        <v>2</v>
      </c>
      <c r="L81" s="437" t="s">
        <v>455</v>
      </c>
      <c r="M81" s="428">
        <f t="shared" ref="M81:N85" si="33">+D81</f>
        <v>0</v>
      </c>
      <c r="N81" s="428">
        <f t="shared" si="33"/>
        <v>0</v>
      </c>
      <c r="O81" s="434">
        <v>35596</v>
      </c>
      <c r="P81" s="429">
        <v>5</v>
      </c>
      <c r="Q81" s="435" t="s">
        <v>454</v>
      </c>
      <c r="R81" s="436">
        <v>2</v>
      </c>
    </row>
    <row r="82" spans="1:29">
      <c r="C82" s="340" t="str">
        <f>+C23</f>
        <v>Asset 2</v>
      </c>
      <c r="D82" s="328">
        <f>SUM(I51:Y51)</f>
        <v>0</v>
      </c>
      <c r="E82" s="428">
        <v>0</v>
      </c>
      <c r="F82" s="434">
        <v>36560</v>
      </c>
      <c r="G82" s="429">
        <v>3</v>
      </c>
      <c r="H82" s="435" t="s">
        <v>454</v>
      </c>
      <c r="I82" s="436">
        <v>2</v>
      </c>
      <c r="L82" s="437" t="s">
        <v>456</v>
      </c>
      <c r="M82" s="428">
        <f t="shared" si="33"/>
        <v>0</v>
      </c>
      <c r="N82" s="428">
        <f t="shared" si="33"/>
        <v>0</v>
      </c>
      <c r="O82" s="434">
        <v>35596</v>
      </c>
      <c r="P82" s="429">
        <v>5</v>
      </c>
      <c r="Q82" s="435" t="s">
        <v>454</v>
      </c>
      <c r="R82" s="436">
        <v>2</v>
      </c>
    </row>
    <row r="83" spans="1:29">
      <c r="C83" s="340" t="str">
        <f>+C24</f>
        <v>Asset 3</v>
      </c>
      <c r="D83" s="328">
        <f>SUM(I53:Y53)</f>
        <v>0</v>
      </c>
      <c r="E83" s="428">
        <v>0</v>
      </c>
      <c r="F83" s="434">
        <v>36965</v>
      </c>
      <c r="G83" s="429">
        <v>4</v>
      </c>
      <c r="H83" s="435" t="s">
        <v>454</v>
      </c>
      <c r="I83" s="436">
        <v>2</v>
      </c>
      <c r="L83" s="437" t="s">
        <v>457</v>
      </c>
      <c r="M83" s="428">
        <f t="shared" si="33"/>
        <v>0</v>
      </c>
      <c r="N83" s="428">
        <f t="shared" si="33"/>
        <v>0</v>
      </c>
      <c r="O83" s="434">
        <v>35596</v>
      </c>
      <c r="P83" s="429">
        <v>5</v>
      </c>
      <c r="Q83" s="435" t="s">
        <v>454</v>
      </c>
      <c r="R83" s="436">
        <v>2</v>
      </c>
    </row>
    <row r="84" spans="1:29">
      <c r="C84" s="340" t="str">
        <f>+C25</f>
        <v>Asset 4</v>
      </c>
      <c r="D84" s="328">
        <f>SUM(I55:Y55)</f>
        <v>0</v>
      </c>
      <c r="E84" s="428">
        <v>0</v>
      </c>
      <c r="F84" s="434">
        <v>37636</v>
      </c>
      <c r="G84" s="429">
        <v>5</v>
      </c>
      <c r="H84" s="435" t="s">
        <v>454</v>
      </c>
      <c r="I84" s="436">
        <v>2</v>
      </c>
      <c r="L84" s="437" t="s">
        <v>458</v>
      </c>
      <c r="M84" s="428">
        <f t="shared" si="33"/>
        <v>0</v>
      </c>
      <c r="N84" s="428">
        <f t="shared" si="33"/>
        <v>0</v>
      </c>
      <c r="O84" s="434">
        <v>35596</v>
      </c>
      <c r="P84" s="429">
        <v>5</v>
      </c>
      <c r="Q84" s="435" t="s">
        <v>454</v>
      </c>
      <c r="R84" s="436">
        <v>2</v>
      </c>
    </row>
    <row r="85" spans="1:29">
      <c r="C85" s="340" t="str">
        <f>+C26</f>
        <v>Asset 5</v>
      </c>
      <c r="D85" s="328">
        <f>SUM(I57:Y57)</f>
        <v>0</v>
      </c>
      <c r="E85" s="428">
        <v>0</v>
      </c>
      <c r="F85" s="434">
        <v>35596</v>
      </c>
      <c r="G85" s="429">
        <v>6</v>
      </c>
      <c r="H85" s="435" t="s">
        <v>454</v>
      </c>
      <c r="I85" s="436">
        <v>2</v>
      </c>
      <c r="L85" s="437" t="s">
        <v>459</v>
      </c>
      <c r="M85" s="428">
        <f t="shared" si="33"/>
        <v>0</v>
      </c>
      <c r="N85" s="428">
        <f t="shared" si="33"/>
        <v>0</v>
      </c>
      <c r="O85" s="434">
        <v>35596</v>
      </c>
      <c r="P85" s="429">
        <v>5</v>
      </c>
      <c r="Q85" s="435" t="s">
        <v>454</v>
      </c>
      <c r="R85" s="436">
        <v>2</v>
      </c>
    </row>
    <row r="86" spans="1:29">
      <c r="C86" s="333" t="s">
        <v>460</v>
      </c>
      <c r="D86" s="516">
        <f>SUM(D81:D85)</f>
        <v>0</v>
      </c>
      <c r="E86" s="516">
        <f>SUM(E81:E85)</f>
        <v>0</v>
      </c>
      <c r="F86" s="208"/>
      <c r="G86" s="208"/>
      <c r="H86" s="208"/>
      <c r="I86" s="88"/>
      <c r="J86" s="300"/>
      <c r="L86" s="333" t="s">
        <v>460</v>
      </c>
      <c r="M86" s="516">
        <f>SUM(M81:M85)</f>
        <v>0</v>
      </c>
      <c r="N86" s="516">
        <f>SUM(N81:N85)</f>
        <v>0</v>
      </c>
      <c r="O86" s="208"/>
      <c r="P86" s="208"/>
      <c r="Q86" s="208"/>
      <c r="R86" s="88"/>
    </row>
    <row r="87" spans="1:29">
      <c r="C87" s="333"/>
      <c r="D87" s="334"/>
      <c r="E87" s="334"/>
      <c r="F87" s="208"/>
      <c r="G87" s="208"/>
      <c r="H87" s="208"/>
      <c r="I87" s="88"/>
      <c r="J87" s="335"/>
      <c r="L87" s="333"/>
      <c r="M87" s="334"/>
      <c r="N87" s="334"/>
      <c r="O87" s="208"/>
      <c r="P87" s="334"/>
      <c r="Q87" s="334"/>
      <c r="R87" s="336"/>
      <c r="W87" s="335"/>
      <c r="X87" s="335"/>
      <c r="Y87" s="335"/>
      <c r="Z87" s="335"/>
      <c r="AA87" s="335"/>
      <c r="AB87" s="335"/>
      <c r="AC87" s="335"/>
    </row>
    <row r="88" spans="1:29">
      <c r="A88" s="337" t="s">
        <v>415</v>
      </c>
      <c r="C88" s="333"/>
      <c r="D88" s="334"/>
      <c r="E88" s="334"/>
      <c r="F88" s="208"/>
      <c r="G88" s="208"/>
      <c r="H88" s="208"/>
      <c r="I88" s="88"/>
      <c r="J88" s="335"/>
      <c r="L88" s="333"/>
      <c r="M88" s="334"/>
      <c r="N88" s="334"/>
      <c r="O88" s="208"/>
      <c r="P88" s="334"/>
      <c r="Q88" s="334"/>
      <c r="R88" s="336"/>
      <c r="W88" s="335"/>
      <c r="X88" s="335"/>
      <c r="Y88" s="335"/>
      <c r="Z88" s="335"/>
      <c r="AA88" s="335"/>
      <c r="AB88" s="335"/>
      <c r="AC88" s="335"/>
    </row>
    <row r="89" spans="1:29">
      <c r="C89" s="207" t="str">
        <f>+C30</f>
        <v>Funding 1</v>
      </c>
      <c r="D89" s="328">
        <f>SUM(I61:Y61)</f>
        <v>0</v>
      </c>
      <c r="E89" s="428">
        <v>0</v>
      </c>
      <c r="F89" s="434">
        <v>35064</v>
      </c>
      <c r="G89" s="429">
        <v>7</v>
      </c>
      <c r="H89" s="435" t="s">
        <v>454</v>
      </c>
      <c r="I89" s="436">
        <v>1.5</v>
      </c>
      <c r="L89" s="207" t="str">
        <f t="shared" ref="L89:N90" si="34">+C89</f>
        <v>Funding 1</v>
      </c>
      <c r="M89" s="428">
        <f t="shared" si="34"/>
        <v>0</v>
      </c>
      <c r="N89" s="428">
        <f t="shared" si="34"/>
        <v>0</v>
      </c>
      <c r="O89" s="434">
        <v>35064</v>
      </c>
      <c r="P89" s="429">
        <v>5</v>
      </c>
      <c r="Q89" s="435" t="s">
        <v>454</v>
      </c>
      <c r="R89" s="436">
        <v>2</v>
      </c>
    </row>
    <row r="90" spans="1:29">
      <c r="C90" s="207" t="str">
        <f>+C31</f>
        <v>Funding 2</v>
      </c>
      <c r="D90" s="328">
        <f>SUM(I63:Y63)</f>
        <v>0</v>
      </c>
      <c r="E90" s="428">
        <v>0</v>
      </c>
      <c r="F90" s="434">
        <v>35565</v>
      </c>
      <c r="G90" s="429">
        <v>2</v>
      </c>
      <c r="H90" s="435" t="s">
        <v>461</v>
      </c>
      <c r="I90" s="436"/>
      <c r="L90" s="207" t="str">
        <f t="shared" si="34"/>
        <v>Funding 2</v>
      </c>
      <c r="M90" s="428">
        <f t="shared" si="34"/>
        <v>0</v>
      </c>
      <c r="N90" s="428">
        <f t="shared" si="34"/>
        <v>0</v>
      </c>
      <c r="O90" s="434">
        <v>35746</v>
      </c>
      <c r="P90" s="429">
        <v>2</v>
      </c>
      <c r="Q90" s="435" t="s">
        <v>454</v>
      </c>
      <c r="R90" s="436">
        <v>1.5</v>
      </c>
    </row>
    <row r="91" spans="1:29">
      <c r="C91" s="333" t="s">
        <v>460</v>
      </c>
      <c r="D91" s="516">
        <f>+D90+D89</f>
        <v>0</v>
      </c>
      <c r="E91" s="516">
        <f>+E90+E89</f>
        <v>0</v>
      </c>
      <c r="F91" s="329"/>
      <c r="G91" s="330"/>
      <c r="H91" s="331"/>
      <c r="I91" s="332"/>
      <c r="L91" s="333" t="s">
        <v>460</v>
      </c>
      <c r="M91" s="516">
        <f>+M90+M89</f>
        <v>0</v>
      </c>
      <c r="N91" s="516">
        <f>+N90+N89</f>
        <v>0</v>
      </c>
      <c r="O91" s="329"/>
      <c r="P91" s="330"/>
      <c r="Q91" s="331"/>
      <c r="R91" s="332"/>
    </row>
    <row r="92" spans="1:29">
      <c r="C92" s="210"/>
      <c r="D92" s="211"/>
      <c r="E92" s="211"/>
      <c r="F92" s="211"/>
      <c r="G92" s="211"/>
      <c r="H92" s="211"/>
      <c r="I92" s="213"/>
      <c r="J92" s="208"/>
      <c r="K92" s="208"/>
      <c r="L92" s="446" t="s">
        <v>462</v>
      </c>
      <c r="M92" s="440">
        <f>+M91+M86-D86-D91</f>
        <v>0</v>
      </c>
      <c r="N92" s="211"/>
      <c r="O92" s="211"/>
      <c r="P92" s="211"/>
      <c r="Q92" s="211"/>
      <c r="R92" s="213"/>
    </row>
    <row r="93" spans="1:29">
      <c r="A93" s="208"/>
      <c r="B93" s="208"/>
      <c r="C93" s="208"/>
      <c r="D93" s="208"/>
      <c r="E93" s="208"/>
      <c r="F93" s="208"/>
      <c r="G93" s="208"/>
      <c r="H93" s="208"/>
      <c r="I93" s="208"/>
      <c r="J93" s="208"/>
      <c r="K93" s="208"/>
      <c r="L93" s="208"/>
      <c r="M93" s="208"/>
      <c r="N93" s="208"/>
      <c r="O93" s="208"/>
      <c r="P93" s="208"/>
      <c r="Q93" s="441"/>
      <c r="R93" s="208"/>
      <c r="S93" s="208"/>
      <c r="T93" s="208"/>
      <c r="W93" s="208"/>
      <c r="X93" s="208"/>
      <c r="Y93" s="208"/>
      <c r="Z93" s="208"/>
      <c r="AA93" s="208"/>
      <c r="AB93" s="208"/>
      <c r="AC93" s="208"/>
    </row>
    <row r="94" spans="1:29" ht="12" thickBot="1">
      <c r="A94" s="208"/>
      <c r="B94" s="208"/>
      <c r="C94" s="208"/>
      <c r="D94" s="208"/>
      <c r="E94" s="20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</row>
    <row r="95" spans="1:29" ht="12.75" thickTop="1" thickBot="1">
      <c r="A95" s="301"/>
      <c r="B95" s="301"/>
      <c r="C95" s="301"/>
      <c r="D95" s="301"/>
      <c r="E95" s="301"/>
      <c r="F95" s="301"/>
      <c r="G95" s="301"/>
      <c r="H95" s="301"/>
      <c r="I95" s="301"/>
      <c r="J95" s="301"/>
      <c r="K95" s="301"/>
      <c r="L95" s="301"/>
      <c r="M95" s="301"/>
      <c r="N95" s="301"/>
      <c r="O95" s="301"/>
      <c r="P95" s="301"/>
      <c r="Q95" s="301"/>
      <c r="R95" s="301"/>
      <c r="S95" s="301"/>
      <c r="T95" s="301"/>
      <c r="U95" s="301"/>
      <c r="V95" s="301"/>
      <c r="W95" s="301"/>
      <c r="X95" s="301"/>
      <c r="Y95" s="301"/>
      <c r="Z95" s="301"/>
      <c r="AA95" s="301"/>
      <c r="AB95" s="301"/>
      <c r="AC95" s="301"/>
    </row>
    <row r="96" spans="1:29" ht="12.75" thickTop="1" thickBot="1">
      <c r="A96" s="312" t="s">
        <v>463</v>
      </c>
      <c r="I96" s="166" t="str">
        <f ca="1">+I$3</f>
        <v xml:space="preserve">6 M/1999 </v>
      </c>
      <c r="J96" s="166">
        <f t="shared" ref="J96:Z96" si="35">+J$3</f>
        <v>2000</v>
      </c>
      <c r="K96" s="166">
        <f t="shared" si="35"/>
        <v>2001</v>
      </c>
      <c r="L96" s="166">
        <f t="shared" si="35"/>
        <v>2002</v>
      </c>
      <c r="M96" s="166">
        <f t="shared" si="35"/>
        <v>2003</v>
      </c>
      <c r="N96" s="166">
        <f t="shared" si="35"/>
        <v>2004</v>
      </c>
      <c r="O96" s="166">
        <f t="shared" si="35"/>
        <v>2005</v>
      </c>
      <c r="P96" s="166">
        <f t="shared" si="35"/>
        <v>2006</v>
      </c>
      <c r="Q96" s="166">
        <f t="shared" si="35"/>
        <v>2007</v>
      </c>
      <c r="R96" s="166">
        <f t="shared" si="35"/>
        <v>2008</v>
      </c>
      <c r="S96" s="166">
        <f t="shared" si="35"/>
        <v>2009</v>
      </c>
      <c r="T96" s="166">
        <f t="shared" si="35"/>
        <v>2010</v>
      </c>
      <c r="U96" s="166">
        <f t="shared" si="35"/>
        <v>2011</v>
      </c>
      <c r="V96" s="166">
        <f t="shared" si="35"/>
        <v>2012</v>
      </c>
      <c r="W96" s="166">
        <f t="shared" si="35"/>
        <v>2013</v>
      </c>
      <c r="X96" s="166">
        <f t="shared" si="35"/>
        <v>2014</v>
      </c>
      <c r="Y96" s="166">
        <f t="shared" si="35"/>
        <v>2015</v>
      </c>
      <c r="Z96" s="166">
        <f t="shared" si="35"/>
        <v>2016</v>
      </c>
      <c r="AA96" s="166">
        <f>+AA$3</f>
        <v>2017</v>
      </c>
      <c r="AB96" s="166">
        <f>+AB$3</f>
        <v>2018</v>
      </c>
      <c r="AC96" s="166">
        <f>+AC$3</f>
        <v>2019</v>
      </c>
    </row>
    <row r="97" spans="1:29" ht="12" thickTop="1">
      <c r="A97" s="337" t="s">
        <v>464</v>
      </c>
    </row>
    <row r="98" spans="1:29">
      <c r="B98" s="15" t="s">
        <v>465</v>
      </c>
      <c r="C98" t="str">
        <f>+C81</f>
        <v>Asset 1</v>
      </c>
      <c r="I98" s="338">
        <f>IF(D81=0,0,IF($H81="SL",SLN($D81,$E81,$G81)*IF(YEAR($F81)&lt;(J$3-1),IF(YEAR($F81)+$G81=J$3-1,(MONTH($F81)-1)/12,IF(YEAR($F81)+$G81&lt;J$3-1,0,1)),IF(YEAR($F81)&gt;J$3-1,0,(12-MONTH($F81)+1)/12)),IF(YEAR($F81)&gt;J$3-1,0,VDB($D81,$E81,$G81,IF(YEAR($F81)=J$3-1,0,MIN($G81,(DATE(J$3-1,1,1)-$F81)/365)),MIN($G81,(DATE(J$3-1,12,31)-$F81)/365),$I81))))</f>
        <v>0</v>
      </c>
      <c r="J98" s="338">
        <f t="shared" ref="J98:S102" si="36">IF($D81=0,0,IF($H81="SL",SLN($D81,$E81,$G81)*IF(YEAR($F81)&lt;J$3,IF(YEAR($F81)+$G81=J$3,(MONTH($F81)-1)/12,IF(YEAR($F81)+$G81&lt;J$3,0,1)),IF(YEAR($F81)&gt;J$3,0,(12-MONTH($F81)+1)/12)),IF(YEAR($F81)&gt;J$3,0,VDB($D81,$E81,$G81,IF(YEAR($F81)=J$3,0,MIN($G81,(DATE(J$3,1,1)-$F81)/365)),MIN($G81,(DATE(J$3,12,31)-$F81)/365),$I81))))</f>
        <v>0</v>
      </c>
      <c r="K98" s="338">
        <f t="shared" si="36"/>
        <v>0</v>
      </c>
      <c r="L98" s="338">
        <f t="shared" si="36"/>
        <v>0</v>
      </c>
      <c r="M98" s="338">
        <f t="shared" si="36"/>
        <v>0</v>
      </c>
      <c r="N98" s="338">
        <f t="shared" si="36"/>
        <v>0</v>
      </c>
      <c r="O98" s="338">
        <f t="shared" si="36"/>
        <v>0</v>
      </c>
      <c r="P98" s="338">
        <f t="shared" si="36"/>
        <v>0</v>
      </c>
      <c r="Q98" s="338">
        <f t="shared" si="36"/>
        <v>0</v>
      </c>
      <c r="R98" s="338">
        <f t="shared" si="36"/>
        <v>0</v>
      </c>
      <c r="S98" s="338">
        <f t="shared" si="36"/>
        <v>0</v>
      </c>
      <c r="T98" s="338">
        <f t="shared" ref="T98:AC102" si="37">IF($D81=0,0,IF($H81="SL",SLN($D81,$E81,$G81)*IF(YEAR($F81)&lt;T$3,IF(YEAR($F81)+$G81=T$3,(MONTH($F81)-1)/12,IF(YEAR($F81)+$G81&lt;T$3,0,1)),IF(YEAR($F81)&gt;T$3,0,(12-MONTH($F81)+1)/12)),IF(YEAR($F81)&gt;T$3,0,VDB($D81,$E81,$G81,IF(YEAR($F81)=T$3,0,MIN($G81,(DATE(T$3,1,1)-$F81)/365)),MIN($G81,(DATE(T$3,12,31)-$F81)/365),$I81))))</f>
        <v>0</v>
      </c>
      <c r="U98" s="338">
        <f t="shared" si="37"/>
        <v>0</v>
      </c>
      <c r="V98" s="338">
        <f t="shared" si="37"/>
        <v>0</v>
      </c>
      <c r="W98" s="338">
        <f t="shared" si="37"/>
        <v>0</v>
      </c>
      <c r="X98" s="338">
        <f t="shared" si="37"/>
        <v>0</v>
      </c>
      <c r="Y98" s="338">
        <f t="shared" si="37"/>
        <v>0</v>
      </c>
      <c r="Z98" s="338">
        <f t="shared" si="37"/>
        <v>0</v>
      </c>
      <c r="AA98" s="338">
        <f t="shared" si="37"/>
        <v>0</v>
      </c>
      <c r="AB98" s="338">
        <f t="shared" si="37"/>
        <v>0</v>
      </c>
      <c r="AC98" s="338">
        <f t="shared" si="37"/>
        <v>0</v>
      </c>
    </row>
    <row r="99" spans="1:29">
      <c r="C99" t="str">
        <f>+C82</f>
        <v>Asset 2</v>
      </c>
      <c r="I99" s="338">
        <f>IF(D82=0,0,IF($H82="SL",SLN($D82,$E82,$G82)*IF(YEAR($F82)&lt;(J$3-1),IF(YEAR($F82)+$G82=J$3-1,(MONTH($F82)-1)/12,IF(YEAR($F82)+$G82&lt;J$3-1,0,1)),IF(YEAR($F82)&gt;J$3-1,0,(12-MONTH($F82)+1)/12)),IF(YEAR($F82)&gt;J$3-1,0,VDB($D82,$E82,$G82,IF(YEAR($F82)=J$3-1,0,MIN($G82,(DATE(J$3-1,1,1)-$F82)/365)),MIN($G82,(DATE(J$3-1,12,31)-$F82)/365),$I82))))</f>
        <v>0</v>
      </c>
      <c r="J99" s="338">
        <f t="shared" si="36"/>
        <v>0</v>
      </c>
      <c r="K99" s="338">
        <f t="shared" si="36"/>
        <v>0</v>
      </c>
      <c r="L99" s="338">
        <f t="shared" si="36"/>
        <v>0</v>
      </c>
      <c r="M99" s="338">
        <f t="shared" si="36"/>
        <v>0</v>
      </c>
      <c r="N99" s="338">
        <f t="shared" si="36"/>
        <v>0</v>
      </c>
      <c r="O99" s="338">
        <f t="shared" si="36"/>
        <v>0</v>
      </c>
      <c r="P99" s="338">
        <f t="shared" si="36"/>
        <v>0</v>
      </c>
      <c r="Q99" s="338">
        <f t="shared" si="36"/>
        <v>0</v>
      </c>
      <c r="R99" s="338">
        <f t="shared" si="36"/>
        <v>0</v>
      </c>
      <c r="S99" s="338">
        <f t="shared" si="36"/>
        <v>0</v>
      </c>
      <c r="T99" s="338">
        <f t="shared" si="37"/>
        <v>0</v>
      </c>
      <c r="U99" s="338">
        <f t="shared" si="37"/>
        <v>0</v>
      </c>
      <c r="V99" s="338">
        <f t="shared" si="37"/>
        <v>0</v>
      </c>
      <c r="W99" s="338">
        <f t="shared" si="37"/>
        <v>0</v>
      </c>
      <c r="X99" s="338">
        <f t="shared" si="37"/>
        <v>0</v>
      </c>
      <c r="Y99" s="338">
        <f t="shared" si="37"/>
        <v>0</v>
      </c>
      <c r="Z99" s="338">
        <f t="shared" si="37"/>
        <v>0</v>
      </c>
      <c r="AA99" s="338">
        <f t="shared" si="37"/>
        <v>0</v>
      </c>
      <c r="AB99" s="338">
        <f t="shared" si="37"/>
        <v>0</v>
      </c>
      <c r="AC99" s="338">
        <f t="shared" si="37"/>
        <v>0</v>
      </c>
    </row>
    <row r="100" spans="1:29">
      <c r="C100" t="str">
        <f>+C83</f>
        <v>Asset 3</v>
      </c>
      <c r="I100" s="338">
        <f>IF(D83=0,0,IF($H83="SL",SLN($D83,$E83,$G83)*IF(YEAR($F83)&lt;(J$3-1),IF(YEAR($F83)+$G83=J$3-1,(MONTH($F83)-1)/12,IF(YEAR($F83)+$G83&lt;J$3-1,0,1)),IF(YEAR($F83)&gt;J$3-1,0,(12-MONTH($F83)+1)/12)),IF(YEAR($F83)&gt;J$3-1,0,VDB($D83,$E83,$G83,IF(YEAR($F83)=J$3-1,0,MIN($G83,(DATE(J$3-1,1,1)-$F83)/365)),MIN($G83,(DATE(J$3-1,12,31)-$F83)/365),$I83))))</f>
        <v>0</v>
      </c>
      <c r="J100" s="338">
        <f t="shared" si="36"/>
        <v>0</v>
      </c>
      <c r="K100" s="338">
        <f t="shared" si="36"/>
        <v>0</v>
      </c>
      <c r="L100" s="338">
        <f t="shared" si="36"/>
        <v>0</v>
      </c>
      <c r="M100" s="338">
        <f t="shared" si="36"/>
        <v>0</v>
      </c>
      <c r="N100" s="338">
        <f t="shared" si="36"/>
        <v>0</v>
      </c>
      <c r="O100" s="338">
        <f t="shared" si="36"/>
        <v>0</v>
      </c>
      <c r="P100" s="338">
        <f t="shared" si="36"/>
        <v>0</v>
      </c>
      <c r="Q100" s="338">
        <f t="shared" si="36"/>
        <v>0</v>
      </c>
      <c r="R100" s="338">
        <f t="shared" si="36"/>
        <v>0</v>
      </c>
      <c r="S100" s="338">
        <f t="shared" si="36"/>
        <v>0</v>
      </c>
      <c r="T100" s="338">
        <f t="shared" si="37"/>
        <v>0</v>
      </c>
      <c r="U100" s="338">
        <f t="shared" si="37"/>
        <v>0</v>
      </c>
      <c r="V100" s="338">
        <f t="shared" si="37"/>
        <v>0</v>
      </c>
      <c r="W100" s="338">
        <f t="shared" si="37"/>
        <v>0</v>
      </c>
      <c r="X100" s="338">
        <f t="shared" si="37"/>
        <v>0</v>
      </c>
      <c r="Y100" s="338">
        <f t="shared" si="37"/>
        <v>0</v>
      </c>
      <c r="Z100" s="338">
        <f t="shared" si="37"/>
        <v>0</v>
      </c>
      <c r="AA100" s="338">
        <f t="shared" si="37"/>
        <v>0</v>
      </c>
      <c r="AB100" s="338">
        <f t="shared" si="37"/>
        <v>0</v>
      </c>
      <c r="AC100" s="338">
        <f t="shared" si="37"/>
        <v>0</v>
      </c>
    </row>
    <row r="101" spans="1:29">
      <c r="C101" t="str">
        <f>+C84</f>
        <v>Asset 4</v>
      </c>
      <c r="I101" s="338">
        <f>IF(D84=0,0,IF($H84="SL",SLN($D84,$E84,$G84)*IF(YEAR($F84)&lt;(J$3-1),IF(YEAR($F84)+$G84=J$3-1,(MONTH($F84)-1)/12,IF(YEAR($F84)+$G84&lt;J$3-1,0,1)),IF(YEAR($F84)&gt;J$3-1,0,(12-MONTH($F84)+1)/12)),IF(YEAR($F84)&gt;J$3-1,0,VDB($D84,$E84,$G84,IF(YEAR($F84)=J$3-1,0,MIN($G84,(DATE(J$3-1,1,1)-$F84)/365)),MIN($G84,(DATE(J$3-1,12,31)-$F84)/365),$I84))))</f>
        <v>0</v>
      </c>
      <c r="J101" s="338">
        <f t="shared" si="36"/>
        <v>0</v>
      </c>
      <c r="K101" s="338">
        <f t="shared" si="36"/>
        <v>0</v>
      </c>
      <c r="L101" s="338">
        <f t="shared" si="36"/>
        <v>0</v>
      </c>
      <c r="M101" s="338">
        <f t="shared" si="36"/>
        <v>0</v>
      </c>
      <c r="N101" s="338">
        <f t="shared" si="36"/>
        <v>0</v>
      </c>
      <c r="O101" s="338">
        <f t="shared" si="36"/>
        <v>0</v>
      </c>
      <c r="P101" s="338">
        <f t="shared" si="36"/>
        <v>0</v>
      </c>
      <c r="Q101" s="338">
        <f t="shared" si="36"/>
        <v>0</v>
      </c>
      <c r="R101" s="338">
        <f t="shared" si="36"/>
        <v>0</v>
      </c>
      <c r="S101" s="338">
        <f t="shared" si="36"/>
        <v>0</v>
      </c>
      <c r="T101" s="338">
        <f t="shared" si="37"/>
        <v>0</v>
      </c>
      <c r="U101" s="338">
        <f t="shared" si="37"/>
        <v>0</v>
      </c>
      <c r="V101" s="338">
        <f t="shared" si="37"/>
        <v>0</v>
      </c>
      <c r="W101" s="338">
        <f t="shared" si="37"/>
        <v>0</v>
      </c>
      <c r="X101" s="338">
        <f t="shared" si="37"/>
        <v>0</v>
      </c>
      <c r="Y101" s="338">
        <f t="shared" si="37"/>
        <v>0</v>
      </c>
      <c r="Z101" s="338">
        <f t="shared" si="37"/>
        <v>0</v>
      </c>
      <c r="AA101" s="338">
        <f t="shared" si="37"/>
        <v>0</v>
      </c>
      <c r="AB101" s="338">
        <f t="shared" si="37"/>
        <v>0</v>
      </c>
      <c r="AC101" s="338">
        <f t="shared" si="37"/>
        <v>0</v>
      </c>
    </row>
    <row r="102" spans="1:29">
      <c r="C102" t="str">
        <f>+C85</f>
        <v>Asset 5</v>
      </c>
      <c r="I102" s="338">
        <f>IF(D85=0,0,IF($H85="SL",SLN($D85,$E85,$G85)*IF(YEAR($F85)&lt;(J$3-1),IF(YEAR($F85)+$G85=J$3-1,(MONTH($F85)-1)/12,IF(YEAR($F85)+$G85&lt;J$3-1,0,1)),IF(YEAR($F85)&gt;J$3-1,0,(12-MONTH($F85)+1)/12)),IF(YEAR($F85)&gt;J$3-1,0,VDB($D85,$E85,$G85,IF(YEAR($F85)=J$3-1,0,MIN($G85,(DATE(J$3-1,1,1)-$F85)/365)),MIN($G85,(DATE(J$3-1,12,31)-$F85)/365),$I85))))</f>
        <v>0</v>
      </c>
      <c r="J102" s="338">
        <f t="shared" si="36"/>
        <v>0</v>
      </c>
      <c r="K102" s="338">
        <f t="shared" si="36"/>
        <v>0</v>
      </c>
      <c r="L102" s="338">
        <f t="shared" si="36"/>
        <v>0</v>
      </c>
      <c r="M102" s="338">
        <f t="shared" si="36"/>
        <v>0</v>
      </c>
      <c r="N102" s="338">
        <f t="shared" si="36"/>
        <v>0</v>
      </c>
      <c r="O102" s="338">
        <f t="shared" si="36"/>
        <v>0</v>
      </c>
      <c r="P102" s="338">
        <f t="shared" si="36"/>
        <v>0</v>
      </c>
      <c r="Q102" s="338">
        <f t="shared" si="36"/>
        <v>0</v>
      </c>
      <c r="R102" s="338">
        <f t="shared" si="36"/>
        <v>0</v>
      </c>
      <c r="S102" s="338">
        <f t="shared" si="36"/>
        <v>0</v>
      </c>
      <c r="T102" s="338">
        <f t="shared" si="37"/>
        <v>0</v>
      </c>
      <c r="U102" s="338">
        <f t="shared" si="37"/>
        <v>0</v>
      </c>
      <c r="V102" s="338">
        <f t="shared" si="37"/>
        <v>0</v>
      </c>
      <c r="W102" s="338">
        <f t="shared" si="37"/>
        <v>0</v>
      </c>
      <c r="X102" s="338">
        <f t="shared" si="37"/>
        <v>0</v>
      </c>
      <c r="Y102" s="338">
        <f t="shared" si="37"/>
        <v>0</v>
      </c>
      <c r="Z102" s="338">
        <f t="shared" si="37"/>
        <v>0</v>
      </c>
      <c r="AA102" s="338">
        <f t="shared" si="37"/>
        <v>0</v>
      </c>
      <c r="AB102" s="338">
        <f t="shared" si="37"/>
        <v>0</v>
      </c>
      <c r="AC102" s="338">
        <f t="shared" si="37"/>
        <v>0</v>
      </c>
    </row>
    <row r="103" spans="1:29">
      <c r="B103" s="337" t="s">
        <v>466</v>
      </c>
      <c r="I103" s="396">
        <f>SUM(I98:I102)</f>
        <v>0</v>
      </c>
      <c r="J103" s="396">
        <f t="shared" ref="J103:Z103" si="38">SUM(J98:J102)</f>
        <v>0</v>
      </c>
      <c r="K103" s="396">
        <f t="shared" si="38"/>
        <v>0</v>
      </c>
      <c r="L103" s="396">
        <f t="shared" si="38"/>
        <v>0</v>
      </c>
      <c r="M103" s="396">
        <f t="shared" si="38"/>
        <v>0</v>
      </c>
      <c r="N103" s="396">
        <f t="shared" si="38"/>
        <v>0</v>
      </c>
      <c r="O103" s="396">
        <f t="shared" si="38"/>
        <v>0</v>
      </c>
      <c r="P103" s="396">
        <f t="shared" si="38"/>
        <v>0</v>
      </c>
      <c r="Q103" s="396">
        <f t="shared" si="38"/>
        <v>0</v>
      </c>
      <c r="R103" s="396">
        <f t="shared" si="38"/>
        <v>0</v>
      </c>
      <c r="S103" s="396">
        <f t="shared" si="38"/>
        <v>0</v>
      </c>
      <c r="T103" s="396">
        <f t="shared" si="38"/>
        <v>0</v>
      </c>
      <c r="U103" s="396">
        <f t="shared" si="38"/>
        <v>0</v>
      </c>
      <c r="V103" s="396">
        <f t="shared" si="38"/>
        <v>0</v>
      </c>
      <c r="W103" s="396">
        <f t="shared" si="38"/>
        <v>0</v>
      </c>
      <c r="X103" s="396">
        <f t="shared" si="38"/>
        <v>0</v>
      </c>
      <c r="Y103" s="396">
        <f t="shared" si="38"/>
        <v>0</v>
      </c>
      <c r="Z103" s="396">
        <f t="shared" si="38"/>
        <v>0</v>
      </c>
      <c r="AA103" s="396">
        <f>SUM(AA98:AA102)</f>
        <v>0</v>
      </c>
      <c r="AB103" s="396">
        <f>SUM(AB98:AB102)</f>
        <v>0</v>
      </c>
      <c r="AC103" s="396">
        <f>SUM(AC98:AC102)</f>
        <v>0</v>
      </c>
    </row>
    <row r="104" spans="1:29"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  <c r="AA104" s="335"/>
      <c r="AB104" s="335"/>
      <c r="AC104" s="335"/>
    </row>
    <row r="105" spans="1:29">
      <c r="A105" s="337" t="s">
        <v>415</v>
      </c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  <c r="AA105" s="335"/>
      <c r="AB105" s="335"/>
      <c r="AC105" s="335"/>
    </row>
    <row r="106" spans="1:29">
      <c r="C106" t="str">
        <f>+C89</f>
        <v>Funding 1</v>
      </c>
      <c r="I106" s="338">
        <f>IF(D89=0,0,IF($H89="SL",SLN($D89,$E89,$G89)*IF(YEAR($F89)&lt;(J$3-1),IF(YEAR($F89)+$G89=J$3-1,(MONTH($F89)-1)/12,IF(YEAR($F89)+$G89&lt;J$3-1,0,1)),IF(YEAR($F89)&gt;J$3-1,0,(12-MONTH($F89)+1)/12)),IF(YEAR($F89)&gt;J$3-1,0,VDB($D89,$E89,$G89,IF(YEAR($F89)=J$3-1,0,MIN($G89,(DATE(J$3-1,1,1)-$F89)/365)),MIN($G89,(DATE(J$3-1,12,31)-$F89)/365),$I89))))</f>
        <v>0</v>
      </c>
      <c r="J106" s="338">
        <f>IF(D89=0,0,IF($H89="SL",SLN($D89,$E89,$G89)*IF(YEAR($F89)&lt;J$3,IF(YEAR($F89)+$G89=J$3,(MONTH($F89)-1)/12,IF(YEAR($F89)+$G89&lt;J$3,0,1)),IF(YEAR($F89)&gt;J$3,0,(12-MONTH($F89)+1)/12)),IF(YEAR($F89)&gt;J$3,0,VDB($D89,$E89,$G89,IF(YEAR($F89)=J$3,0,MIN($G89,(DATE(J$3,1,1)-$F89)/365)),MIN($G89,(DATE(J$3,12,31)-$F89)/365),$I89))))</f>
        <v>0</v>
      </c>
      <c r="K106" s="338">
        <f>IF(D89=0,0,IF($H89="SL",SLN($D89,$E89,$G89)*IF(YEAR($F89)&lt;K$3,IF(YEAR($F89)+$G89=K$3,(MONTH($F89)-1)/12,IF(YEAR($F89)+$G89&lt;K$3,0,1)),IF(YEAR($F89)&gt;K$3,0,(12-MONTH($F89)+1)/12)),IF(YEAR($F89)&gt;K$3,0,VDB($D89,$E89,$G89,IF(YEAR($F89)=K$3,0,MIN($G89,(DATE(K$3,1,1)-$F89)/365)),MIN($G89,(DATE(K$3,12,31)-$F89)/365),$I89))))</f>
        <v>0</v>
      </c>
      <c r="L106" s="338">
        <f>IF(D89=0,0,IF($H89="SL",SLN($D89,$E89,$G89)*IF(YEAR($F89)&lt;L$3,IF(YEAR($F89)+$G89=L$3,(MONTH($F89)-1)/12,IF(YEAR($F89)+$G89&lt;L$3,0,1)),IF(YEAR($F89)&gt;L$3,0,(12-MONTH($F89)+1)/12)),IF(YEAR($F89)&gt;L$3,0,VDB($D89,$E89,$G89,IF(YEAR($F89)=L$3,0,MIN($G89,(DATE(L$3,1,1)-$F89)/365)),MIN($G89,(DATE(L$3,12,31)-$F89)/365),$I89))))</f>
        <v>0</v>
      </c>
      <c r="M106" s="338">
        <f>IF(D89=0,0,IF($H89="SL",SLN($D89,$E89,$G89)*IF(YEAR($F89)&lt;M$3,IF(YEAR($F89)+$G89=M$3,(MONTH($F89)-1)/12,IF(YEAR($F89)+$G89&lt;M$3,0,1)),IF(YEAR($F89)&gt;M$3,0,(12-MONTH($F89)+1)/12)),IF(YEAR($F89)&gt;M$3,0,VDB($D89,$E89,$G89,IF(YEAR($F89)=M$3,0,MIN($G89,(DATE(M$3,1,1)-$F89)/365)),MIN($G89,(DATE(M$3,12,31)-$F89)/365),$I89))))</f>
        <v>0</v>
      </c>
      <c r="N106" s="338">
        <f>IF(D89=0,0,IF($H89="SL",SLN($D89,$E89,$G89)*IF(YEAR($F89)&lt;N$3,IF(YEAR($F89)+$G89=N$3,(MONTH($F89)-1)/12,IF(YEAR($F89)+$G89&lt;N$3,0,1)),IF(YEAR($F89)&gt;N$3,0,(12-MONTH($F89)+1)/12)),IF(YEAR($F89)&gt;N$3,0,VDB($D89,$E89,$G89,IF(YEAR($F89)=N$3,0,MIN($G89,(DATE(N$3,1,1)-$F89)/365)),MIN($G89,(DATE(N$3,12,31)-$F89)/365),$I89))))</f>
        <v>0</v>
      </c>
      <c r="O106" s="338">
        <f>IF(D89=0,0,IF($H89="SL",SLN($D89,$E89,$G89)*IF(YEAR($F89)&lt;O$3,IF(YEAR($F89)+$G89=O$3,(MONTH($F89)-1)/12,IF(YEAR($F89)+$G89&lt;O$3,0,1)),IF(YEAR($F89)&gt;O$3,0,(12-MONTH($F89)+1)/12)),IF(YEAR($F89)&gt;O$3,0,VDB($D89,$E89,$G89,IF(YEAR($F89)=O$3,0,MIN($G89,(DATE(O$3,1,1)-$F89)/365)),MIN($G89,(DATE(O$3,12,31)-$F89)/365),$I89))))</f>
        <v>0</v>
      </c>
      <c r="P106" s="338">
        <f>IF(D89=0,0,IF($H89="SL",SLN($D89,$E89,$G89)*IF(YEAR($F89)&lt;P$3,IF(YEAR($F89)+$G89=P$3,(MONTH($F89)-1)/12,IF(YEAR($F89)+$G89&lt;P$3,0,1)),IF(YEAR($F89)&gt;P$3,0,(12-MONTH($F89)+1)/12)),IF(YEAR($F89)&gt;P$3,0,VDB($D89,$E89,$G89,IF(YEAR($F89)=P$3,0,MIN($G89,(DATE(P$3,1,1)-$F89)/365)),MIN($G89,(DATE(P$3,12,31)-$F89)/365),$I89))))</f>
        <v>0</v>
      </c>
      <c r="Q106" s="338">
        <f>IF(D89=0,0,IF($H89="SL",SLN($D89,$E89,$G89)*IF(YEAR($F89)&lt;Q$3,IF(YEAR($F89)+$G89=Q$3,(MONTH($F89)-1)/12,IF(YEAR($F89)+$G89&lt;Q$3,0,1)),IF(YEAR($F89)&gt;Q$3,0,(12-MONTH($F89)+1)/12)),IF(YEAR($F89)&gt;Q$3,0,VDB($D89,$E89,$G89,IF(YEAR($F89)=Q$3,0,MIN($G89,(DATE(Q$3,1,1)-$F89)/365)),MIN($G89,(DATE(Q$3,12,31)-$F89)/365),$I89))))</f>
        <v>0</v>
      </c>
      <c r="R106" s="338">
        <f>IF(D89=0,0,IF($H89="SL",SLN($D89,$E89,$G89)*IF(YEAR($F89)&lt;R$3,IF(YEAR($F89)+$G89=R$3,(MONTH($F89)-1)/12,IF(YEAR($F89)+$G89&lt;R$3,0,1)),IF(YEAR($F89)&gt;R$3,0,(12-MONTH($F89)+1)/12)),IF(YEAR($F89)&gt;R$3,0,VDB($D89,$E89,$G89,IF(YEAR($F89)=R$3,0,MIN($G89,(DATE(R$3,1,1)-$F89)/365)),MIN($G89,(DATE(R$3,12,31)-$F89)/365),$I89))))</f>
        <v>0</v>
      </c>
      <c r="S106" s="338">
        <f>IF(D89=0,0,IF($H89="SL",SLN($D89,$E89,$G89)*IF(YEAR($F89)&lt;S$3,IF(YEAR($F89)+$G89=S$3,(MONTH($F89)-1)/12,IF(YEAR($F89)+$G89&lt;S$3,0,1)),IF(YEAR($F89)&gt;S$3,0,(12-MONTH($F89)+1)/12)),IF(YEAR($F89)&gt;S$3,0,VDB($D89,$E89,$G89,IF(YEAR($F89)=S$3,0,MIN($G89,(DATE(S$3,1,1)-$F89)/365)),MIN($G89,(DATE(S$3,12,31)-$F89)/365),$I89))))</f>
        <v>0</v>
      </c>
      <c r="T106" s="338">
        <f>IF(D89=0,0,IF($H89="SL",SLN($D89,$E89,$G89)*IF(YEAR($F89)&lt;T$3,IF(YEAR($F89)+$G89=T$3,(MONTH($F89)-1)/12,IF(YEAR($F89)+$G89&lt;T$3,0,1)),IF(YEAR($F89)&gt;T$3,0,(12-MONTH($F89)+1)/12)),IF(YEAR($F89)&gt;T$3,0,VDB($D89,$E89,$G89,IF(YEAR($F89)=T$3,0,MIN($G89,(DATE(T$3,1,1)-$F89)/365)),MIN($G89,(DATE(T$3,12,31)-$F89)/365),$I89))))</f>
        <v>0</v>
      </c>
      <c r="U106" s="338">
        <f>IF(D89=0,0,IF($H89="SL",SLN($D89,$E89,$G89)*IF(YEAR($F89)&lt;U$3,IF(YEAR($F89)+$G89=U$3,(MONTH($F89)-1)/12,IF(YEAR($F89)+$G89&lt;U$3,0,1)),IF(YEAR($F89)&gt;U$3,0,(12-MONTH($F89)+1)/12)),IF(YEAR($F89)&gt;U$3,0,VDB($D89,$E89,$G89,IF(YEAR($F89)=U$3,0,MIN($G89,(DATE(U$3,1,1)-$F89)/365)),MIN($G89,(DATE(U$3,12,31)-$F89)/365),$I89))))</f>
        <v>0</v>
      </c>
      <c r="V106" s="338">
        <f>IF(D89=0,0,IF($H89="SL",SLN($D89,$E89,$G89)*IF(YEAR($F89)&lt;V$3,IF(YEAR($F89)+$G89=V$3,(MONTH($F89)-1)/12,IF(YEAR($F89)+$G89&lt;V$3,0,1)),IF(YEAR($F89)&gt;V$3,0,(12-MONTH($F89)+1)/12)),IF(YEAR($F89)&gt;V$3,0,VDB($D89,$E89,$G89,IF(YEAR($F89)=V$3,0,MIN($G89,(DATE(V$3,1,1)-$F89)/365)),MIN($G89,(DATE(V$3,12,31)-$F89)/365),$I89))))</f>
        <v>0</v>
      </c>
      <c r="W106" s="338">
        <f>IF(D89=0,0,IF($H89="SL",SLN($D89,$E89,$G89)*IF(YEAR($F89)&lt;W$3,IF(YEAR($F89)+$G89=W$3,(MONTH($F89)-1)/12,IF(YEAR($F89)+$G89&lt;W$3,0,1)),IF(YEAR($F89)&gt;W$3,0,(12-MONTH($F89)+1)/12)),IF(YEAR($F89)&gt;W$3,0,VDB($D89,$E89,$G89,IF(YEAR($F89)=W$3,0,MIN($G89,(DATE(W$3,1,1)-$F89)/365)),MIN($G89,(DATE(W$3,12,31)-$F89)/365),$I89))))</f>
        <v>0</v>
      </c>
      <c r="X106" s="338">
        <f>IF(D89=0,0,IF($H89="SL",SLN($D89,$E89,$G89)*IF(YEAR($F89)&lt;X$3,IF(YEAR($F89)+$G89=X$3,(MONTH($F89)-1)/12,IF(YEAR($F89)+$G89&lt;X$3,0,1)),IF(YEAR($F89)&gt;X$3,0,(12-MONTH($F89)+1)/12)),IF(YEAR($F89)&gt;X$3,0,VDB($D89,$E89,$G89,IF(YEAR($F89)=X$3,0,MIN($G89,(DATE(X$3,1,1)-$F89)/365)),MIN($G89,(DATE(X$3,12,31)-$F89)/365),$I89))))</f>
        <v>0</v>
      </c>
      <c r="Y106" s="338">
        <f t="shared" ref="Y106:AC107" si="39">IF($D89=0,0,IF($H89="SL",SLN($D89,$E89,$G89)*IF(YEAR($F89)&lt;Y$3,IF(YEAR($F89)+$G89=Y$3,(MONTH($F89)-1)/12,IF(YEAR($F89)+$G89&lt;Y$3,0,1)),IF(YEAR($F89)&gt;Y$3,0,(12-MONTH($F89)+1)/12)),IF(YEAR($F89)&gt;Y$3,0,VDB($D89,$E89,$G89,IF(YEAR($F89)=Y$3,0,MIN($G89,(DATE(Y$3,1,1)-$F89)/365)),MIN($G89,(DATE(Y$3,12,31)-$F89)/365),$I89))))</f>
        <v>0</v>
      </c>
      <c r="Z106" s="338">
        <f t="shared" si="39"/>
        <v>0</v>
      </c>
      <c r="AA106" s="338">
        <f t="shared" si="39"/>
        <v>0</v>
      </c>
      <c r="AB106" s="338">
        <f t="shared" si="39"/>
        <v>0</v>
      </c>
      <c r="AC106" s="338">
        <f t="shared" si="39"/>
        <v>0</v>
      </c>
    </row>
    <row r="107" spans="1:29">
      <c r="A107" s="339"/>
      <c r="C107" t="str">
        <f>+C90</f>
        <v>Funding 2</v>
      </c>
      <c r="I107" s="338">
        <f>IF(D90=0,0,IF($H90="SL",SLN($D90,$E90,$G90)*IF(YEAR($F90)&lt;(J$3-1),IF(YEAR($F90)+$G90=J$3-1,(MONTH($F90)-1)/12,IF(YEAR($F90)+$G90&lt;J$3-1,0,1)),IF(YEAR($F90)&gt;J$3-1,0,(12-MONTH($F90)+1)/12)),IF(YEAR($F90)&gt;J$3-1,0,VDB($D90,$E90,$G90,IF(YEAR($F90)=J$3-1,0,MIN($G90,(DATE(J$3-1,1,1)-$F90)/365)),MIN($G90,(DATE(J$3-1,12,31)-$F90)/365),$I90))))</f>
        <v>0</v>
      </c>
      <c r="J107" s="338">
        <f>IF(D90=0,0,IF($H90="SL",SLN($D90,$E90,$G90)*IF(YEAR($F90)&lt;J$3,IF(YEAR($F90)+$G90=J$3,(MONTH($F90)-1)/12,IF(YEAR($F90)+$G90&lt;J$3,0,1)),IF(YEAR($F90)&gt;J$3,0,(12-MONTH($F90)+1)/12)),IF(YEAR($F90)&gt;J$3,0,VDB($D90,$E90,$G90,IF(YEAR($F90)=J$3,0,MIN($G90,(DATE(J$3,1,1)-$F90)/365)),MIN($G90,(DATE(J$3,12,31)-$F90)/365),$I90))))</f>
        <v>0</v>
      </c>
      <c r="K107" s="338">
        <f>IF(D90=0,0,IF($H90="SL",SLN($D90,$E90,$G90)*IF(YEAR($F90)&lt;K$3,IF(YEAR($F90)+$G90=K$3,(MONTH($F90)-1)/12,IF(YEAR($F90)+$G90&lt;K$3,0,1)),IF(YEAR($F90)&gt;K$3,0,(12-MONTH($F90)+1)/12)),IF(YEAR($F90)&gt;K$3,0,VDB($D90,$E90,$G90,IF(YEAR($F90)=K$3,0,MIN($G90,(DATE(K$3,1,1)-$F90)/365)),MIN($G90,(DATE(K$3,12,31)-$F90)/365),$I90))))</f>
        <v>0</v>
      </c>
      <c r="L107" s="338">
        <f>IF(D90=0,0,IF($H90="SL",SLN($D90,$E90,$G90)*IF(YEAR($F90)&lt;L$3,IF(YEAR($F90)+$G90=L$3,(MONTH($F90)-1)/12,IF(YEAR($F90)+$G90&lt;L$3,0,1)),IF(YEAR($F90)&gt;L$3,0,(12-MONTH($F90)+1)/12)),IF(YEAR($F90)&gt;L$3,0,VDB($D90,$E90,$G90,IF(YEAR($F90)=L$3,0,MIN($G90,(DATE(L$3,1,1)-$F90)/365)),MIN($G90,(DATE(L$3,12,31)-$F90)/365),$I90))))</f>
        <v>0</v>
      </c>
      <c r="M107" s="338">
        <f>IF(D90=0,0,IF($H90="SL",SLN($D90,$E90,$G90)*IF(YEAR($F90)&lt;M$3,IF(YEAR($F90)+$G90=M$3,(MONTH($F90)-1)/12,IF(YEAR($F90)+$G90&lt;M$3,0,1)),IF(YEAR($F90)&gt;M$3,0,(12-MONTH($F90)+1)/12)),IF(YEAR($F90)&gt;M$3,0,VDB($D90,$E90,$G90,IF(YEAR($F90)=M$3,0,MIN($G90,(DATE(M$3,1,1)-$F90)/365)),MIN($G90,(DATE(M$3,12,31)-$F90)/365),$I90))))</f>
        <v>0</v>
      </c>
      <c r="N107" s="338">
        <f>IF(D90=0,0,IF($H90="SL",SLN($D90,$E90,$G90)*IF(YEAR($F90)&lt;N$3,IF(YEAR($F90)+$G90=N$3,(MONTH($F90)-1)/12,IF(YEAR($F90)+$G90&lt;N$3,0,1)),IF(YEAR($F90)&gt;N$3,0,(12-MONTH($F90)+1)/12)),IF(YEAR($F90)&gt;N$3,0,VDB($D90,$E90,$G90,IF(YEAR($F90)=N$3,0,MIN($G90,(DATE(N$3,1,1)-$F90)/365)),MIN($G90,(DATE(N$3,12,31)-$F90)/365),$I90))))</f>
        <v>0</v>
      </c>
      <c r="O107" s="338">
        <f>IF(D90=0,0,IF($H90="SL",SLN($D90,$E90,$G90)*IF(YEAR($F90)&lt;O$3,IF(YEAR($F90)+$G90=O$3,(MONTH($F90)-1)/12,IF(YEAR($F90)+$G90&lt;O$3,0,1)),IF(YEAR($F90)&gt;O$3,0,(12-MONTH($F90)+1)/12)),IF(YEAR($F90)&gt;O$3,0,VDB($D90,$E90,$G90,IF(YEAR($F90)=O$3,0,MIN($G90,(DATE(O$3,1,1)-$F90)/365)),MIN($G90,(DATE(O$3,12,31)-$F90)/365),$I90))))</f>
        <v>0</v>
      </c>
      <c r="P107" s="338">
        <f>IF(D90=0,0,IF($H90="SL",SLN($D90,$E90,$G90)*IF(YEAR($F90)&lt;P$3,IF(YEAR($F90)+$G90=P$3,(MONTH($F90)-1)/12,IF(YEAR($F90)+$G90&lt;P$3,0,1)),IF(YEAR($F90)&gt;P$3,0,(12-MONTH($F90)+1)/12)),IF(YEAR($F90)&gt;P$3,0,VDB($D90,$E90,$G90,IF(YEAR($F90)=P$3,0,MIN($G90,(DATE(P$3,1,1)-$F90)/365)),MIN($G90,(DATE(P$3,12,31)-$F90)/365),$I90))))</f>
        <v>0</v>
      </c>
      <c r="Q107" s="338">
        <f>IF(D90=0,0,IF($H90="SL",SLN($D90,$E90,$G90)*IF(YEAR($F90)&lt;Q$3,IF(YEAR($F90)+$G90=Q$3,(MONTH($F90)-1)/12,IF(YEAR($F90)+$G90&lt;Q$3,0,1)),IF(YEAR($F90)&gt;Q$3,0,(12-MONTH($F90)+1)/12)),IF(YEAR($F90)&gt;Q$3,0,VDB($D90,$E90,$G90,IF(YEAR($F90)=Q$3,0,MIN($G90,(DATE(Q$3,1,1)-$F90)/365)),MIN($G90,(DATE(Q$3,12,31)-$F90)/365),$I90))))</f>
        <v>0</v>
      </c>
      <c r="R107" s="338">
        <f>IF(D90=0,0,IF($H90="SL",SLN($D90,$E90,$G90)*IF(YEAR($F90)&lt;R$3,IF(YEAR($F90)+$G90=R$3,(MONTH($F90)-1)/12,IF(YEAR($F90)+$G90&lt;R$3,0,1)),IF(YEAR($F90)&gt;R$3,0,(12-MONTH($F90)+1)/12)),IF(YEAR($F90)&gt;R$3,0,VDB($D90,$E90,$G90,IF(YEAR($F90)=R$3,0,MIN($G90,(DATE(R$3,1,1)-$F90)/365)),MIN($G90,(DATE(R$3,12,31)-$F90)/365),$I90))))</f>
        <v>0</v>
      </c>
      <c r="S107" s="338">
        <f>IF(D90=0,0,IF($H90="SL",SLN($D90,$E90,$G90)*IF(YEAR($F90)&lt;S$3,IF(YEAR($F90)+$G90=S$3,(MONTH($F90)-1)/12,IF(YEAR($F90)+$G90&lt;S$3,0,1)),IF(YEAR($F90)&gt;S$3,0,(12-MONTH($F90)+1)/12)),IF(YEAR($F90)&gt;S$3,0,VDB($D90,$E90,$G90,IF(YEAR($F90)=S$3,0,MIN($G90,(DATE(S$3,1,1)-$F90)/365)),MIN($G90,(DATE(S$3,12,31)-$F90)/365),$I90))))</f>
        <v>0</v>
      </c>
      <c r="T107" s="338">
        <f>IF(D90=0,0,IF($H90="SL",SLN($D90,$E90,$G90)*IF(YEAR($F90)&lt;T$3,IF(YEAR($F90)+$G90=T$3,(MONTH($F90)-1)/12,IF(YEAR($F90)+$G90&lt;T$3,0,1)),IF(YEAR($F90)&gt;T$3,0,(12-MONTH($F90)+1)/12)),IF(YEAR($F90)&gt;T$3,0,VDB($D90,$E90,$G90,IF(YEAR($F90)=T$3,0,MIN($G90,(DATE(T$3,1,1)-$F90)/365)),MIN($G90,(DATE(T$3,12,31)-$F90)/365),$I90))))</f>
        <v>0</v>
      </c>
      <c r="U107" s="338">
        <f>IF(D90=0,0,IF($H90="SL",SLN($D90,$E90,$G90)*IF(YEAR($F90)&lt;U$3,IF(YEAR($F90)+$G90=U$3,(MONTH($F90)-1)/12,IF(YEAR($F90)+$G90&lt;U$3,0,1)),IF(YEAR($F90)&gt;U$3,0,(12-MONTH($F90)+1)/12)),IF(YEAR($F90)&gt;U$3,0,VDB($D90,$E90,$G90,IF(YEAR($F90)=U$3,0,MIN($G90,(DATE(U$3,1,1)-$F90)/365)),MIN($G90,(DATE(U$3,12,31)-$F90)/365),$I90))))</f>
        <v>0</v>
      </c>
      <c r="V107" s="338">
        <f>IF(D90=0,0,IF($H90="SL",SLN($D90,$E90,$G90)*IF(YEAR($F90)&lt;V$3,IF(YEAR($F90)+$G90=V$3,(MONTH($F90)-1)/12,IF(YEAR($F90)+$G90&lt;V$3,0,1)),IF(YEAR($F90)&gt;V$3,0,(12-MONTH($F90)+1)/12)),IF(YEAR($F90)&gt;V$3,0,VDB($D90,$E90,$G90,IF(YEAR($F90)=V$3,0,MIN($G90,(DATE(V$3,1,1)-$F90)/365)),MIN($G90,(DATE(V$3,12,31)-$F90)/365),$I90))))</f>
        <v>0</v>
      </c>
      <c r="W107" s="338">
        <f>IF(D90=0,0,IF($H90="SL",SLN($D90,$E90,$G90)*IF(YEAR($F90)&lt;W$3,IF(YEAR($F90)+$G90=W$3,(MONTH($F90)-1)/12,IF(YEAR($F90)+$G90&lt;W$3,0,1)),IF(YEAR($F90)&gt;W$3,0,(12-MONTH($F90)+1)/12)),IF(YEAR($F90)&gt;W$3,0,VDB($D90,$E90,$G90,IF(YEAR($F90)=W$3,0,MIN($G90,(DATE(W$3,1,1)-$F90)/365)),MIN($G90,(DATE(W$3,12,31)-$F90)/365),$I90))))</f>
        <v>0</v>
      </c>
      <c r="X107" s="338">
        <f>IF(D90=0,0,IF($H90="SL",SLN($D90,$E90,$G90)*IF(YEAR($F90)&lt;X$3,IF(YEAR($F90)+$G90=X$3,(MONTH($F90)-1)/12,IF(YEAR($F90)+$G90&lt;X$3,0,1)),IF(YEAR($F90)&gt;X$3,0,(12-MONTH($F90)+1)/12)),IF(YEAR($F90)&gt;X$3,0,VDB($D90,$E90,$G90,IF(YEAR($F90)=X$3,0,MIN($G90,(DATE(X$3,1,1)-$F90)/365)),MIN($G90,(DATE(X$3,12,31)-$F90)/365),$I90))))</f>
        <v>0</v>
      </c>
      <c r="Y107" s="338">
        <f t="shared" si="39"/>
        <v>0</v>
      </c>
      <c r="Z107" s="338">
        <f t="shared" si="39"/>
        <v>0</v>
      </c>
      <c r="AA107" s="338">
        <f t="shared" si="39"/>
        <v>0</v>
      </c>
      <c r="AB107" s="338">
        <f t="shared" si="39"/>
        <v>0</v>
      </c>
      <c r="AC107" s="338">
        <f t="shared" si="39"/>
        <v>0</v>
      </c>
    </row>
    <row r="108" spans="1:29">
      <c r="A108" s="339"/>
      <c r="B108" s="337" t="s">
        <v>467</v>
      </c>
      <c r="I108" s="439">
        <f>+I107+I106</f>
        <v>0</v>
      </c>
      <c r="J108" s="439">
        <f t="shared" ref="J108:Z108" si="40">+J107+J106</f>
        <v>0</v>
      </c>
      <c r="K108" s="439">
        <f t="shared" si="40"/>
        <v>0</v>
      </c>
      <c r="L108" s="439">
        <f t="shared" si="40"/>
        <v>0</v>
      </c>
      <c r="M108" s="439">
        <f t="shared" si="40"/>
        <v>0</v>
      </c>
      <c r="N108" s="439">
        <f t="shared" si="40"/>
        <v>0</v>
      </c>
      <c r="O108" s="439">
        <f t="shared" si="40"/>
        <v>0</v>
      </c>
      <c r="P108" s="439">
        <f t="shared" si="40"/>
        <v>0</v>
      </c>
      <c r="Q108" s="439">
        <f t="shared" si="40"/>
        <v>0</v>
      </c>
      <c r="R108" s="439">
        <f t="shared" si="40"/>
        <v>0</v>
      </c>
      <c r="S108" s="439">
        <f t="shared" si="40"/>
        <v>0</v>
      </c>
      <c r="T108" s="439">
        <f t="shared" si="40"/>
        <v>0</v>
      </c>
      <c r="U108" s="439">
        <f t="shared" si="40"/>
        <v>0</v>
      </c>
      <c r="V108" s="439">
        <f t="shared" si="40"/>
        <v>0</v>
      </c>
      <c r="W108" s="439">
        <f t="shared" si="40"/>
        <v>0</v>
      </c>
      <c r="X108" s="439">
        <f t="shared" si="40"/>
        <v>0</v>
      </c>
      <c r="Y108" s="439">
        <f t="shared" si="40"/>
        <v>0</v>
      </c>
      <c r="Z108" s="439">
        <f t="shared" si="40"/>
        <v>0</v>
      </c>
      <c r="AA108" s="439">
        <f>+AA107+AA106</f>
        <v>0</v>
      </c>
      <c r="AB108" s="439">
        <f>+AB107+AB106</f>
        <v>0</v>
      </c>
      <c r="AC108" s="439">
        <f>+AC107+AC106</f>
        <v>0</v>
      </c>
    </row>
    <row r="109" spans="1:29">
      <c r="A109" s="339"/>
      <c r="I109" s="338"/>
      <c r="J109" s="338"/>
      <c r="K109" s="338"/>
      <c r="L109" s="338"/>
      <c r="M109" s="338"/>
      <c r="N109" s="338"/>
      <c r="O109" s="338"/>
      <c r="P109" s="338"/>
      <c r="Q109" s="338"/>
      <c r="R109" s="338"/>
      <c r="S109" s="338"/>
      <c r="T109" s="338"/>
      <c r="U109" s="338"/>
      <c r="V109" s="338"/>
      <c r="W109" s="338"/>
      <c r="X109" s="338"/>
      <c r="Y109" s="338"/>
      <c r="Z109" s="338"/>
      <c r="AA109" s="338"/>
      <c r="AB109" s="338"/>
      <c r="AC109" s="338"/>
    </row>
    <row r="110" spans="1:29">
      <c r="A110" s="337" t="s">
        <v>468</v>
      </c>
      <c r="I110" s="335">
        <f>+I108+I103</f>
        <v>0</v>
      </c>
      <c r="J110" s="335">
        <f t="shared" ref="J110:R110" si="41">SUM(J103:J107)</f>
        <v>0</v>
      </c>
      <c r="K110" s="335">
        <f t="shared" si="41"/>
        <v>0</v>
      </c>
      <c r="L110" s="335">
        <f t="shared" si="41"/>
        <v>0</v>
      </c>
      <c r="M110" s="335">
        <f t="shared" si="41"/>
        <v>0</v>
      </c>
      <c r="N110" s="335">
        <f t="shared" si="41"/>
        <v>0</v>
      </c>
      <c r="O110" s="335">
        <f t="shared" si="41"/>
        <v>0</v>
      </c>
      <c r="P110" s="335">
        <f t="shared" si="41"/>
        <v>0</v>
      </c>
      <c r="Q110" s="335">
        <f t="shared" si="41"/>
        <v>0</v>
      </c>
      <c r="R110" s="335">
        <f t="shared" si="41"/>
        <v>0</v>
      </c>
      <c r="S110" s="335">
        <f t="shared" ref="S110:AC110" si="42">SUM(S103:S107)</f>
        <v>0</v>
      </c>
      <c r="T110" s="335">
        <f t="shared" si="42"/>
        <v>0</v>
      </c>
      <c r="U110" s="335">
        <f t="shared" si="42"/>
        <v>0</v>
      </c>
      <c r="V110" s="335">
        <f t="shared" si="42"/>
        <v>0</v>
      </c>
      <c r="W110" s="335">
        <f t="shared" si="42"/>
        <v>0</v>
      </c>
      <c r="X110" s="335">
        <f t="shared" si="42"/>
        <v>0</v>
      </c>
      <c r="Y110" s="335">
        <f t="shared" si="42"/>
        <v>0</v>
      </c>
      <c r="Z110" s="335">
        <f t="shared" si="42"/>
        <v>0</v>
      </c>
      <c r="AA110" s="335">
        <f t="shared" si="42"/>
        <v>0</v>
      </c>
      <c r="AB110" s="335">
        <f t="shared" si="42"/>
        <v>0</v>
      </c>
      <c r="AC110" s="335">
        <f t="shared" si="42"/>
        <v>0</v>
      </c>
    </row>
    <row r="111" spans="1:29" ht="12" thickBot="1"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  <c r="AA111" s="335"/>
      <c r="AB111" s="335"/>
      <c r="AC111" s="335"/>
    </row>
    <row r="112" spans="1:29" ht="12" thickTop="1">
      <c r="A112" s="443"/>
      <c r="B112" s="443"/>
      <c r="C112" s="443"/>
      <c r="D112" s="443"/>
      <c r="E112" s="443"/>
      <c r="F112" s="443"/>
      <c r="G112" s="443"/>
      <c r="H112" s="443"/>
      <c r="I112" s="443"/>
      <c r="J112" s="443"/>
      <c r="K112" s="443"/>
      <c r="L112" s="443"/>
      <c r="M112" s="443"/>
      <c r="N112" s="443"/>
      <c r="O112" s="443"/>
      <c r="P112" s="443"/>
      <c r="Q112" s="443"/>
      <c r="R112" s="443"/>
      <c r="S112" s="443"/>
      <c r="T112" s="443"/>
      <c r="U112" s="443"/>
      <c r="V112" s="443"/>
      <c r="W112" s="443"/>
      <c r="X112" s="443"/>
      <c r="Y112" s="443"/>
      <c r="Z112" s="443"/>
      <c r="AA112" s="443"/>
      <c r="AB112" s="443"/>
      <c r="AC112" s="443"/>
    </row>
    <row r="113" spans="1:29">
      <c r="A113" s="312" t="s">
        <v>469</v>
      </c>
    </row>
    <row r="114" spans="1:29">
      <c r="A114" s="337" t="s">
        <v>464</v>
      </c>
      <c r="I114" s="338"/>
    </row>
    <row r="115" spans="1:29">
      <c r="B115" s="15" t="s">
        <v>465</v>
      </c>
      <c r="C115" t="str">
        <f>+L81</f>
        <v>Asset A</v>
      </c>
      <c r="I115" s="338">
        <f>IF($M81=0,0,IF($Q81="SL",SLN($M81,$N81,$P81)*IF(YEAR($O81)&lt;(J$3-1),IF(YEAR($O81)+$P81=J$3-1,(MONTH($O81)-1)/12,IF(YEAR($O81)+$P81&lt;J$3-1,0,1)),IF(YEAR($O81)&gt;J$3-1,0,(12-MONTH($O81)+1)/12)),IF(YEAR($O81)&gt;J$3-1,0,VDB($M81,$N81,$P81,IF(YEAR($O81)=J$3-1,0,MIN($P81,(DATE(J$3-1,1,1)-$O81)/365)),MIN($P81,(DATE(J$3-1,12,31)-$O81)/365),$R81))))</f>
        <v>0</v>
      </c>
      <c r="J115" s="338">
        <f t="shared" ref="J115:S119" si="43">IF($M81=0,0,IF($Q81="SL",SLN($M81,$N81,$P81)*IF(YEAR($O81)&lt;J$3,IF(YEAR($O81)+$P81=J$3,(MONTH($O81)-1)/12,IF(YEAR($O81)+$P81&lt;J$3,0,1)),IF(YEAR($O81)&gt;J$3,0,(12-MONTH($O81)+1)/12)),IF(YEAR($O81)&gt;J$3,0,VDB($M81,$N81,$P81,IF(YEAR($O81)=J$3,0,MIN($P81,(DATE(J$3,1,1)-$O81)/365)),MIN($P81,(DATE(J$3,12,31)-$O81)/365),$R81))))</f>
        <v>0</v>
      </c>
      <c r="K115" s="338">
        <f t="shared" si="43"/>
        <v>0</v>
      </c>
      <c r="L115" s="338">
        <f t="shared" si="43"/>
        <v>0</v>
      </c>
      <c r="M115" s="338">
        <f t="shared" si="43"/>
        <v>0</v>
      </c>
      <c r="N115" s="338">
        <f t="shared" si="43"/>
        <v>0</v>
      </c>
      <c r="O115" s="338">
        <f t="shared" si="43"/>
        <v>0</v>
      </c>
      <c r="P115" s="338">
        <f t="shared" si="43"/>
        <v>0</v>
      </c>
      <c r="Q115" s="338">
        <f t="shared" si="43"/>
        <v>0</v>
      </c>
      <c r="R115" s="338">
        <f t="shared" si="43"/>
        <v>0</v>
      </c>
      <c r="S115" s="338">
        <f t="shared" si="43"/>
        <v>0</v>
      </c>
      <c r="T115" s="338">
        <f t="shared" ref="T115:AC119" si="44">IF($M81=0,0,IF($Q81="SL",SLN($M81,$N81,$P81)*IF(YEAR($O81)&lt;T$3,IF(YEAR($O81)+$P81=T$3,(MONTH($O81)-1)/12,IF(YEAR($O81)+$P81&lt;T$3,0,1)),IF(YEAR($O81)&gt;T$3,0,(12-MONTH($O81)+1)/12)),IF(YEAR($O81)&gt;T$3,0,VDB($M81,$N81,$P81,IF(YEAR($O81)=T$3,0,MIN($P81,(DATE(T$3,1,1)-$O81)/365)),MIN($P81,(DATE(T$3,12,31)-$O81)/365),$R81))))</f>
        <v>0</v>
      </c>
      <c r="U115" s="338">
        <f t="shared" si="44"/>
        <v>0</v>
      </c>
      <c r="V115" s="338">
        <f t="shared" si="44"/>
        <v>0</v>
      </c>
      <c r="W115" s="338">
        <f t="shared" si="44"/>
        <v>0</v>
      </c>
      <c r="X115" s="338">
        <f t="shared" si="44"/>
        <v>0</v>
      </c>
      <c r="Y115" s="338">
        <f t="shared" si="44"/>
        <v>0</v>
      </c>
      <c r="Z115" s="338">
        <f t="shared" si="44"/>
        <v>0</v>
      </c>
      <c r="AA115" s="338">
        <f t="shared" si="44"/>
        <v>0</v>
      </c>
      <c r="AB115" s="338">
        <f t="shared" si="44"/>
        <v>0</v>
      </c>
      <c r="AC115" s="338">
        <f t="shared" si="44"/>
        <v>0</v>
      </c>
    </row>
    <row r="116" spans="1:29">
      <c r="C116" t="str">
        <f>+L82</f>
        <v>Asset B</v>
      </c>
      <c r="I116" s="338">
        <f>IF($M82=0,0,IF($Q82="SL",SLN($M82,$N82,$P82)*IF(YEAR($O82)&lt;(J$3-1),IF(YEAR($O82)+$P82=J$3-1,(MONTH($O82)-1)/12,IF(YEAR($O82)+$P82&lt;J$3-1,0,1)),IF(YEAR($O82)&gt;J$3-1,0,(12-MONTH($O82)+1)/12)),IF(YEAR($O82)&gt;J$3-1,0,VDB($M82,$N82,$P82,IF(YEAR($O82)=J$3-1,0,MIN($P82,(DATE(J$3-1,1,1)-$O82)/365)),MIN($P82,(DATE(J$3-1,12,31)-$O82)/365),$R82))))</f>
        <v>0</v>
      </c>
      <c r="J116" s="338">
        <f t="shared" si="43"/>
        <v>0</v>
      </c>
      <c r="K116" s="338">
        <f t="shared" si="43"/>
        <v>0</v>
      </c>
      <c r="L116" s="338">
        <f t="shared" si="43"/>
        <v>0</v>
      </c>
      <c r="M116" s="338">
        <f t="shared" si="43"/>
        <v>0</v>
      </c>
      <c r="N116" s="338">
        <f t="shared" si="43"/>
        <v>0</v>
      </c>
      <c r="O116" s="338">
        <f t="shared" si="43"/>
        <v>0</v>
      </c>
      <c r="P116" s="338">
        <f t="shared" si="43"/>
        <v>0</v>
      </c>
      <c r="Q116" s="338">
        <f t="shared" si="43"/>
        <v>0</v>
      </c>
      <c r="R116" s="338">
        <f t="shared" si="43"/>
        <v>0</v>
      </c>
      <c r="S116" s="338">
        <f t="shared" si="43"/>
        <v>0</v>
      </c>
      <c r="T116" s="338">
        <f t="shared" si="44"/>
        <v>0</v>
      </c>
      <c r="U116" s="338">
        <f t="shared" si="44"/>
        <v>0</v>
      </c>
      <c r="V116" s="338">
        <f t="shared" si="44"/>
        <v>0</v>
      </c>
      <c r="W116" s="338">
        <f t="shared" si="44"/>
        <v>0</v>
      </c>
      <c r="X116" s="338">
        <f t="shared" si="44"/>
        <v>0</v>
      </c>
      <c r="Y116" s="338">
        <f t="shared" si="44"/>
        <v>0</v>
      </c>
      <c r="Z116" s="338">
        <f t="shared" si="44"/>
        <v>0</v>
      </c>
      <c r="AA116" s="338">
        <f t="shared" si="44"/>
        <v>0</v>
      </c>
      <c r="AB116" s="338">
        <f t="shared" si="44"/>
        <v>0</v>
      </c>
      <c r="AC116" s="338">
        <f t="shared" si="44"/>
        <v>0</v>
      </c>
    </row>
    <row r="117" spans="1:29">
      <c r="C117" t="str">
        <f>+L83</f>
        <v>Asset C</v>
      </c>
      <c r="I117" s="338">
        <f>IF($M83=0,0,IF($Q83="SL",SLN($M83,$N83,$P83)*IF(YEAR($O83)&lt;(J$3-1),IF(YEAR($O83)+$P83=J$3-1,(MONTH($O83)-1)/12,IF(YEAR($O83)+$P83&lt;J$3-1,0,1)),IF(YEAR($O83)&gt;J$3-1,0,(12-MONTH($O83)+1)/12)),IF(YEAR($O83)&gt;J$3-1,0,VDB($M83,$N83,$P83,IF(YEAR($O83)=J$3-1,0,MIN($P83,(DATE(J$3-1,1,1)-$O83)/365)),MIN($P83,(DATE(J$3-1,12,31)-$O83)/365),$R83))))</f>
        <v>0</v>
      </c>
      <c r="J117" s="338">
        <f t="shared" si="43"/>
        <v>0</v>
      </c>
      <c r="K117" s="338">
        <f t="shared" si="43"/>
        <v>0</v>
      </c>
      <c r="L117" s="338">
        <f t="shared" si="43"/>
        <v>0</v>
      </c>
      <c r="M117" s="338">
        <f t="shared" si="43"/>
        <v>0</v>
      </c>
      <c r="N117" s="338">
        <f t="shared" si="43"/>
        <v>0</v>
      </c>
      <c r="O117" s="338">
        <f t="shared" si="43"/>
        <v>0</v>
      </c>
      <c r="P117" s="338">
        <f t="shared" si="43"/>
        <v>0</v>
      </c>
      <c r="Q117" s="338">
        <f t="shared" si="43"/>
        <v>0</v>
      </c>
      <c r="R117" s="338">
        <f t="shared" si="43"/>
        <v>0</v>
      </c>
      <c r="S117" s="338">
        <f t="shared" si="43"/>
        <v>0</v>
      </c>
      <c r="T117" s="338">
        <f t="shared" si="44"/>
        <v>0</v>
      </c>
      <c r="U117" s="338">
        <f t="shared" si="44"/>
        <v>0</v>
      </c>
      <c r="V117" s="338">
        <f t="shared" si="44"/>
        <v>0</v>
      </c>
      <c r="W117" s="338">
        <f t="shared" si="44"/>
        <v>0</v>
      </c>
      <c r="X117" s="338">
        <f t="shared" si="44"/>
        <v>0</v>
      </c>
      <c r="Y117" s="338">
        <f t="shared" si="44"/>
        <v>0</v>
      </c>
      <c r="Z117" s="338">
        <f t="shared" si="44"/>
        <v>0</v>
      </c>
      <c r="AA117" s="338">
        <f t="shared" si="44"/>
        <v>0</v>
      </c>
      <c r="AB117" s="338">
        <f t="shared" si="44"/>
        <v>0</v>
      </c>
      <c r="AC117" s="338">
        <f t="shared" si="44"/>
        <v>0</v>
      </c>
    </row>
    <row r="118" spans="1:29">
      <c r="C118" t="str">
        <f>+L84</f>
        <v>Asset D</v>
      </c>
      <c r="I118" s="338">
        <f>IF($M84=0,0,IF($Q84="SL",SLN($M84,$N84,$P84)*IF(YEAR($O84)&lt;(J$3-1),IF(YEAR($O84)+$P84=J$3-1,(MONTH($O84)-1)/12,IF(YEAR($O84)+$P84&lt;J$3-1,0,1)),IF(YEAR($O84)&gt;J$3-1,0,(12-MONTH($O84)+1)/12)),IF(YEAR($O84)&gt;J$3-1,0,VDB($M84,$N84,$P84,IF(YEAR($O84)=J$3-1,0,MIN($P84,(DATE(J$3-1,1,1)-$O84)/365)),MIN($P84,(DATE(J$3-1,12,31)-$O84)/365),$R84))))</f>
        <v>0</v>
      </c>
      <c r="J118" s="338">
        <f t="shared" si="43"/>
        <v>0</v>
      </c>
      <c r="K118" s="338">
        <f t="shared" si="43"/>
        <v>0</v>
      </c>
      <c r="L118" s="338">
        <f t="shared" si="43"/>
        <v>0</v>
      </c>
      <c r="M118" s="338">
        <f t="shared" si="43"/>
        <v>0</v>
      </c>
      <c r="N118" s="338">
        <f t="shared" si="43"/>
        <v>0</v>
      </c>
      <c r="O118" s="338">
        <f t="shared" si="43"/>
        <v>0</v>
      </c>
      <c r="P118" s="338">
        <f t="shared" si="43"/>
        <v>0</v>
      </c>
      <c r="Q118" s="338">
        <f t="shared" si="43"/>
        <v>0</v>
      </c>
      <c r="R118" s="338">
        <f t="shared" si="43"/>
        <v>0</v>
      </c>
      <c r="S118" s="338">
        <f t="shared" si="43"/>
        <v>0</v>
      </c>
      <c r="T118" s="338">
        <f t="shared" si="44"/>
        <v>0</v>
      </c>
      <c r="U118" s="338">
        <f t="shared" si="44"/>
        <v>0</v>
      </c>
      <c r="V118" s="338">
        <f t="shared" si="44"/>
        <v>0</v>
      </c>
      <c r="W118" s="338">
        <f t="shared" si="44"/>
        <v>0</v>
      </c>
      <c r="X118" s="338">
        <f t="shared" si="44"/>
        <v>0</v>
      </c>
      <c r="Y118" s="338">
        <f t="shared" si="44"/>
        <v>0</v>
      </c>
      <c r="Z118" s="338">
        <f t="shared" si="44"/>
        <v>0</v>
      </c>
      <c r="AA118" s="338">
        <f t="shared" si="44"/>
        <v>0</v>
      </c>
      <c r="AB118" s="338">
        <f t="shared" si="44"/>
        <v>0</v>
      </c>
      <c r="AC118" s="338">
        <f t="shared" si="44"/>
        <v>0</v>
      </c>
    </row>
    <row r="119" spans="1:29">
      <c r="C119" t="str">
        <f>+L85</f>
        <v>Asset E</v>
      </c>
      <c r="I119" s="338">
        <f>IF($M85=0,0,IF($Q85="SL",SLN($M85,$N85,$P85)*IF(YEAR($O85)&lt;(J$3-1),IF(YEAR($O85)+$P85=J$3-1,(MONTH($O85)-1)/12,IF(YEAR($O85)+$P85&lt;J$3-1,0,1)),IF(YEAR($O85)&gt;J$3-1,0,(12-MONTH($O85)+1)/12)),IF(YEAR($O85)&gt;J$3-1,0,VDB($M85,$N85,$P85,IF(YEAR($O85)=J$3-1,0,MIN($P85,(DATE(J$3-1,1,1)-$O85)/365)),MIN($P85,(DATE(J$3-1,12,31)-$O85)/365),$R85))))</f>
        <v>0</v>
      </c>
      <c r="J119" s="338">
        <f t="shared" si="43"/>
        <v>0</v>
      </c>
      <c r="K119" s="338">
        <f t="shared" si="43"/>
        <v>0</v>
      </c>
      <c r="L119" s="338">
        <f t="shared" si="43"/>
        <v>0</v>
      </c>
      <c r="M119" s="338">
        <f t="shared" si="43"/>
        <v>0</v>
      </c>
      <c r="N119" s="338">
        <f t="shared" si="43"/>
        <v>0</v>
      </c>
      <c r="O119" s="338">
        <f t="shared" si="43"/>
        <v>0</v>
      </c>
      <c r="P119" s="338">
        <f t="shared" si="43"/>
        <v>0</v>
      </c>
      <c r="Q119" s="338">
        <f t="shared" si="43"/>
        <v>0</v>
      </c>
      <c r="R119" s="338">
        <f t="shared" si="43"/>
        <v>0</v>
      </c>
      <c r="S119" s="338">
        <f t="shared" si="43"/>
        <v>0</v>
      </c>
      <c r="T119" s="338">
        <f t="shared" si="44"/>
        <v>0</v>
      </c>
      <c r="U119" s="338">
        <f t="shared" si="44"/>
        <v>0</v>
      </c>
      <c r="V119" s="338">
        <f t="shared" si="44"/>
        <v>0</v>
      </c>
      <c r="W119" s="338">
        <f t="shared" si="44"/>
        <v>0</v>
      </c>
      <c r="X119" s="338">
        <f t="shared" si="44"/>
        <v>0</v>
      </c>
      <c r="Y119" s="338">
        <f t="shared" si="44"/>
        <v>0</v>
      </c>
      <c r="Z119" s="338">
        <f t="shared" si="44"/>
        <v>0</v>
      </c>
      <c r="AA119" s="338">
        <f t="shared" si="44"/>
        <v>0</v>
      </c>
      <c r="AB119" s="338">
        <f t="shared" si="44"/>
        <v>0</v>
      </c>
      <c r="AC119" s="338">
        <f t="shared" si="44"/>
        <v>0</v>
      </c>
    </row>
    <row r="120" spans="1:29">
      <c r="B120" s="337" t="s">
        <v>466</v>
      </c>
      <c r="C120" s="341"/>
      <c r="D120" s="208"/>
      <c r="E120" s="208"/>
      <c r="F120" s="208"/>
      <c r="G120" s="208"/>
      <c r="H120" s="208"/>
      <c r="I120" s="396">
        <f>SUM(I115:I119)</f>
        <v>0</v>
      </c>
      <c r="J120" s="396">
        <f t="shared" ref="J120:Z120" si="45">SUM(J115:J119)</f>
        <v>0</v>
      </c>
      <c r="K120" s="396">
        <f t="shared" si="45"/>
        <v>0</v>
      </c>
      <c r="L120" s="396">
        <f t="shared" si="45"/>
        <v>0</v>
      </c>
      <c r="M120" s="396">
        <f t="shared" si="45"/>
        <v>0</v>
      </c>
      <c r="N120" s="396">
        <f t="shared" si="45"/>
        <v>0</v>
      </c>
      <c r="O120" s="396">
        <f t="shared" si="45"/>
        <v>0</v>
      </c>
      <c r="P120" s="396">
        <f t="shared" si="45"/>
        <v>0</v>
      </c>
      <c r="Q120" s="396">
        <f t="shared" si="45"/>
        <v>0</v>
      </c>
      <c r="R120" s="396">
        <f t="shared" si="45"/>
        <v>0</v>
      </c>
      <c r="S120" s="396">
        <f t="shared" si="45"/>
        <v>0</v>
      </c>
      <c r="T120" s="396">
        <f t="shared" si="45"/>
        <v>0</v>
      </c>
      <c r="U120" s="396">
        <f t="shared" si="45"/>
        <v>0</v>
      </c>
      <c r="V120" s="396">
        <f t="shared" si="45"/>
        <v>0</v>
      </c>
      <c r="W120" s="396">
        <f t="shared" si="45"/>
        <v>0</v>
      </c>
      <c r="X120" s="396">
        <f t="shared" si="45"/>
        <v>0</v>
      </c>
      <c r="Y120" s="396">
        <f t="shared" si="45"/>
        <v>0</v>
      </c>
      <c r="Z120" s="396">
        <f t="shared" si="45"/>
        <v>0</v>
      </c>
      <c r="AA120" s="396">
        <f>SUM(AA115:AA119)</f>
        <v>0</v>
      </c>
      <c r="AB120" s="396">
        <f>SUM(AB115:AB119)</f>
        <v>0</v>
      </c>
      <c r="AC120" s="396">
        <f>SUM(AC115:AC119)</f>
        <v>0</v>
      </c>
    </row>
    <row r="121" spans="1:29">
      <c r="C121" s="208"/>
      <c r="D121" s="208"/>
      <c r="E121" s="208"/>
      <c r="F121" s="208"/>
      <c r="G121" s="208"/>
      <c r="H121" s="208"/>
      <c r="I121" s="208"/>
      <c r="J121" s="334"/>
      <c r="K121" s="208"/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</row>
    <row r="122" spans="1:29">
      <c r="A122" s="337" t="s">
        <v>415</v>
      </c>
      <c r="D122" s="208"/>
      <c r="E122" s="208"/>
      <c r="F122" s="208"/>
      <c r="G122" s="208"/>
      <c r="H122" s="334"/>
    </row>
    <row r="123" spans="1:29">
      <c r="C123" t="str">
        <f>+C106</f>
        <v>Funding 1</v>
      </c>
      <c r="D123" s="208"/>
      <c r="E123" s="208"/>
      <c r="F123" s="208"/>
      <c r="G123" s="208"/>
      <c r="H123" s="334"/>
      <c r="I123" s="338">
        <f>IF($M89=0,0,IF($Q89="SL",SLN($M89,$N89,$P89)*IF(YEAR($O89)&lt;(J$3-1),IF(YEAR($O89)+$P89=J$3-1,(MONTH($O89)-1)/12,IF(YEAR($O89)+$P89&lt;J$3-1,0,1)),IF(YEAR($O89)&gt;J$3-1,0,(12-MONTH($O89)+1)/12)),IF(YEAR($O89)&gt;J$3-1,0,VDB($M89,$N89,$P89,IF(YEAR($O89)=J$3-1,0,MIN($P89,(DATE(J$3-1,1,1)-$O89)/365)),MIN($P89,(DATE(J$3-1,12,31)-$O89)/365),$R89))))</f>
        <v>0</v>
      </c>
      <c r="J123" s="338">
        <f t="shared" ref="J123:S124" si="46">IF($M89=0,0,IF($Q89="SL",SLN($M89,$N89,$P89)*IF(YEAR($O89)&lt;J$3,IF(YEAR($O89)+$P89=J$3,(MONTH($O89)-1)/12,IF(YEAR($O89)+$P89&lt;J$3,0,1)),IF(YEAR($O89)&gt;J$3,0,(12-MONTH($O89)+1)/12)),IF(YEAR($O89)&gt;J$3,0,VDB($M89,$N89,$P89,IF(YEAR($O89)=J$3,0,MIN($P89,(DATE(J$3,1,1)-$O89)/365)),MIN($P89,(DATE(J$3,12,31)-$O89)/365),$R89))))</f>
        <v>0</v>
      </c>
      <c r="K123" s="338">
        <f t="shared" si="46"/>
        <v>0</v>
      </c>
      <c r="L123" s="338">
        <f t="shared" si="46"/>
        <v>0</v>
      </c>
      <c r="M123" s="338">
        <f t="shared" si="46"/>
        <v>0</v>
      </c>
      <c r="N123" s="338">
        <f t="shared" si="46"/>
        <v>0</v>
      </c>
      <c r="O123" s="338">
        <f t="shared" si="46"/>
        <v>0</v>
      </c>
      <c r="P123" s="338">
        <f t="shared" si="46"/>
        <v>0</v>
      </c>
      <c r="Q123" s="338">
        <f t="shared" si="46"/>
        <v>0</v>
      </c>
      <c r="R123" s="338">
        <f t="shared" si="46"/>
        <v>0</v>
      </c>
      <c r="S123" s="338">
        <f t="shared" si="46"/>
        <v>0</v>
      </c>
      <c r="T123" s="338">
        <f t="shared" ref="T123:AC124" si="47">IF($M89=0,0,IF($Q89="SL",SLN($M89,$N89,$P89)*IF(YEAR($O89)&lt;T$3,IF(YEAR($O89)+$P89=T$3,(MONTH($O89)-1)/12,IF(YEAR($O89)+$P89&lt;T$3,0,1)),IF(YEAR($O89)&gt;T$3,0,(12-MONTH($O89)+1)/12)),IF(YEAR($O89)&gt;T$3,0,VDB($M89,$N89,$P89,IF(YEAR($O89)=T$3,0,MIN($P89,(DATE(T$3,1,1)-$O89)/365)),MIN($P89,(DATE(T$3,12,31)-$O89)/365),$R89))))</f>
        <v>0</v>
      </c>
      <c r="U123" s="338">
        <f t="shared" si="47"/>
        <v>0</v>
      </c>
      <c r="V123" s="338">
        <f t="shared" si="47"/>
        <v>0</v>
      </c>
      <c r="W123" s="338">
        <f t="shared" si="47"/>
        <v>0</v>
      </c>
      <c r="X123" s="338">
        <f t="shared" si="47"/>
        <v>0</v>
      </c>
      <c r="Y123" s="338">
        <f t="shared" si="47"/>
        <v>0</v>
      </c>
      <c r="Z123" s="338">
        <f t="shared" si="47"/>
        <v>0</v>
      </c>
      <c r="AA123" s="338">
        <f t="shared" si="47"/>
        <v>0</v>
      </c>
      <c r="AB123" s="338">
        <f t="shared" si="47"/>
        <v>0</v>
      </c>
      <c r="AC123" s="338">
        <f t="shared" si="47"/>
        <v>0</v>
      </c>
    </row>
    <row r="124" spans="1:29">
      <c r="A124" s="339"/>
      <c r="C124" t="str">
        <f>+C107</f>
        <v>Funding 2</v>
      </c>
      <c r="D124" s="208"/>
      <c r="E124" s="208"/>
      <c r="F124" s="208"/>
      <c r="G124" s="208"/>
      <c r="H124" s="334"/>
      <c r="I124" s="338">
        <f>IF($M90=0,0,IF($Q90="SL",SLN($M90,$N90,$P90)*IF(YEAR($O90)&lt;(J$3-1),IF(YEAR($O90)+$P90=J$3-1,(MONTH($O90)-1)/12,IF(YEAR($O90)+$P90&lt;J$3-1,0,1)),IF(YEAR($O90)&gt;J$3-1,0,(12-MONTH($O90)+1)/12)),IF(YEAR($O90)&gt;J$3-1,0,VDB($M90,$N90,$P90,IF(YEAR($O90)=J$3-1,0,MIN($P90,(DATE(J$3-1,1,1)-$O90)/365)),MIN($P90,(DATE(J$3-1,12,31)-$O90)/365),$R90))))</f>
        <v>0</v>
      </c>
      <c r="J124" s="338">
        <f t="shared" si="46"/>
        <v>0</v>
      </c>
      <c r="K124" s="338">
        <f t="shared" si="46"/>
        <v>0</v>
      </c>
      <c r="L124" s="338">
        <f t="shared" si="46"/>
        <v>0</v>
      </c>
      <c r="M124" s="338">
        <f t="shared" si="46"/>
        <v>0</v>
      </c>
      <c r="N124" s="338">
        <f t="shared" si="46"/>
        <v>0</v>
      </c>
      <c r="O124" s="338">
        <f t="shared" si="46"/>
        <v>0</v>
      </c>
      <c r="P124" s="338">
        <f t="shared" si="46"/>
        <v>0</v>
      </c>
      <c r="Q124" s="338">
        <f t="shared" si="46"/>
        <v>0</v>
      </c>
      <c r="R124" s="338">
        <f t="shared" si="46"/>
        <v>0</v>
      </c>
      <c r="S124" s="338">
        <f t="shared" si="46"/>
        <v>0</v>
      </c>
      <c r="T124" s="338">
        <f t="shared" si="47"/>
        <v>0</v>
      </c>
      <c r="U124" s="338">
        <f t="shared" si="47"/>
        <v>0</v>
      </c>
      <c r="V124" s="338">
        <f t="shared" si="47"/>
        <v>0</v>
      </c>
      <c r="W124" s="338">
        <f t="shared" si="47"/>
        <v>0</v>
      </c>
      <c r="X124" s="338">
        <f t="shared" si="47"/>
        <v>0</v>
      </c>
      <c r="Y124" s="338">
        <f t="shared" si="47"/>
        <v>0</v>
      </c>
      <c r="Z124" s="338">
        <f t="shared" si="47"/>
        <v>0</v>
      </c>
      <c r="AA124" s="338">
        <f t="shared" si="47"/>
        <v>0</v>
      </c>
      <c r="AB124" s="338">
        <f t="shared" si="47"/>
        <v>0</v>
      </c>
      <c r="AC124" s="338">
        <f t="shared" si="47"/>
        <v>0</v>
      </c>
    </row>
    <row r="125" spans="1:29">
      <c r="A125" s="339"/>
      <c r="B125" s="337" t="s">
        <v>467</v>
      </c>
      <c r="D125" s="208"/>
      <c r="E125" s="208"/>
      <c r="F125" s="208"/>
      <c r="G125" s="208"/>
      <c r="H125" s="334"/>
      <c r="I125" s="439">
        <f>+I124+I123</f>
        <v>0</v>
      </c>
      <c r="J125" s="439">
        <f t="shared" ref="J125:Z125" si="48">+J124+J123</f>
        <v>0</v>
      </c>
      <c r="K125" s="439">
        <f t="shared" si="48"/>
        <v>0</v>
      </c>
      <c r="L125" s="439">
        <f t="shared" si="48"/>
        <v>0</v>
      </c>
      <c r="M125" s="439">
        <f t="shared" si="48"/>
        <v>0</v>
      </c>
      <c r="N125" s="439">
        <f t="shared" si="48"/>
        <v>0</v>
      </c>
      <c r="O125" s="439">
        <f t="shared" si="48"/>
        <v>0</v>
      </c>
      <c r="P125" s="439">
        <f t="shared" si="48"/>
        <v>0</v>
      </c>
      <c r="Q125" s="439">
        <f t="shared" si="48"/>
        <v>0</v>
      </c>
      <c r="R125" s="439">
        <f t="shared" si="48"/>
        <v>0</v>
      </c>
      <c r="S125" s="439">
        <f t="shared" si="48"/>
        <v>0</v>
      </c>
      <c r="T125" s="439">
        <f t="shared" si="48"/>
        <v>0</v>
      </c>
      <c r="U125" s="439">
        <f t="shared" si="48"/>
        <v>0</v>
      </c>
      <c r="V125" s="439">
        <f t="shared" si="48"/>
        <v>0</v>
      </c>
      <c r="W125" s="439">
        <f t="shared" si="48"/>
        <v>0</v>
      </c>
      <c r="X125" s="439">
        <f t="shared" si="48"/>
        <v>0</v>
      </c>
      <c r="Y125" s="439">
        <f t="shared" si="48"/>
        <v>0</v>
      </c>
      <c r="Z125" s="439">
        <f t="shared" si="48"/>
        <v>0</v>
      </c>
      <c r="AA125" s="439">
        <f>+AA124+AA123</f>
        <v>0</v>
      </c>
      <c r="AB125" s="439">
        <f>+AB124+AB123</f>
        <v>0</v>
      </c>
      <c r="AC125" s="439">
        <f>+AC124+AC123</f>
        <v>0</v>
      </c>
    </row>
    <row r="126" spans="1:29">
      <c r="C126" s="208"/>
      <c r="D126" s="208"/>
      <c r="E126" s="208"/>
      <c r="F126" s="208"/>
      <c r="G126" s="208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</row>
    <row r="127" spans="1:29">
      <c r="A127" s="337" t="s">
        <v>470</v>
      </c>
      <c r="I127" s="335">
        <f>+I120+I125</f>
        <v>0</v>
      </c>
      <c r="J127" s="335">
        <f t="shared" ref="J127:Z127" si="49">+J120+J125</f>
        <v>0</v>
      </c>
      <c r="K127" s="335">
        <f t="shared" si="49"/>
        <v>0</v>
      </c>
      <c r="L127" s="335">
        <f t="shared" si="49"/>
        <v>0</v>
      </c>
      <c r="M127" s="335">
        <f t="shared" si="49"/>
        <v>0</v>
      </c>
      <c r="N127" s="335">
        <f t="shared" si="49"/>
        <v>0</v>
      </c>
      <c r="O127" s="335">
        <f t="shared" si="49"/>
        <v>0</v>
      </c>
      <c r="P127" s="335">
        <f t="shared" si="49"/>
        <v>0</v>
      </c>
      <c r="Q127" s="335">
        <f t="shared" si="49"/>
        <v>0</v>
      </c>
      <c r="R127" s="335">
        <f t="shared" si="49"/>
        <v>0</v>
      </c>
      <c r="S127" s="335">
        <f t="shared" si="49"/>
        <v>0</v>
      </c>
      <c r="T127" s="335">
        <f t="shared" si="49"/>
        <v>0</v>
      </c>
      <c r="U127" s="335">
        <f t="shared" si="49"/>
        <v>0</v>
      </c>
      <c r="V127" s="335">
        <f t="shared" si="49"/>
        <v>0</v>
      </c>
      <c r="W127" s="335">
        <f t="shared" si="49"/>
        <v>0</v>
      </c>
      <c r="X127" s="335">
        <f t="shared" si="49"/>
        <v>0</v>
      </c>
      <c r="Y127" s="335">
        <f t="shared" si="49"/>
        <v>0</v>
      </c>
      <c r="Z127" s="335">
        <f t="shared" si="49"/>
        <v>0</v>
      </c>
      <c r="AA127" s="335">
        <f>+AA120+AA125</f>
        <v>0</v>
      </c>
      <c r="AB127" s="335">
        <f>+AB120+AB125</f>
        <v>0</v>
      </c>
      <c r="AC127" s="335">
        <f>+AC120+AC125</f>
        <v>0</v>
      </c>
    </row>
    <row r="128" spans="1:29">
      <c r="A128" s="337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  <c r="AA128" s="335"/>
      <c r="AB128" s="335"/>
      <c r="AC128" s="335"/>
    </row>
    <row r="129" spans="1:29" ht="12" thickBot="1">
      <c r="A129" s="347"/>
      <c r="B129" s="302"/>
      <c r="C129" s="302"/>
      <c r="D129" s="302"/>
      <c r="E129" s="302"/>
      <c r="F129" s="302"/>
      <c r="G129" s="302"/>
      <c r="H129" s="302"/>
      <c r="I129" s="348"/>
      <c r="J129" s="348"/>
      <c r="K129" s="348"/>
      <c r="L129" s="348"/>
      <c r="M129" s="348"/>
      <c r="N129" s="348"/>
      <c r="O129" s="348"/>
      <c r="P129" s="348"/>
      <c r="Q129" s="348"/>
      <c r="R129" s="348"/>
      <c r="S129" s="348"/>
      <c r="T129" s="348"/>
      <c r="U129" s="348"/>
      <c r="V129" s="348"/>
      <c r="W129" s="348"/>
      <c r="X129" s="348"/>
      <c r="Y129" s="348"/>
      <c r="Z129" s="348"/>
      <c r="AA129" s="348"/>
      <c r="AB129" s="348"/>
      <c r="AC129" s="348"/>
    </row>
    <row r="130" spans="1:29" ht="12.75" thickTop="1" thickBot="1">
      <c r="A130" s="337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  <c r="AA130" s="335"/>
      <c r="AB130" s="335"/>
      <c r="AC130" s="335"/>
    </row>
    <row r="131" spans="1:29" ht="12.75" thickTop="1" thickBot="1">
      <c r="A131" s="15" t="s">
        <v>213</v>
      </c>
      <c r="H131" s="402">
        <f t="shared" ref="H131:Q131" ca="1" si="50">+EOP</f>
        <v>36341</v>
      </c>
      <c r="I131" s="402">
        <f t="shared" si="50"/>
        <v>36525</v>
      </c>
      <c r="J131" s="402">
        <f t="shared" si="50"/>
        <v>36891</v>
      </c>
      <c r="K131" s="402">
        <f t="shared" si="50"/>
        <v>37256</v>
      </c>
      <c r="L131" s="402">
        <f t="shared" si="50"/>
        <v>37621</v>
      </c>
      <c r="M131" s="402">
        <f t="shared" si="50"/>
        <v>37986</v>
      </c>
      <c r="N131" s="402">
        <f t="shared" si="50"/>
        <v>38352</v>
      </c>
      <c r="O131" s="402">
        <f t="shared" si="50"/>
        <v>38717</v>
      </c>
      <c r="P131" s="402">
        <f t="shared" si="50"/>
        <v>39082</v>
      </c>
      <c r="Q131" s="402">
        <f t="shared" si="50"/>
        <v>39447</v>
      </c>
      <c r="R131" s="402">
        <f t="shared" ref="R131:AC131" si="51">+EOP</f>
        <v>39813</v>
      </c>
      <c r="S131" s="402">
        <f t="shared" si="51"/>
        <v>40178</v>
      </c>
      <c r="T131" s="402">
        <f t="shared" si="51"/>
        <v>40543</v>
      </c>
      <c r="U131" s="402">
        <f t="shared" si="51"/>
        <v>40908</v>
      </c>
      <c r="V131" s="402">
        <f t="shared" si="51"/>
        <v>41274</v>
      </c>
      <c r="W131" s="402">
        <f t="shared" si="51"/>
        <v>41639</v>
      </c>
      <c r="X131" s="402">
        <f t="shared" si="51"/>
        <v>42004</v>
      </c>
      <c r="Y131" s="402">
        <f t="shared" si="51"/>
        <v>42369</v>
      </c>
      <c r="Z131" s="402">
        <f t="shared" si="51"/>
        <v>42735</v>
      </c>
      <c r="AA131" s="402">
        <f t="shared" si="51"/>
        <v>43100</v>
      </c>
      <c r="AB131" s="402">
        <f t="shared" si="51"/>
        <v>43465</v>
      </c>
      <c r="AC131" s="402">
        <f t="shared" si="51"/>
        <v>43830</v>
      </c>
    </row>
    <row r="132" spans="1:29" ht="12" thickTop="1"/>
    <row r="133" spans="1:29">
      <c r="B133" s="339" t="s">
        <v>471</v>
      </c>
      <c r="I133" s="5">
        <f>+I862</f>
        <v>0</v>
      </c>
      <c r="J133" s="5">
        <f>+I133+I134-I140</f>
        <v>0</v>
      </c>
      <c r="K133" s="5">
        <f t="shared" ref="K133:Z133" si="52">+J133+J134-J140</f>
        <v>0</v>
      </c>
      <c r="L133" s="5">
        <f t="shared" si="52"/>
        <v>0</v>
      </c>
      <c r="M133" s="5">
        <f t="shared" si="52"/>
        <v>0</v>
      </c>
      <c r="N133" s="5">
        <f t="shared" si="52"/>
        <v>0</v>
      </c>
      <c r="O133" s="5">
        <f t="shared" si="52"/>
        <v>0</v>
      </c>
      <c r="P133" s="5">
        <f t="shared" si="52"/>
        <v>21.431593893078762</v>
      </c>
      <c r="Q133" s="5">
        <f t="shared" si="52"/>
        <v>22.208802591753514</v>
      </c>
      <c r="R133" s="5">
        <f t="shared" si="52"/>
        <v>31.3069685310948</v>
      </c>
      <c r="S133" s="5">
        <f t="shared" si="52"/>
        <v>25.246675027440691</v>
      </c>
      <c r="T133" s="5">
        <f t="shared" si="52"/>
        <v>20.112053425777361</v>
      </c>
      <c r="U133" s="5">
        <f t="shared" si="52"/>
        <v>15.798360025320321</v>
      </c>
      <c r="V133" s="5">
        <f t="shared" si="52"/>
        <v>12.182312939375198</v>
      </c>
      <c r="W133" s="5">
        <f t="shared" si="52"/>
        <v>9.2132852829823673</v>
      </c>
      <c r="X133" s="5">
        <f t="shared" si="52"/>
        <v>6.7784409264301733</v>
      </c>
      <c r="Y133" s="5">
        <f t="shared" si="52"/>
        <v>4.8032377990553767</v>
      </c>
      <c r="Z133" s="5">
        <f t="shared" si="52"/>
        <v>3.2465984900921105</v>
      </c>
      <c r="AA133" s="5">
        <f>+Z133+Z134-Z140</f>
        <v>2.1030848390606831</v>
      </c>
      <c r="AB133" s="5">
        <f>+AA133+AA134-AA140</f>
        <v>1.2286575589010671</v>
      </c>
      <c r="AC133" s="5">
        <f>+AB133+AB134-AB140</f>
        <v>0.5559855604294327</v>
      </c>
    </row>
    <row r="134" spans="1:29">
      <c r="B134" s="349" t="s">
        <v>215</v>
      </c>
      <c r="D134" s="227"/>
      <c r="E134" s="5"/>
      <c r="F134" s="5"/>
      <c r="G134" s="5"/>
      <c r="H134" s="232">
        <v>0</v>
      </c>
      <c r="I134" s="5">
        <f>+I155</f>
        <v>0</v>
      </c>
      <c r="J134" s="5">
        <f t="shared" ref="J134:Z134" si="53">+J155</f>
        <v>0</v>
      </c>
      <c r="K134" s="5">
        <f t="shared" si="53"/>
        <v>0</v>
      </c>
      <c r="L134" s="5">
        <f t="shared" si="53"/>
        <v>0</v>
      </c>
      <c r="M134" s="5">
        <f t="shared" si="53"/>
        <v>0</v>
      </c>
      <c r="N134" s="5">
        <f t="shared" si="53"/>
        <v>0</v>
      </c>
      <c r="O134" s="5">
        <f t="shared" si="53"/>
        <v>25.811</v>
      </c>
      <c r="P134" s="5">
        <f t="shared" si="53"/>
        <v>5.5119999999999996</v>
      </c>
      <c r="Q134" s="5">
        <f t="shared" si="53"/>
        <v>16.2</v>
      </c>
      <c r="R134" s="5">
        <f t="shared" si="53"/>
        <v>0</v>
      </c>
      <c r="S134" s="5">
        <f t="shared" si="53"/>
        <v>0</v>
      </c>
      <c r="T134" s="5">
        <f t="shared" si="53"/>
        <v>0</v>
      </c>
      <c r="U134" s="5">
        <f t="shared" si="53"/>
        <v>0</v>
      </c>
      <c r="V134" s="5">
        <f t="shared" si="53"/>
        <v>0</v>
      </c>
      <c r="W134" s="5">
        <f t="shared" si="53"/>
        <v>0</v>
      </c>
      <c r="X134" s="5">
        <f t="shared" si="53"/>
        <v>0</v>
      </c>
      <c r="Y134" s="5">
        <f t="shared" si="53"/>
        <v>0</v>
      </c>
      <c r="Z134" s="5">
        <f t="shared" si="53"/>
        <v>0</v>
      </c>
      <c r="AA134" s="5">
        <f>+AA155</f>
        <v>0</v>
      </c>
      <c r="AB134" s="5">
        <f>+AB155</f>
        <v>0</v>
      </c>
      <c r="AC134" s="5">
        <f>+AC155</f>
        <v>0</v>
      </c>
    </row>
    <row r="135" spans="1:29">
      <c r="A135" s="5"/>
      <c r="B135" s="5"/>
      <c r="E135" s="5"/>
      <c r="F135" s="5"/>
      <c r="G135" s="16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>
      <c r="B136" s="5"/>
      <c r="D136" s="193" t="s">
        <v>216</v>
      </c>
      <c r="E136" s="5"/>
      <c r="F136" s="5"/>
      <c r="G136" s="71" t="s">
        <v>217</v>
      </c>
      <c r="I136" s="5">
        <f>IF($D$137=0,0,(I666+I696+(I681/$D$137)))</f>
        <v>225.52949077375473</v>
      </c>
      <c r="J136" s="5">
        <f t="shared" ref="J136:Y136" si="54">IF($D$137=0,0,(J666+J696+(J681/$D$137)))</f>
        <v>509.02231488084283</v>
      </c>
      <c r="K136" s="5">
        <f t="shared" si="54"/>
        <v>476.47697952758983</v>
      </c>
      <c r="L136" s="5">
        <f t="shared" si="54"/>
        <v>451.75662279290714</v>
      </c>
      <c r="M136" s="5">
        <f t="shared" si="54"/>
        <v>423.71928887629173</v>
      </c>
      <c r="N136" s="5">
        <f t="shared" si="54"/>
        <v>389.43869875623813</v>
      </c>
      <c r="O136" s="5">
        <f t="shared" si="54"/>
        <v>341.08571760200368</v>
      </c>
      <c r="P136" s="5">
        <f t="shared" si="54"/>
        <v>293.32434065054792</v>
      </c>
      <c r="Q136" s="5">
        <f t="shared" si="54"/>
        <v>254.39710115789882</v>
      </c>
      <c r="R136" s="5">
        <f t="shared" si="54"/>
        <v>217.08773907238449</v>
      </c>
      <c r="S136" s="5">
        <f t="shared" si="54"/>
        <v>183.92894565671139</v>
      </c>
      <c r="T136" s="5">
        <f t="shared" si="54"/>
        <v>154.52221031737889</v>
      </c>
      <c r="U136" s="5">
        <f t="shared" si="54"/>
        <v>129.5315954241801</v>
      </c>
      <c r="V136" s="5">
        <f t="shared" si="54"/>
        <v>106.35450259646151</v>
      </c>
      <c r="W136" s="5">
        <f t="shared" si="54"/>
        <v>87.219349366224804</v>
      </c>
      <c r="X136" s="5">
        <f t="shared" si="54"/>
        <v>70.754391824744715</v>
      </c>
      <c r="Y136" s="5">
        <f t="shared" si="54"/>
        <v>55.760881536558919</v>
      </c>
      <c r="Z136" s="5">
        <f>IF($D$137=0,0,(Z666+Z696+(Z681/$D$137)))</f>
        <v>40.962173358623623</v>
      </c>
      <c r="AA136" s="5">
        <f>IF($D$137=0,0,(AA666+AA696+(AA681/$D$137)))</f>
        <v>31.323143197372772</v>
      </c>
      <c r="AB136" s="5">
        <f>IF($D$137=0,0,(AB666+AB696+(AB681/$D$137)))</f>
        <v>24.096001818634722</v>
      </c>
      <c r="AC136" s="5">
        <f>IF($D$137=0,0,(AC666+AC696+(AC681/$D$137)))</f>
        <v>19.916139077710078</v>
      </c>
    </row>
    <row r="137" spans="1:29">
      <c r="D137" s="366">
        <v>6</v>
      </c>
      <c r="G137" s="341" t="s">
        <v>472</v>
      </c>
      <c r="I137" s="79">
        <f t="shared" ref="I137:R137" si="55">+I133+I134</f>
        <v>0</v>
      </c>
      <c r="J137" s="79">
        <f t="shared" si="55"/>
        <v>0</v>
      </c>
      <c r="K137" s="79">
        <f t="shared" si="55"/>
        <v>0</v>
      </c>
      <c r="L137" s="79">
        <f t="shared" si="55"/>
        <v>0</v>
      </c>
      <c r="M137" s="79">
        <f t="shared" si="55"/>
        <v>0</v>
      </c>
      <c r="N137" s="79">
        <f t="shared" si="55"/>
        <v>0</v>
      </c>
      <c r="O137" s="79">
        <f t="shared" si="55"/>
        <v>25.811</v>
      </c>
      <c r="P137" s="79">
        <f t="shared" si="55"/>
        <v>26.943593893078763</v>
      </c>
      <c r="Q137" s="79">
        <f t="shared" si="55"/>
        <v>38.408802591753513</v>
      </c>
      <c r="R137" s="79">
        <f t="shared" si="55"/>
        <v>31.3069685310948</v>
      </c>
      <c r="S137" s="79">
        <f t="shared" ref="S137:AC137" si="56">+S133+S134</f>
        <v>25.246675027440691</v>
      </c>
      <c r="T137" s="79">
        <f t="shared" si="56"/>
        <v>20.112053425777361</v>
      </c>
      <c r="U137" s="79">
        <f t="shared" si="56"/>
        <v>15.798360025320321</v>
      </c>
      <c r="V137" s="79">
        <f t="shared" si="56"/>
        <v>12.182312939375198</v>
      </c>
      <c r="W137" s="79">
        <f t="shared" si="56"/>
        <v>9.2132852829823673</v>
      </c>
      <c r="X137" s="79">
        <f t="shared" si="56"/>
        <v>6.7784409264301733</v>
      </c>
      <c r="Y137" s="79">
        <f t="shared" si="56"/>
        <v>4.8032377990553767</v>
      </c>
      <c r="Z137" s="79">
        <f t="shared" si="56"/>
        <v>3.2465984900921105</v>
      </c>
      <c r="AA137" s="79">
        <f t="shared" si="56"/>
        <v>2.1030848390606831</v>
      </c>
      <c r="AB137" s="79">
        <f t="shared" si="56"/>
        <v>1.2286575589010671</v>
      </c>
      <c r="AC137" s="79">
        <f t="shared" si="56"/>
        <v>0.5559855604294327</v>
      </c>
    </row>
    <row r="138" spans="1:29">
      <c r="A138" s="74"/>
      <c r="G138" s="295" t="s">
        <v>219</v>
      </c>
      <c r="I138" s="79">
        <f>SUM(I136:$AC136)</f>
        <v>4486.2076282650605</v>
      </c>
      <c r="J138" s="79">
        <f>SUM(J136:$AC136)</f>
        <v>4260.6781374913062</v>
      </c>
      <c r="K138" s="79">
        <f>SUM(K136:$AC136)</f>
        <v>3751.6558226104626</v>
      </c>
      <c r="L138" s="79">
        <f>SUM(L136:$AC136)</f>
        <v>3275.1788430828728</v>
      </c>
      <c r="M138" s="79">
        <f>SUM(M136:$AC136)</f>
        <v>2823.4222202899655</v>
      </c>
      <c r="N138" s="79">
        <f>SUM(N136:$AC136)</f>
        <v>2399.7029314136744</v>
      </c>
      <c r="O138" s="79">
        <f>SUM(O136:$AC136)</f>
        <v>2010.2642326574364</v>
      </c>
      <c r="P138" s="79">
        <f>SUM(P136:$AC136)</f>
        <v>1669.1785150554329</v>
      </c>
      <c r="Q138" s="79">
        <f>SUM(Q136:$AC136)</f>
        <v>1375.8541744048848</v>
      </c>
      <c r="R138" s="79">
        <f>SUM(R136:$AC136)</f>
        <v>1121.4570732469861</v>
      </c>
      <c r="S138" s="79">
        <f>SUM(S136:$AC136)</f>
        <v>904.3693341746017</v>
      </c>
      <c r="T138" s="79">
        <f>SUM(T136:$AC136)</f>
        <v>720.44038851789037</v>
      </c>
      <c r="U138" s="79">
        <f>SUM(U136:$AC136)</f>
        <v>565.91817820051131</v>
      </c>
      <c r="V138" s="79">
        <f>SUM(V136:$AC136)</f>
        <v>436.38658277633107</v>
      </c>
      <c r="W138" s="79">
        <f>SUM(W136:$AC136)</f>
        <v>330.03208017986958</v>
      </c>
      <c r="X138" s="79">
        <f>SUM(X136:$AC136)</f>
        <v>242.81273081364486</v>
      </c>
      <c r="Y138" s="79">
        <f>SUM(Y136:$AC136)</f>
        <v>172.05833898890012</v>
      </c>
      <c r="Z138" s="79">
        <f>SUM(Z136:$AC136)</f>
        <v>116.29745745234118</v>
      </c>
      <c r="AA138" s="79">
        <f>SUM(AA136:$AC136)</f>
        <v>75.335284093717576</v>
      </c>
      <c r="AB138" s="79">
        <f>SUM(AB136:$AC136)</f>
        <v>44.012140896344803</v>
      </c>
      <c r="AC138" s="79">
        <f>SUM(AC136:$AC136)</f>
        <v>19.916139077710078</v>
      </c>
    </row>
    <row r="139" spans="1:29">
      <c r="D139" s="280"/>
      <c r="G139" s="6" t="s">
        <v>220</v>
      </c>
      <c r="I139" s="280">
        <f t="shared" ref="I139:Q139" si="57">IF(I138=0,0,I137/I138)</f>
        <v>0</v>
      </c>
      <c r="J139" s="280">
        <f t="shared" si="57"/>
        <v>0</v>
      </c>
      <c r="K139" s="280">
        <f t="shared" si="57"/>
        <v>0</v>
      </c>
      <c r="L139" s="280">
        <f t="shared" si="57"/>
        <v>0</v>
      </c>
      <c r="M139" s="280">
        <f t="shared" si="57"/>
        <v>0</v>
      </c>
      <c r="N139" s="280">
        <f t="shared" si="57"/>
        <v>0</v>
      </c>
      <c r="O139" s="280">
        <f t="shared" si="57"/>
        <v>1.2839605650188365E-2</v>
      </c>
      <c r="P139" s="280">
        <f t="shared" si="57"/>
        <v>1.6141828839789478E-2</v>
      </c>
      <c r="Q139" s="280">
        <f t="shared" si="57"/>
        <v>2.7916332490953807E-2</v>
      </c>
      <c r="R139" s="280">
        <f t="shared" ref="R139:AC139" si="58">IF(R138=0,0,R137/R138)</f>
        <v>2.7916332490953807E-2</v>
      </c>
      <c r="S139" s="280">
        <f t="shared" si="58"/>
        <v>2.7916332490953804E-2</v>
      </c>
      <c r="T139" s="280">
        <f t="shared" si="58"/>
        <v>2.79163324909538E-2</v>
      </c>
      <c r="U139" s="280">
        <f t="shared" si="58"/>
        <v>2.7916332490953807E-2</v>
      </c>
      <c r="V139" s="280">
        <f t="shared" si="58"/>
        <v>2.7916332490953814E-2</v>
      </c>
      <c r="W139" s="280">
        <f t="shared" si="58"/>
        <v>2.7916332490953814E-2</v>
      </c>
      <c r="X139" s="280">
        <f t="shared" si="58"/>
        <v>2.79163324909538E-2</v>
      </c>
      <c r="Y139" s="280">
        <f t="shared" si="58"/>
        <v>2.7916332490953807E-2</v>
      </c>
      <c r="Z139" s="280">
        <f t="shared" si="58"/>
        <v>2.7916332490953811E-2</v>
      </c>
      <c r="AA139" s="280">
        <f t="shared" si="58"/>
        <v>2.79163324909538E-2</v>
      </c>
      <c r="AB139" s="280">
        <f t="shared" si="58"/>
        <v>2.7916332490953804E-2</v>
      </c>
      <c r="AC139" s="280">
        <f t="shared" si="58"/>
        <v>2.7916332490953811E-2</v>
      </c>
    </row>
    <row r="140" spans="1:29">
      <c r="A140" s="5"/>
      <c r="B140" s="5"/>
      <c r="E140" s="5"/>
      <c r="F140" s="5"/>
      <c r="G140" s="6" t="s">
        <v>221</v>
      </c>
      <c r="I140">
        <f t="shared" ref="I140:Q140" si="59">I139*I136</f>
        <v>0</v>
      </c>
      <c r="J140" s="476">
        <f t="shared" si="59"/>
        <v>0</v>
      </c>
      <c r="K140" s="476">
        <f t="shared" si="59"/>
        <v>0</v>
      </c>
      <c r="L140" s="476">
        <f t="shared" si="59"/>
        <v>0</v>
      </c>
      <c r="M140" s="476">
        <f t="shared" si="59"/>
        <v>0</v>
      </c>
      <c r="N140" s="476">
        <f t="shared" si="59"/>
        <v>0</v>
      </c>
      <c r="O140" s="476">
        <f t="shared" si="59"/>
        <v>4.3794061069212393</v>
      </c>
      <c r="P140" s="476">
        <f t="shared" si="59"/>
        <v>4.7347913013252478</v>
      </c>
      <c r="Q140" s="476">
        <f t="shared" si="59"/>
        <v>7.1018340606587129</v>
      </c>
      <c r="R140" s="476">
        <f t="shared" ref="R140:AC140" si="60">R139*R136</f>
        <v>6.0602935036541092</v>
      </c>
      <c r="S140" s="476">
        <f t="shared" si="60"/>
        <v>5.134621601663329</v>
      </c>
      <c r="T140" s="476">
        <f t="shared" si="60"/>
        <v>4.3136934004570406</v>
      </c>
      <c r="U140" s="476">
        <f t="shared" si="60"/>
        <v>3.6160470859451221</v>
      </c>
      <c r="V140" s="476">
        <f t="shared" si="60"/>
        <v>2.9690276563928304</v>
      </c>
      <c r="W140" s="476">
        <f t="shared" si="60"/>
        <v>2.4348443565521936</v>
      </c>
      <c r="X140" s="476">
        <f t="shared" si="60"/>
        <v>1.9752031273747968</v>
      </c>
      <c r="Y140" s="476">
        <f t="shared" si="60"/>
        <v>1.556639308963266</v>
      </c>
      <c r="Z140" s="476">
        <f t="shared" si="60"/>
        <v>1.1435136510314272</v>
      </c>
      <c r="AA140" s="476">
        <f t="shared" si="60"/>
        <v>0.87442728015961602</v>
      </c>
      <c r="AB140" s="476">
        <f t="shared" si="60"/>
        <v>0.67267199847163439</v>
      </c>
      <c r="AC140" s="476">
        <f t="shared" si="60"/>
        <v>0.5559855604294327</v>
      </c>
    </row>
    <row r="141" spans="1:29">
      <c r="A141" s="337"/>
      <c r="H141" s="341" t="s">
        <v>473</v>
      </c>
      <c r="I141">
        <f>SUM(I140:AC140)-(I133+SUM(I134:AC134))</f>
        <v>0</v>
      </c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  <c r="AA141" s="335"/>
      <c r="AB141" s="335"/>
      <c r="AC141" s="335"/>
    </row>
    <row r="142" spans="1:29" ht="12" thickBot="1">
      <c r="A142" s="347"/>
      <c r="B142" s="302"/>
      <c r="C142" s="302"/>
      <c r="D142" s="302"/>
      <c r="E142" s="302"/>
      <c r="F142" s="302"/>
      <c r="G142" s="302"/>
      <c r="H142" s="302"/>
      <c r="I142" s="348"/>
      <c r="J142" s="348"/>
      <c r="K142" s="348"/>
      <c r="L142" s="348"/>
      <c r="M142" s="348"/>
      <c r="N142" s="348"/>
      <c r="O142" s="348"/>
      <c r="P142" s="348"/>
      <c r="Q142" s="348"/>
      <c r="R142" s="348"/>
      <c r="S142" s="348"/>
      <c r="T142" s="348"/>
      <c r="U142" s="348"/>
      <c r="V142" s="348"/>
      <c r="W142" s="348"/>
      <c r="X142" s="348"/>
      <c r="Y142" s="348"/>
      <c r="Z142" s="348"/>
      <c r="AA142" s="348"/>
      <c r="AB142" s="348"/>
      <c r="AC142" s="348"/>
    </row>
    <row r="143" spans="1:29" ht="12.75" thickTop="1" thickBot="1">
      <c r="A143" s="337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  <c r="AA143" s="335"/>
      <c r="AB143" s="335"/>
      <c r="AC143" s="335"/>
    </row>
    <row r="144" spans="1:29" ht="12.75" thickTop="1" thickBot="1">
      <c r="A144" s="19" t="s">
        <v>382</v>
      </c>
      <c r="I144" s="166" t="str">
        <f ca="1">+I$3</f>
        <v xml:space="preserve">6 M/1999 </v>
      </c>
      <c r="J144" s="166">
        <f t="shared" ref="J144:Z144" si="61">+J$3</f>
        <v>2000</v>
      </c>
      <c r="K144" s="166">
        <f t="shared" si="61"/>
        <v>2001</v>
      </c>
      <c r="L144" s="166">
        <f t="shared" si="61"/>
        <v>2002</v>
      </c>
      <c r="M144" s="166">
        <f t="shared" si="61"/>
        <v>2003</v>
      </c>
      <c r="N144" s="166">
        <f t="shared" si="61"/>
        <v>2004</v>
      </c>
      <c r="O144" s="166">
        <f t="shared" si="61"/>
        <v>2005</v>
      </c>
      <c r="P144" s="166">
        <f t="shared" si="61"/>
        <v>2006</v>
      </c>
      <c r="Q144" s="166">
        <f t="shared" si="61"/>
        <v>2007</v>
      </c>
      <c r="R144" s="166">
        <f t="shared" si="61"/>
        <v>2008</v>
      </c>
      <c r="S144" s="166">
        <f t="shared" si="61"/>
        <v>2009</v>
      </c>
      <c r="T144" s="166">
        <f t="shared" si="61"/>
        <v>2010</v>
      </c>
      <c r="U144" s="166">
        <f t="shared" si="61"/>
        <v>2011</v>
      </c>
      <c r="V144" s="166">
        <f t="shared" si="61"/>
        <v>2012</v>
      </c>
      <c r="W144" s="166">
        <f t="shared" si="61"/>
        <v>2013</v>
      </c>
      <c r="X144" s="166">
        <f t="shared" si="61"/>
        <v>2014</v>
      </c>
      <c r="Y144" s="166">
        <f t="shared" si="61"/>
        <v>2015</v>
      </c>
      <c r="Z144" s="166">
        <f t="shared" si="61"/>
        <v>2016</v>
      </c>
      <c r="AA144" s="166">
        <f>+AA$3</f>
        <v>2017</v>
      </c>
      <c r="AB144" s="166">
        <f>+AB$3</f>
        <v>2018</v>
      </c>
      <c r="AC144" s="166">
        <f>+AC$3</f>
        <v>2019</v>
      </c>
    </row>
    <row r="145" spans="1:29" ht="12" thickTop="1">
      <c r="A145" s="19"/>
      <c r="B145" s="15" t="s">
        <v>474</v>
      </c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  <c r="AA145" s="335"/>
      <c r="AB145" s="335"/>
      <c r="AC145" s="335"/>
    </row>
    <row r="146" spans="1:29">
      <c r="A146" s="337"/>
      <c r="B146" s="339" t="s">
        <v>475</v>
      </c>
      <c r="I146" s="335">
        <f>+I159-I153-I147</f>
        <v>0</v>
      </c>
      <c r="J146" s="335">
        <f t="shared" ref="J146:Z146" si="62">+J159-J153-J147</f>
        <v>0</v>
      </c>
      <c r="K146" s="335">
        <f t="shared" si="62"/>
        <v>0</v>
      </c>
      <c r="L146" s="335">
        <f t="shared" si="62"/>
        <v>0</v>
      </c>
      <c r="M146" s="335">
        <f t="shared" si="62"/>
        <v>0</v>
      </c>
      <c r="N146" s="335">
        <f t="shared" si="62"/>
        <v>0</v>
      </c>
      <c r="O146" s="335">
        <f t="shared" si="62"/>
        <v>0</v>
      </c>
      <c r="P146" s="335">
        <f t="shared" si="62"/>
        <v>0</v>
      </c>
      <c r="Q146" s="335">
        <f t="shared" si="62"/>
        <v>0</v>
      </c>
      <c r="R146" s="335">
        <f t="shared" si="62"/>
        <v>0</v>
      </c>
      <c r="S146" s="335">
        <f t="shared" si="62"/>
        <v>0</v>
      </c>
      <c r="T146" s="335">
        <f t="shared" si="62"/>
        <v>0</v>
      </c>
      <c r="U146" s="335">
        <f t="shared" si="62"/>
        <v>0</v>
      </c>
      <c r="V146" s="335">
        <f t="shared" si="62"/>
        <v>0</v>
      </c>
      <c r="W146" s="335">
        <f t="shared" si="62"/>
        <v>0</v>
      </c>
      <c r="X146" s="335">
        <f t="shared" si="62"/>
        <v>0</v>
      </c>
      <c r="Y146" s="335">
        <f t="shared" si="62"/>
        <v>0</v>
      </c>
      <c r="Z146" s="335">
        <f t="shared" si="62"/>
        <v>0</v>
      </c>
      <c r="AA146" s="335">
        <f>+AA159-AA153-AA147</f>
        <v>0</v>
      </c>
      <c r="AB146" s="335">
        <f>+AB159-AB153-AB147</f>
        <v>0</v>
      </c>
      <c r="AC146" s="335">
        <f>+AC159-AC153-AC147</f>
        <v>0</v>
      </c>
    </row>
    <row r="147" spans="1:29">
      <c r="A147" s="337"/>
      <c r="B147" t="str">
        <f>"Type 1 Cap Ex for O&amp;G Reserves {excluding Type 2 Cap Ex for Class B Reserves}"</f>
        <v>Type 1 Cap Ex for O&amp;G Reserves {excluding Type 2 Cap Ex for Class B Reserves}</v>
      </c>
      <c r="I147" s="400">
        <f>+I46-I152</f>
        <v>0</v>
      </c>
      <c r="J147" s="400">
        <f t="shared" ref="J147:Z147" si="63">+J46-J152</f>
        <v>0</v>
      </c>
      <c r="K147" s="400">
        <f t="shared" si="63"/>
        <v>0</v>
      </c>
      <c r="L147" s="400">
        <f t="shared" si="63"/>
        <v>0</v>
      </c>
      <c r="M147" s="400">
        <f t="shared" si="63"/>
        <v>0</v>
      </c>
      <c r="N147" s="400">
        <f t="shared" si="63"/>
        <v>0</v>
      </c>
      <c r="O147" s="400">
        <f t="shared" si="63"/>
        <v>25.811</v>
      </c>
      <c r="P147" s="400">
        <f t="shared" si="63"/>
        <v>5.5119999999999996</v>
      </c>
      <c r="Q147" s="400">
        <f t="shared" si="63"/>
        <v>16.2</v>
      </c>
      <c r="R147" s="400">
        <f t="shared" si="63"/>
        <v>0</v>
      </c>
      <c r="S147" s="400">
        <f t="shared" si="63"/>
        <v>0</v>
      </c>
      <c r="T147" s="400">
        <f t="shared" si="63"/>
        <v>0</v>
      </c>
      <c r="U147" s="400">
        <f t="shared" si="63"/>
        <v>0</v>
      </c>
      <c r="V147" s="400">
        <f t="shared" si="63"/>
        <v>0</v>
      </c>
      <c r="W147" s="400">
        <f t="shared" si="63"/>
        <v>0</v>
      </c>
      <c r="X147" s="400">
        <f t="shared" si="63"/>
        <v>0</v>
      </c>
      <c r="Y147" s="400">
        <f t="shared" si="63"/>
        <v>0</v>
      </c>
      <c r="Z147" s="400">
        <f t="shared" si="63"/>
        <v>0</v>
      </c>
      <c r="AA147" s="400">
        <f>+AA46-AA152</f>
        <v>0</v>
      </c>
      <c r="AB147" s="400">
        <f>+AB46-AB152</f>
        <v>0</v>
      </c>
      <c r="AC147" s="400">
        <f>+AC46-AC152</f>
        <v>0</v>
      </c>
    </row>
    <row r="148" spans="1:29">
      <c r="A148" s="337"/>
      <c r="B148" t="s">
        <v>476</v>
      </c>
      <c r="I148" s="396">
        <f>+I147+I146</f>
        <v>0</v>
      </c>
      <c r="J148" s="396">
        <f t="shared" ref="J148:Z148" si="64">+J147+J146</f>
        <v>0</v>
      </c>
      <c r="K148" s="396">
        <f t="shared" si="64"/>
        <v>0</v>
      </c>
      <c r="L148" s="396">
        <f t="shared" si="64"/>
        <v>0</v>
      </c>
      <c r="M148" s="396">
        <f t="shared" si="64"/>
        <v>0</v>
      </c>
      <c r="N148" s="396">
        <f t="shared" si="64"/>
        <v>0</v>
      </c>
      <c r="O148" s="396">
        <f t="shared" si="64"/>
        <v>25.811</v>
      </c>
      <c r="P148" s="396">
        <f t="shared" si="64"/>
        <v>5.5119999999999996</v>
      </c>
      <c r="Q148" s="396">
        <f t="shared" si="64"/>
        <v>16.2</v>
      </c>
      <c r="R148" s="396">
        <f t="shared" si="64"/>
        <v>0</v>
      </c>
      <c r="S148" s="396">
        <f t="shared" si="64"/>
        <v>0</v>
      </c>
      <c r="T148" s="396">
        <f t="shared" si="64"/>
        <v>0</v>
      </c>
      <c r="U148" s="396">
        <f t="shared" si="64"/>
        <v>0</v>
      </c>
      <c r="V148" s="396">
        <f t="shared" si="64"/>
        <v>0</v>
      </c>
      <c r="W148" s="396">
        <f t="shared" si="64"/>
        <v>0</v>
      </c>
      <c r="X148" s="396">
        <f t="shared" si="64"/>
        <v>0</v>
      </c>
      <c r="Y148" s="396">
        <f t="shared" si="64"/>
        <v>0</v>
      </c>
      <c r="Z148" s="396">
        <f t="shared" si="64"/>
        <v>0</v>
      </c>
      <c r="AA148" s="396">
        <f>+AA147+AA146</f>
        <v>0</v>
      </c>
      <c r="AB148" s="396">
        <f>+AB147+AB146</f>
        <v>0</v>
      </c>
      <c r="AC148" s="396">
        <f>+AC147+AC146</f>
        <v>0</v>
      </c>
    </row>
    <row r="149" spans="1:29">
      <c r="A149" s="337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  <c r="AA149" s="335"/>
      <c r="AB149" s="335"/>
      <c r="AC149" s="335"/>
    </row>
    <row r="150" spans="1:29">
      <c r="A150" s="337"/>
      <c r="B150" s="15" t="s">
        <v>477</v>
      </c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  <c r="AA150" s="335"/>
      <c r="AB150" s="335"/>
      <c r="AC150" s="335"/>
    </row>
    <row r="151" spans="1:29">
      <c r="A151" s="337"/>
      <c r="B151" s="83" t="s">
        <v>478</v>
      </c>
      <c r="I151" s="433">
        <v>0</v>
      </c>
      <c r="J151" s="433">
        <v>0</v>
      </c>
      <c r="K151" s="433">
        <v>0</v>
      </c>
      <c r="L151" s="433">
        <v>0</v>
      </c>
      <c r="M151" s="433">
        <v>0</v>
      </c>
      <c r="N151" s="433">
        <v>0</v>
      </c>
      <c r="O151" s="433">
        <v>0</v>
      </c>
      <c r="P151" s="433">
        <v>0</v>
      </c>
      <c r="Q151" s="433">
        <v>0</v>
      </c>
      <c r="R151" s="433">
        <v>0</v>
      </c>
      <c r="S151" s="433">
        <v>0</v>
      </c>
      <c r="T151" s="433">
        <v>0</v>
      </c>
      <c r="U151" s="433">
        <v>0</v>
      </c>
      <c r="V151" s="433">
        <v>0</v>
      </c>
      <c r="W151" s="433">
        <v>0</v>
      </c>
      <c r="X151" s="433">
        <v>0</v>
      </c>
      <c r="Y151" s="433">
        <v>0</v>
      </c>
      <c r="Z151" s="433">
        <v>0</v>
      </c>
      <c r="AA151" s="433">
        <v>0</v>
      </c>
      <c r="AB151" s="433">
        <v>0</v>
      </c>
      <c r="AC151" s="433">
        <v>0</v>
      </c>
    </row>
    <row r="152" spans="1:29">
      <c r="A152" s="337"/>
      <c r="B152" t="str">
        <f>"Type 2 Cap Ex for Class B Reserves"</f>
        <v>Type 2 Cap Ex for Class B Reserves</v>
      </c>
      <c r="I152" s="433">
        <v>0</v>
      </c>
      <c r="J152" s="433">
        <v>0</v>
      </c>
      <c r="K152" s="433">
        <v>0</v>
      </c>
      <c r="L152" s="433">
        <v>0</v>
      </c>
      <c r="M152" s="433">
        <v>0</v>
      </c>
      <c r="N152" s="433">
        <v>0</v>
      </c>
      <c r="O152" s="433">
        <v>0</v>
      </c>
      <c r="P152" s="433">
        <v>0</v>
      </c>
      <c r="Q152" s="433">
        <v>0</v>
      </c>
      <c r="R152" s="433">
        <v>0</v>
      </c>
      <c r="S152" s="433">
        <v>0</v>
      </c>
      <c r="T152" s="433">
        <v>0</v>
      </c>
      <c r="U152" s="433">
        <v>0</v>
      </c>
      <c r="V152" s="433">
        <v>0</v>
      </c>
      <c r="W152" s="433">
        <v>0</v>
      </c>
      <c r="X152" s="433">
        <v>0</v>
      </c>
      <c r="Y152" s="433">
        <v>0</v>
      </c>
      <c r="Z152" s="433">
        <v>0</v>
      </c>
      <c r="AA152" s="433">
        <v>0</v>
      </c>
      <c r="AB152" s="433">
        <v>0</v>
      </c>
      <c r="AC152" s="433">
        <v>0</v>
      </c>
    </row>
    <row r="153" spans="1:29">
      <c r="A153" s="337"/>
      <c r="B153" s="339" t="s">
        <v>479</v>
      </c>
      <c r="I153" s="516">
        <f>+I152+I151</f>
        <v>0</v>
      </c>
      <c r="J153" s="516">
        <f t="shared" ref="J153:Z153" si="65">+J152+J151</f>
        <v>0</v>
      </c>
      <c r="K153" s="516">
        <f t="shared" si="65"/>
        <v>0</v>
      </c>
      <c r="L153" s="516">
        <f t="shared" si="65"/>
        <v>0</v>
      </c>
      <c r="M153" s="516">
        <f t="shared" si="65"/>
        <v>0</v>
      </c>
      <c r="N153" s="516">
        <f t="shared" si="65"/>
        <v>0</v>
      </c>
      <c r="O153" s="516">
        <f t="shared" si="65"/>
        <v>0</v>
      </c>
      <c r="P153" s="516">
        <f t="shared" si="65"/>
        <v>0</v>
      </c>
      <c r="Q153" s="516">
        <f t="shared" si="65"/>
        <v>0</v>
      </c>
      <c r="R153" s="516">
        <f t="shared" si="65"/>
        <v>0</v>
      </c>
      <c r="S153" s="516">
        <f t="shared" si="65"/>
        <v>0</v>
      </c>
      <c r="T153" s="516">
        <f t="shared" si="65"/>
        <v>0</v>
      </c>
      <c r="U153" s="516">
        <f t="shared" si="65"/>
        <v>0</v>
      </c>
      <c r="V153" s="516">
        <f t="shared" si="65"/>
        <v>0</v>
      </c>
      <c r="W153" s="516">
        <f t="shared" si="65"/>
        <v>0</v>
      </c>
      <c r="X153" s="516">
        <f t="shared" si="65"/>
        <v>0</v>
      </c>
      <c r="Y153" s="516">
        <f t="shared" si="65"/>
        <v>0</v>
      </c>
      <c r="Z153" s="516">
        <f t="shared" si="65"/>
        <v>0</v>
      </c>
      <c r="AA153" s="516">
        <f>+AA152+AA151</f>
        <v>0</v>
      </c>
      <c r="AB153" s="516">
        <f>+AB152+AB151</f>
        <v>0</v>
      </c>
      <c r="AC153" s="516">
        <f>+AC152+AC151</f>
        <v>0</v>
      </c>
    </row>
    <row r="154" spans="1:29">
      <c r="A154" s="337"/>
      <c r="B154" s="339"/>
      <c r="I154" s="345"/>
      <c r="J154" s="345"/>
      <c r="K154" s="345"/>
      <c r="L154" s="345"/>
      <c r="M154" s="345"/>
      <c r="N154" s="345"/>
      <c r="O154" s="345"/>
      <c r="P154" s="345"/>
      <c r="Q154" s="345"/>
      <c r="R154" s="345"/>
      <c r="S154" s="345"/>
      <c r="T154" s="345"/>
      <c r="U154" s="345"/>
      <c r="V154" s="345"/>
      <c r="W154" s="345"/>
      <c r="X154" s="345"/>
      <c r="Y154" s="345"/>
      <c r="Z154" s="345"/>
      <c r="AA154" s="345"/>
      <c r="AB154" s="345"/>
      <c r="AC154" s="345"/>
    </row>
    <row r="155" spans="1:29">
      <c r="A155" s="337"/>
      <c r="B155" s="19" t="s">
        <v>480</v>
      </c>
      <c r="I155" s="400">
        <f>+I46</f>
        <v>0</v>
      </c>
      <c r="J155" s="400">
        <f t="shared" ref="J155:Z155" si="66">+J46</f>
        <v>0</v>
      </c>
      <c r="K155" s="400">
        <f t="shared" si="66"/>
        <v>0</v>
      </c>
      <c r="L155" s="400">
        <f t="shared" si="66"/>
        <v>0</v>
      </c>
      <c r="M155" s="400">
        <f t="shared" si="66"/>
        <v>0</v>
      </c>
      <c r="N155" s="400">
        <f t="shared" si="66"/>
        <v>0</v>
      </c>
      <c r="O155" s="400">
        <f t="shared" si="66"/>
        <v>25.811</v>
      </c>
      <c r="P155" s="400">
        <f t="shared" si="66"/>
        <v>5.5119999999999996</v>
      </c>
      <c r="Q155" s="400">
        <f t="shared" si="66"/>
        <v>16.2</v>
      </c>
      <c r="R155" s="400">
        <f t="shared" si="66"/>
        <v>0</v>
      </c>
      <c r="S155" s="400">
        <f t="shared" si="66"/>
        <v>0</v>
      </c>
      <c r="T155" s="400">
        <f t="shared" si="66"/>
        <v>0</v>
      </c>
      <c r="U155" s="400">
        <f t="shared" si="66"/>
        <v>0</v>
      </c>
      <c r="V155" s="400">
        <f t="shared" si="66"/>
        <v>0</v>
      </c>
      <c r="W155" s="400">
        <f t="shared" si="66"/>
        <v>0</v>
      </c>
      <c r="X155" s="400">
        <f t="shared" si="66"/>
        <v>0</v>
      </c>
      <c r="Y155" s="400">
        <f t="shared" si="66"/>
        <v>0</v>
      </c>
      <c r="Z155" s="400">
        <f t="shared" si="66"/>
        <v>0</v>
      </c>
      <c r="AA155" s="400">
        <f>+AA46</f>
        <v>0</v>
      </c>
      <c r="AB155" s="400">
        <f>+AB46</f>
        <v>0</v>
      </c>
      <c r="AC155" s="400">
        <f>+AC46</f>
        <v>0</v>
      </c>
    </row>
    <row r="156" spans="1:29">
      <c r="A156" s="337"/>
      <c r="B156" s="337" t="s">
        <v>389</v>
      </c>
      <c r="I156" s="400">
        <f>+I58</f>
        <v>0</v>
      </c>
      <c r="J156" s="400">
        <f t="shared" ref="J156:Z156" si="67">+J58</f>
        <v>0</v>
      </c>
      <c r="K156" s="400">
        <f t="shared" si="67"/>
        <v>0</v>
      </c>
      <c r="L156" s="400">
        <f t="shared" si="67"/>
        <v>0</v>
      </c>
      <c r="M156" s="400">
        <f t="shared" si="67"/>
        <v>0</v>
      </c>
      <c r="N156" s="400">
        <f t="shared" si="67"/>
        <v>0</v>
      </c>
      <c r="O156" s="400">
        <f t="shared" si="67"/>
        <v>0</v>
      </c>
      <c r="P156" s="400">
        <f t="shared" si="67"/>
        <v>0</v>
      </c>
      <c r="Q156" s="400">
        <f t="shared" si="67"/>
        <v>0</v>
      </c>
      <c r="R156" s="400">
        <f t="shared" si="67"/>
        <v>0</v>
      </c>
      <c r="S156" s="400">
        <f t="shared" si="67"/>
        <v>0</v>
      </c>
      <c r="T156" s="400">
        <f t="shared" si="67"/>
        <v>0</v>
      </c>
      <c r="U156" s="400">
        <f t="shared" si="67"/>
        <v>0</v>
      </c>
      <c r="V156" s="400">
        <f t="shared" si="67"/>
        <v>0</v>
      </c>
      <c r="W156" s="400">
        <f t="shared" si="67"/>
        <v>0</v>
      </c>
      <c r="X156" s="400">
        <f t="shared" si="67"/>
        <v>0</v>
      </c>
      <c r="Y156" s="400">
        <f t="shared" si="67"/>
        <v>0</v>
      </c>
      <c r="Z156" s="400">
        <f t="shared" si="67"/>
        <v>0</v>
      </c>
      <c r="AA156" s="400">
        <f>+AA58</f>
        <v>0</v>
      </c>
      <c r="AB156" s="400">
        <f>+AB58</f>
        <v>0</v>
      </c>
      <c r="AC156" s="400">
        <f>+AC58</f>
        <v>0</v>
      </c>
    </row>
    <row r="157" spans="1:29">
      <c r="A157" s="337"/>
      <c r="B157" s="19" t="s">
        <v>353</v>
      </c>
      <c r="I157" s="400">
        <f>+I64</f>
        <v>0</v>
      </c>
      <c r="J157" s="400">
        <f t="shared" ref="J157:Z157" si="68">+J64</f>
        <v>0</v>
      </c>
      <c r="K157" s="400">
        <f t="shared" si="68"/>
        <v>0</v>
      </c>
      <c r="L157" s="400">
        <f t="shared" si="68"/>
        <v>0</v>
      </c>
      <c r="M157" s="400">
        <f t="shared" si="68"/>
        <v>0</v>
      </c>
      <c r="N157" s="400">
        <f t="shared" si="68"/>
        <v>0</v>
      </c>
      <c r="O157" s="400">
        <f t="shared" si="68"/>
        <v>0</v>
      </c>
      <c r="P157" s="400">
        <f t="shared" si="68"/>
        <v>0</v>
      </c>
      <c r="Q157" s="400">
        <f t="shared" si="68"/>
        <v>0</v>
      </c>
      <c r="R157" s="400">
        <f t="shared" si="68"/>
        <v>0</v>
      </c>
      <c r="S157" s="400">
        <f t="shared" si="68"/>
        <v>0</v>
      </c>
      <c r="T157" s="400">
        <f t="shared" si="68"/>
        <v>0</v>
      </c>
      <c r="U157" s="400">
        <f t="shared" si="68"/>
        <v>0</v>
      </c>
      <c r="V157" s="400">
        <f t="shared" si="68"/>
        <v>0</v>
      </c>
      <c r="W157" s="400">
        <f t="shared" si="68"/>
        <v>0</v>
      </c>
      <c r="X157" s="400">
        <f t="shared" si="68"/>
        <v>0</v>
      </c>
      <c r="Y157" s="400">
        <f t="shared" si="68"/>
        <v>0</v>
      </c>
      <c r="Z157" s="400">
        <f t="shared" si="68"/>
        <v>0</v>
      </c>
      <c r="AA157" s="400">
        <f>+AA64</f>
        <v>0</v>
      </c>
      <c r="AB157" s="400">
        <f>+AB64</f>
        <v>0</v>
      </c>
      <c r="AC157" s="400">
        <f>+AC64</f>
        <v>0</v>
      </c>
    </row>
    <row r="158" spans="1:29">
      <c r="A158" s="337"/>
      <c r="B158" s="19" t="s">
        <v>481</v>
      </c>
      <c r="I158" s="400">
        <f>+I67</f>
        <v>0</v>
      </c>
      <c r="J158" s="400">
        <f t="shared" ref="J158:Z158" si="69">+J67</f>
        <v>0</v>
      </c>
      <c r="K158" s="400">
        <f t="shared" si="69"/>
        <v>0</v>
      </c>
      <c r="L158" s="400">
        <f t="shared" si="69"/>
        <v>0</v>
      </c>
      <c r="M158" s="400">
        <f t="shared" si="69"/>
        <v>0</v>
      </c>
      <c r="N158" s="400">
        <f t="shared" si="69"/>
        <v>0</v>
      </c>
      <c r="O158" s="400">
        <f t="shared" si="69"/>
        <v>0</v>
      </c>
      <c r="P158" s="400">
        <f t="shared" si="69"/>
        <v>0</v>
      </c>
      <c r="Q158" s="400">
        <f t="shared" si="69"/>
        <v>0</v>
      </c>
      <c r="R158" s="400">
        <f t="shared" si="69"/>
        <v>0</v>
      </c>
      <c r="S158" s="400">
        <f t="shared" si="69"/>
        <v>0</v>
      </c>
      <c r="T158" s="400">
        <f t="shared" si="69"/>
        <v>0</v>
      </c>
      <c r="U158" s="400">
        <f t="shared" si="69"/>
        <v>0</v>
      </c>
      <c r="V158" s="400">
        <f t="shared" si="69"/>
        <v>0</v>
      </c>
      <c r="W158" s="400">
        <f t="shared" si="69"/>
        <v>0</v>
      </c>
      <c r="X158" s="400">
        <f t="shared" si="69"/>
        <v>0</v>
      </c>
      <c r="Y158" s="400">
        <f t="shared" si="69"/>
        <v>0</v>
      </c>
      <c r="Z158" s="400">
        <f t="shared" si="69"/>
        <v>0</v>
      </c>
      <c r="AA158" s="400">
        <f>+AA67</f>
        <v>0</v>
      </c>
      <c r="AB158" s="400">
        <f>+AB67</f>
        <v>0</v>
      </c>
      <c r="AC158" s="400">
        <f>+AC67</f>
        <v>0</v>
      </c>
    </row>
    <row r="159" spans="1:29">
      <c r="A159" s="337"/>
      <c r="B159" s="19" t="s">
        <v>421</v>
      </c>
      <c r="E159" s="342">
        <v>0</v>
      </c>
      <c r="F159" s="342">
        <v>853.34100000000001</v>
      </c>
      <c r="G159" s="342">
        <v>3370.2640000000001</v>
      </c>
      <c r="H159" s="342">
        <v>3411.2330000000002</v>
      </c>
      <c r="I159" s="396">
        <f>+I71</f>
        <v>0</v>
      </c>
      <c r="J159" s="396">
        <f t="shared" ref="J159:Z159" si="70">+J71</f>
        <v>0</v>
      </c>
      <c r="K159" s="396">
        <f t="shared" si="70"/>
        <v>0</v>
      </c>
      <c r="L159" s="396">
        <f t="shared" si="70"/>
        <v>0</v>
      </c>
      <c r="M159" s="396">
        <f t="shared" si="70"/>
        <v>0</v>
      </c>
      <c r="N159" s="396">
        <f t="shared" si="70"/>
        <v>0</v>
      </c>
      <c r="O159" s="396">
        <f t="shared" si="70"/>
        <v>25.811</v>
      </c>
      <c r="P159" s="396">
        <f t="shared" si="70"/>
        <v>5.5119999999999996</v>
      </c>
      <c r="Q159" s="396">
        <f t="shared" si="70"/>
        <v>16.2</v>
      </c>
      <c r="R159" s="396">
        <f t="shared" si="70"/>
        <v>0</v>
      </c>
      <c r="S159" s="396">
        <f t="shared" si="70"/>
        <v>0</v>
      </c>
      <c r="T159" s="396">
        <f t="shared" si="70"/>
        <v>0</v>
      </c>
      <c r="U159" s="396">
        <f t="shared" si="70"/>
        <v>0</v>
      </c>
      <c r="V159" s="396">
        <f t="shared" si="70"/>
        <v>0</v>
      </c>
      <c r="W159" s="396">
        <f t="shared" si="70"/>
        <v>0</v>
      </c>
      <c r="X159" s="396">
        <f t="shared" si="70"/>
        <v>0</v>
      </c>
      <c r="Y159" s="396">
        <f t="shared" si="70"/>
        <v>0</v>
      </c>
      <c r="Z159" s="396">
        <f t="shared" si="70"/>
        <v>0</v>
      </c>
      <c r="AA159" s="396">
        <f>+AA71</f>
        <v>0</v>
      </c>
      <c r="AB159" s="396">
        <f>+AB71</f>
        <v>0</v>
      </c>
      <c r="AC159" s="396">
        <f>+AC71</f>
        <v>0</v>
      </c>
    </row>
    <row r="160" spans="1:29">
      <c r="A160" s="337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  <c r="AA160" s="335"/>
      <c r="AB160" s="335"/>
      <c r="AC160" s="335"/>
    </row>
    <row r="161" spans="1:29">
      <c r="A161" s="337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  <c r="AA161" s="335"/>
      <c r="AB161" s="335"/>
      <c r="AC161" s="335"/>
    </row>
    <row r="162" spans="1:29">
      <c r="A162" s="337"/>
      <c r="B162" s="337" t="s">
        <v>482</v>
      </c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  <c r="AA162" s="335"/>
      <c r="AB162" s="335"/>
      <c r="AC162" s="335"/>
    </row>
    <row r="163" spans="1:29">
      <c r="A163" s="337"/>
      <c r="B163" t="s">
        <v>483</v>
      </c>
      <c r="E163" s="343">
        <v>0</v>
      </c>
      <c r="F163" s="343">
        <v>0</v>
      </c>
      <c r="G163" s="343">
        <v>0</v>
      </c>
      <c r="H163" s="343">
        <v>0</v>
      </c>
      <c r="I163" s="343">
        <v>0</v>
      </c>
      <c r="J163" s="343">
        <v>0</v>
      </c>
      <c r="K163" s="343">
        <v>0</v>
      </c>
      <c r="L163" s="343">
        <v>0</v>
      </c>
      <c r="M163" s="343">
        <v>0</v>
      </c>
      <c r="N163" s="343">
        <v>0</v>
      </c>
      <c r="O163" s="343">
        <v>0</v>
      </c>
      <c r="P163" s="343">
        <v>0</v>
      </c>
      <c r="Q163" s="343">
        <v>0</v>
      </c>
      <c r="R163" s="343">
        <v>0</v>
      </c>
      <c r="S163" s="343">
        <v>0</v>
      </c>
      <c r="T163" s="343">
        <v>0</v>
      </c>
      <c r="U163" s="343">
        <v>0</v>
      </c>
      <c r="V163" s="343">
        <v>0</v>
      </c>
      <c r="W163" s="343">
        <v>0</v>
      </c>
      <c r="X163" s="343">
        <v>0</v>
      </c>
      <c r="Y163" s="343">
        <v>0</v>
      </c>
      <c r="Z163" s="343">
        <v>0</v>
      </c>
      <c r="AA163" s="343">
        <v>0</v>
      </c>
      <c r="AB163" s="343">
        <v>0</v>
      </c>
      <c r="AC163" s="343">
        <v>0</v>
      </c>
    </row>
    <row r="164" spans="1:29">
      <c r="A164" s="337"/>
      <c r="B164" s="339" t="s">
        <v>484</v>
      </c>
      <c r="E164" s="476"/>
      <c r="F164" s="476"/>
      <c r="G164" s="476"/>
      <c r="H164" s="476"/>
      <c r="I164" s="476">
        <f>+I103</f>
        <v>0</v>
      </c>
      <c r="J164" s="476">
        <f t="shared" ref="J164:Z164" si="71">+J103</f>
        <v>0</v>
      </c>
      <c r="K164" s="476">
        <f t="shared" si="71"/>
        <v>0</v>
      </c>
      <c r="L164" s="476">
        <f t="shared" si="71"/>
        <v>0</v>
      </c>
      <c r="M164" s="476">
        <f t="shared" si="71"/>
        <v>0</v>
      </c>
      <c r="N164" s="476">
        <f t="shared" si="71"/>
        <v>0</v>
      </c>
      <c r="O164" s="476">
        <f t="shared" si="71"/>
        <v>0</v>
      </c>
      <c r="P164" s="476">
        <f t="shared" si="71"/>
        <v>0</v>
      </c>
      <c r="Q164" s="476">
        <f t="shared" si="71"/>
        <v>0</v>
      </c>
      <c r="R164" s="476">
        <f t="shared" si="71"/>
        <v>0</v>
      </c>
      <c r="S164" s="476">
        <f t="shared" si="71"/>
        <v>0</v>
      </c>
      <c r="T164" s="476">
        <f t="shared" si="71"/>
        <v>0</v>
      </c>
      <c r="U164" s="476">
        <f t="shared" si="71"/>
        <v>0</v>
      </c>
      <c r="V164" s="476">
        <f t="shared" si="71"/>
        <v>0</v>
      </c>
      <c r="W164" s="476">
        <f t="shared" si="71"/>
        <v>0</v>
      </c>
      <c r="X164" s="476">
        <f t="shared" si="71"/>
        <v>0</v>
      </c>
      <c r="Y164" s="476">
        <f t="shared" si="71"/>
        <v>0</v>
      </c>
      <c r="Z164" s="476">
        <f t="shared" si="71"/>
        <v>0</v>
      </c>
      <c r="AA164" s="476">
        <f>+AA103</f>
        <v>0</v>
      </c>
      <c r="AB164" s="476">
        <f>+AB103</f>
        <v>0</v>
      </c>
      <c r="AC164" s="476">
        <f>+AC103</f>
        <v>0</v>
      </c>
    </row>
    <row r="165" spans="1:29">
      <c r="A165" s="337"/>
      <c r="B165" s="339" t="s">
        <v>485</v>
      </c>
      <c r="E165" s="620">
        <f>+E163</f>
        <v>0</v>
      </c>
      <c r="F165" s="620">
        <f>+F163</f>
        <v>0</v>
      </c>
      <c r="G165" s="620">
        <f>+G163</f>
        <v>0</v>
      </c>
      <c r="H165" s="620">
        <f>+H163</f>
        <v>0</v>
      </c>
      <c r="I165" s="620">
        <f>+I164+I163</f>
        <v>0</v>
      </c>
      <c r="J165" s="620">
        <f t="shared" ref="J165:Z165" si="72">+J164+J163</f>
        <v>0</v>
      </c>
      <c r="K165" s="620">
        <f t="shared" si="72"/>
        <v>0</v>
      </c>
      <c r="L165" s="620">
        <f t="shared" si="72"/>
        <v>0</v>
      </c>
      <c r="M165" s="620">
        <f t="shared" si="72"/>
        <v>0</v>
      </c>
      <c r="N165" s="620">
        <f t="shared" si="72"/>
        <v>0</v>
      </c>
      <c r="O165" s="620">
        <f t="shared" si="72"/>
        <v>0</v>
      </c>
      <c r="P165" s="620">
        <f t="shared" si="72"/>
        <v>0</v>
      </c>
      <c r="Q165" s="620">
        <f t="shared" si="72"/>
        <v>0</v>
      </c>
      <c r="R165" s="620">
        <f t="shared" si="72"/>
        <v>0</v>
      </c>
      <c r="S165" s="620">
        <f t="shared" si="72"/>
        <v>0</v>
      </c>
      <c r="T165" s="620">
        <f t="shared" si="72"/>
        <v>0</v>
      </c>
      <c r="U165" s="620">
        <f t="shared" si="72"/>
        <v>0</v>
      </c>
      <c r="V165" s="620">
        <f t="shared" si="72"/>
        <v>0</v>
      </c>
      <c r="W165" s="620">
        <f t="shared" si="72"/>
        <v>0</v>
      </c>
      <c r="X165" s="620">
        <f t="shared" si="72"/>
        <v>0</v>
      </c>
      <c r="Y165" s="620">
        <f t="shared" si="72"/>
        <v>0</v>
      </c>
      <c r="Z165" s="620">
        <f t="shared" si="72"/>
        <v>0</v>
      </c>
      <c r="AA165" s="620">
        <f>+AA164+AA163</f>
        <v>0</v>
      </c>
      <c r="AB165" s="620">
        <f>+AB164+AB163</f>
        <v>0</v>
      </c>
      <c r="AC165" s="620">
        <f>+AC164+AC163</f>
        <v>0</v>
      </c>
    </row>
    <row r="166" spans="1:29">
      <c r="A166" s="337"/>
      <c r="B166" s="308" t="s">
        <v>362</v>
      </c>
      <c r="E166" s="343">
        <v>0</v>
      </c>
      <c r="F166" s="343">
        <v>0</v>
      </c>
      <c r="G166" s="343">
        <v>0</v>
      </c>
      <c r="H166" s="343"/>
      <c r="I166" s="622">
        <f>+I140</f>
        <v>0</v>
      </c>
      <c r="J166" s="622">
        <f t="shared" ref="J166:Z166" si="73">+J140</f>
        <v>0</v>
      </c>
      <c r="K166" s="622">
        <f t="shared" si="73"/>
        <v>0</v>
      </c>
      <c r="L166" s="622">
        <f t="shared" si="73"/>
        <v>0</v>
      </c>
      <c r="M166" s="622">
        <f t="shared" si="73"/>
        <v>0</v>
      </c>
      <c r="N166" s="622">
        <f t="shared" si="73"/>
        <v>0</v>
      </c>
      <c r="O166" s="622">
        <f t="shared" si="73"/>
        <v>4.3794061069212393</v>
      </c>
      <c r="P166" s="622">
        <f t="shared" si="73"/>
        <v>4.7347913013252478</v>
      </c>
      <c r="Q166" s="622">
        <f t="shared" si="73"/>
        <v>7.1018340606587129</v>
      </c>
      <c r="R166" s="622">
        <f t="shared" si="73"/>
        <v>6.0602935036541092</v>
      </c>
      <c r="S166" s="622">
        <f t="shared" si="73"/>
        <v>5.134621601663329</v>
      </c>
      <c r="T166" s="622">
        <f t="shared" si="73"/>
        <v>4.3136934004570406</v>
      </c>
      <c r="U166" s="622">
        <f t="shared" si="73"/>
        <v>3.6160470859451221</v>
      </c>
      <c r="V166" s="622">
        <f t="shared" si="73"/>
        <v>2.9690276563928304</v>
      </c>
      <c r="W166" s="622">
        <f t="shared" si="73"/>
        <v>2.4348443565521936</v>
      </c>
      <c r="X166" s="622">
        <f t="shared" si="73"/>
        <v>1.9752031273747968</v>
      </c>
      <c r="Y166" s="622">
        <f t="shared" si="73"/>
        <v>1.556639308963266</v>
      </c>
      <c r="Z166" s="622">
        <f t="shared" si="73"/>
        <v>1.1435136510314272</v>
      </c>
      <c r="AA166" s="622">
        <f>+AA140</f>
        <v>0.87442728015961602</v>
      </c>
      <c r="AB166" s="622">
        <f>+AB140</f>
        <v>0.67267199847163439</v>
      </c>
      <c r="AC166" s="622">
        <f>+AC140</f>
        <v>0.5559855604294327</v>
      </c>
    </row>
    <row r="167" spans="1:29">
      <c r="A167" s="337"/>
      <c r="B167" s="339" t="s">
        <v>486</v>
      </c>
      <c r="E167" s="622"/>
      <c r="F167" s="622"/>
      <c r="G167" s="622"/>
      <c r="H167" s="622"/>
      <c r="I167" s="622">
        <f>+I108</f>
        <v>0</v>
      </c>
      <c r="J167" s="622">
        <f t="shared" ref="J167:Z167" si="74">+J108</f>
        <v>0</v>
      </c>
      <c r="K167" s="622">
        <f t="shared" si="74"/>
        <v>0</v>
      </c>
      <c r="L167" s="622">
        <f t="shared" si="74"/>
        <v>0</v>
      </c>
      <c r="M167" s="622">
        <f t="shared" si="74"/>
        <v>0</v>
      </c>
      <c r="N167" s="622">
        <f t="shared" si="74"/>
        <v>0</v>
      </c>
      <c r="O167" s="622">
        <f t="shared" si="74"/>
        <v>0</v>
      </c>
      <c r="P167" s="622">
        <f t="shared" si="74"/>
        <v>0</v>
      </c>
      <c r="Q167" s="622">
        <f t="shared" si="74"/>
        <v>0</v>
      </c>
      <c r="R167" s="622">
        <f t="shared" si="74"/>
        <v>0</v>
      </c>
      <c r="S167" s="622">
        <f t="shared" si="74"/>
        <v>0</v>
      </c>
      <c r="T167" s="622">
        <f t="shared" si="74"/>
        <v>0</v>
      </c>
      <c r="U167" s="622">
        <f t="shared" si="74"/>
        <v>0</v>
      </c>
      <c r="V167" s="622">
        <f t="shared" si="74"/>
        <v>0</v>
      </c>
      <c r="W167" s="622">
        <f t="shared" si="74"/>
        <v>0</v>
      </c>
      <c r="X167" s="622">
        <f t="shared" si="74"/>
        <v>0</v>
      </c>
      <c r="Y167" s="622">
        <f t="shared" si="74"/>
        <v>0</v>
      </c>
      <c r="Z167" s="622">
        <f t="shared" si="74"/>
        <v>0</v>
      </c>
      <c r="AA167" s="622">
        <f>+AA108</f>
        <v>0</v>
      </c>
      <c r="AB167" s="622">
        <f>+AB108</f>
        <v>0</v>
      </c>
      <c r="AC167" s="622">
        <f>+AC108</f>
        <v>0</v>
      </c>
    </row>
    <row r="168" spans="1:29">
      <c r="A168" s="337"/>
      <c r="E168" s="476"/>
      <c r="F168" s="476"/>
      <c r="G168" s="476"/>
      <c r="H168" s="476"/>
      <c r="I168" s="476"/>
      <c r="J168" s="476"/>
      <c r="K168" s="476"/>
      <c r="L168" s="476"/>
      <c r="M168" s="476"/>
      <c r="N168" s="476"/>
      <c r="O168" s="476"/>
      <c r="P168" s="476"/>
      <c r="Q168" s="476"/>
      <c r="R168" s="476"/>
      <c r="S168" s="476"/>
      <c r="T168" s="476"/>
      <c r="U168" s="476"/>
      <c r="V168" s="476"/>
      <c r="W168" s="476"/>
      <c r="X168" s="476"/>
      <c r="Y168" s="476"/>
      <c r="Z168" s="476"/>
      <c r="AA168" s="476"/>
      <c r="AB168" s="476"/>
      <c r="AC168" s="476"/>
    </row>
    <row r="169" spans="1:29">
      <c r="A169" s="337"/>
      <c r="B169" s="337" t="s">
        <v>487</v>
      </c>
      <c r="E169" s="476"/>
      <c r="F169" s="476"/>
      <c r="G169" s="476"/>
      <c r="H169" s="476"/>
      <c r="I169" s="476"/>
      <c r="J169" s="476"/>
      <c r="K169" s="476"/>
      <c r="L169" s="476"/>
      <c r="M169" s="476"/>
      <c r="N169" s="476"/>
      <c r="O169" s="476"/>
      <c r="P169" s="476"/>
      <c r="Q169" s="476"/>
      <c r="R169" s="476"/>
      <c r="S169" s="476"/>
      <c r="T169" s="476"/>
      <c r="U169" s="476"/>
      <c r="V169" s="476"/>
      <c r="W169" s="476"/>
      <c r="X169" s="476"/>
      <c r="Y169" s="476"/>
      <c r="Z169" s="476"/>
      <c r="AA169" s="476"/>
      <c r="AB169" s="476"/>
      <c r="AC169" s="476"/>
    </row>
    <row r="170" spans="1:29">
      <c r="A170" s="337"/>
      <c r="B170" t="s">
        <v>483</v>
      </c>
      <c r="E170" s="343">
        <v>0</v>
      </c>
      <c r="F170" s="343">
        <v>0</v>
      </c>
      <c r="G170" s="343">
        <v>0</v>
      </c>
      <c r="H170" s="343">
        <v>0</v>
      </c>
      <c r="I170" s="343">
        <v>0</v>
      </c>
      <c r="J170" s="343">
        <v>0</v>
      </c>
      <c r="K170" s="343">
        <v>0</v>
      </c>
      <c r="L170" s="343">
        <v>0</v>
      </c>
      <c r="M170" s="343">
        <v>0</v>
      </c>
      <c r="N170" s="343">
        <v>0</v>
      </c>
      <c r="O170" s="343">
        <v>0</v>
      </c>
      <c r="P170" s="343">
        <v>0</v>
      </c>
      <c r="Q170" s="343">
        <v>0</v>
      </c>
      <c r="R170" s="343">
        <v>0</v>
      </c>
      <c r="S170" s="343">
        <v>0</v>
      </c>
      <c r="T170" s="343">
        <v>0</v>
      </c>
      <c r="U170" s="343">
        <v>0</v>
      </c>
      <c r="V170" s="343">
        <v>0</v>
      </c>
      <c r="W170" s="343">
        <v>0</v>
      </c>
      <c r="X170" s="343">
        <v>0</v>
      </c>
      <c r="Y170" s="343">
        <v>0</v>
      </c>
      <c r="Z170" s="343">
        <v>0</v>
      </c>
      <c r="AA170" s="343">
        <v>0</v>
      </c>
      <c r="AB170" s="343">
        <v>0</v>
      </c>
      <c r="AC170" s="343">
        <v>0</v>
      </c>
    </row>
    <row r="171" spans="1:29">
      <c r="A171" s="337"/>
      <c r="B171" s="339" t="s">
        <v>484</v>
      </c>
      <c r="E171" s="476"/>
      <c r="F171" s="476"/>
      <c r="G171" s="476"/>
      <c r="H171" s="476"/>
      <c r="I171" s="476">
        <f>+I120</f>
        <v>0</v>
      </c>
      <c r="J171" s="476">
        <f t="shared" ref="J171:Z171" si="75">+J120</f>
        <v>0</v>
      </c>
      <c r="K171" s="476">
        <f t="shared" si="75"/>
        <v>0</v>
      </c>
      <c r="L171" s="476">
        <f t="shared" si="75"/>
        <v>0</v>
      </c>
      <c r="M171" s="476">
        <f t="shared" si="75"/>
        <v>0</v>
      </c>
      <c r="N171" s="476">
        <f t="shared" si="75"/>
        <v>0</v>
      </c>
      <c r="O171" s="476">
        <f t="shared" si="75"/>
        <v>0</v>
      </c>
      <c r="P171" s="476">
        <f t="shared" si="75"/>
        <v>0</v>
      </c>
      <c r="Q171" s="476">
        <f t="shared" si="75"/>
        <v>0</v>
      </c>
      <c r="R171" s="476">
        <f t="shared" si="75"/>
        <v>0</v>
      </c>
      <c r="S171" s="476">
        <f t="shared" si="75"/>
        <v>0</v>
      </c>
      <c r="T171" s="476">
        <f t="shared" si="75"/>
        <v>0</v>
      </c>
      <c r="U171" s="476">
        <f t="shared" si="75"/>
        <v>0</v>
      </c>
      <c r="V171" s="476">
        <f t="shared" si="75"/>
        <v>0</v>
      </c>
      <c r="W171" s="476">
        <f t="shared" si="75"/>
        <v>0</v>
      </c>
      <c r="X171" s="476">
        <f t="shared" si="75"/>
        <v>0</v>
      </c>
      <c r="Y171" s="476">
        <f t="shared" si="75"/>
        <v>0</v>
      </c>
      <c r="Z171" s="476">
        <f t="shared" si="75"/>
        <v>0</v>
      </c>
      <c r="AA171" s="476">
        <f>+AA120</f>
        <v>0</v>
      </c>
      <c r="AB171" s="476">
        <f>+AB120</f>
        <v>0</v>
      </c>
      <c r="AC171" s="476">
        <f>+AC120</f>
        <v>0</v>
      </c>
    </row>
    <row r="172" spans="1:29">
      <c r="B172" s="339" t="s">
        <v>488</v>
      </c>
      <c r="E172" s="620">
        <f>+E170</f>
        <v>0</v>
      </c>
      <c r="F172" s="620">
        <f>+F170</f>
        <v>0</v>
      </c>
      <c r="G172" s="620">
        <f>+G170</f>
        <v>0</v>
      </c>
      <c r="H172" s="620">
        <f>+H170</f>
        <v>0</v>
      </c>
      <c r="I172" s="620">
        <f>+I171+I170</f>
        <v>0</v>
      </c>
      <c r="J172" s="620">
        <f t="shared" ref="J172:Z172" si="76">+J171+J170</f>
        <v>0</v>
      </c>
      <c r="K172" s="620">
        <f t="shared" si="76"/>
        <v>0</v>
      </c>
      <c r="L172" s="620">
        <f t="shared" si="76"/>
        <v>0</v>
      </c>
      <c r="M172" s="620">
        <f t="shared" si="76"/>
        <v>0</v>
      </c>
      <c r="N172" s="620">
        <f t="shared" si="76"/>
        <v>0</v>
      </c>
      <c r="O172" s="620">
        <f t="shared" si="76"/>
        <v>0</v>
      </c>
      <c r="P172" s="620">
        <f t="shared" si="76"/>
        <v>0</v>
      </c>
      <c r="Q172" s="620">
        <f t="shared" si="76"/>
        <v>0</v>
      </c>
      <c r="R172" s="620">
        <f t="shared" si="76"/>
        <v>0</v>
      </c>
      <c r="S172" s="620">
        <f t="shared" si="76"/>
        <v>0</v>
      </c>
      <c r="T172" s="620">
        <f t="shared" si="76"/>
        <v>0</v>
      </c>
      <c r="U172" s="620">
        <f t="shared" si="76"/>
        <v>0</v>
      </c>
      <c r="V172" s="620">
        <f t="shared" si="76"/>
        <v>0</v>
      </c>
      <c r="W172" s="620">
        <f t="shared" si="76"/>
        <v>0</v>
      </c>
      <c r="X172" s="620">
        <f t="shared" si="76"/>
        <v>0</v>
      </c>
      <c r="Y172" s="620">
        <f t="shared" si="76"/>
        <v>0</v>
      </c>
      <c r="Z172" s="620">
        <f t="shared" si="76"/>
        <v>0</v>
      </c>
      <c r="AA172" s="620">
        <f>+AA171+AA170</f>
        <v>0</v>
      </c>
      <c r="AB172" s="620">
        <f>+AB171+AB170</f>
        <v>0</v>
      </c>
      <c r="AC172" s="620">
        <f>+AC171+AC170</f>
        <v>0</v>
      </c>
    </row>
    <row r="173" spans="1:29">
      <c r="B173" s="339" t="s">
        <v>489</v>
      </c>
      <c r="E173" s="343">
        <v>0</v>
      </c>
      <c r="F173" s="343">
        <v>0</v>
      </c>
      <c r="G173" s="343">
        <v>0</v>
      </c>
      <c r="H173" s="343">
        <v>0</v>
      </c>
      <c r="I173" s="343">
        <f>+I166</f>
        <v>0</v>
      </c>
      <c r="J173" s="343">
        <f t="shared" ref="J173:Z173" si="77">+J166</f>
        <v>0</v>
      </c>
      <c r="K173" s="343">
        <f t="shared" si="77"/>
        <v>0</v>
      </c>
      <c r="L173" s="343">
        <f t="shared" si="77"/>
        <v>0</v>
      </c>
      <c r="M173" s="343">
        <f t="shared" si="77"/>
        <v>0</v>
      </c>
      <c r="N173" s="343">
        <f t="shared" si="77"/>
        <v>0</v>
      </c>
      <c r="O173" s="343">
        <f t="shared" si="77"/>
        <v>4.3794061069212393</v>
      </c>
      <c r="P173" s="343">
        <f t="shared" si="77"/>
        <v>4.7347913013252478</v>
      </c>
      <c r="Q173" s="343">
        <f t="shared" si="77"/>
        <v>7.1018340606587129</v>
      </c>
      <c r="R173" s="343">
        <f t="shared" si="77"/>
        <v>6.0602935036541092</v>
      </c>
      <c r="S173" s="343">
        <f t="shared" si="77"/>
        <v>5.134621601663329</v>
      </c>
      <c r="T173" s="343">
        <f t="shared" si="77"/>
        <v>4.3136934004570406</v>
      </c>
      <c r="U173" s="343">
        <f t="shared" si="77"/>
        <v>3.6160470859451221</v>
      </c>
      <c r="V173" s="343">
        <f t="shared" si="77"/>
        <v>2.9690276563928304</v>
      </c>
      <c r="W173" s="343">
        <f t="shared" si="77"/>
        <v>2.4348443565521936</v>
      </c>
      <c r="X173" s="343">
        <f t="shared" si="77"/>
        <v>1.9752031273747968</v>
      </c>
      <c r="Y173" s="343">
        <f t="shared" si="77"/>
        <v>1.556639308963266</v>
      </c>
      <c r="Z173" s="343">
        <f t="shared" si="77"/>
        <v>1.1435136510314272</v>
      </c>
      <c r="AA173" s="343">
        <f>+AA166</f>
        <v>0.87442728015961602</v>
      </c>
      <c r="AB173" s="343">
        <f>+AB166</f>
        <v>0.67267199847163439</v>
      </c>
      <c r="AC173" s="343">
        <f>+AC166</f>
        <v>0.5559855604294327</v>
      </c>
    </row>
    <row r="174" spans="1:29">
      <c r="B174" s="339" t="s">
        <v>490</v>
      </c>
      <c r="E174" s="622"/>
      <c r="F174" s="622"/>
      <c r="G174" s="622"/>
      <c r="H174" s="622"/>
      <c r="I174" s="622">
        <f>+I125</f>
        <v>0</v>
      </c>
      <c r="J174" s="622">
        <f t="shared" ref="J174:Z174" si="78">+J125</f>
        <v>0</v>
      </c>
      <c r="K174" s="622">
        <f t="shared" si="78"/>
        <v>0</v>
      </c>
      <c r="L174" s="622">
        <f t="shared" si="78"/>
        <v>0</v>
      </c>
      <c r="M174" s="622">
        <f t="shared" si="78"/>
        <v>0</v>
      </c>
      <c r="N174" s="622">
        <f t="shared" si="78"/>
        <v>0</v>
      </c>
      <c r="O174" s="622">
        <f t="shared" si="78"/>
        <v>0</v>
      </c>
      <c r="P174" s="622">
        <f t="shared" si="78"/>
        <v>0</v>
      </c>
      <c r="Q174" s="622">
        <f t="shared" si="78"/>
        <v>0</v>
      </c>
      <c r="R174" s="622">
        <f t="shared" si="78"/>
        <v>0</v>
      </c>
      <c r="S174" s="622">
        <f t="shared" si="78"/>
        <v>0</v>
      </c>
      <c r="T174" s="622">
        <f t="shared" si="78"/>
        <v>0</v>
      </c>
      <c r="U174" s="622">
        <f t="shared" si="78"/>
        <v>0</v>
      </c>
      <c r="V174" s="622">
        <f t="shared" si="78"/>
        <v>0</v>
      </c>
      <c r="W174" s="622">
        <f t="shared" si="78"/>
        <v>0</v>
      </c>
      <c r="X174" s="622">
        <f t="shared" si="78"/>
        <v>0</v>
      </c>
      <c r="Y174" s="622">
        <f t="shared" si="78"/>
        <v>0</v>
      </c>
      <c r="Z174" s="622">
        <f t="shared" si="78"/>
        <v>0</v>
      </c>
      <c r="AA174" s="622">
        <f>+AA125</f>
        <v>0</v>
      </c>
      <c r="AB174" s="622">
        <f>+AB125</f>
        <v>0</v>
      </c>
      <c r="AC174" s="622">
        <f>+AC125</f>
        <v>0</v>
      </c>
    </row>
    <row r="175" spans="1:29">
      <c r="B175" s="339"/>
      <c r="E175" s="401"/>
      <c r="F175" s="401"/>
      <c r="G175" s="401"/>
      <c r="H175" s="401"/>
      <c r="I175" s="334"/>
      <c r="J175" s="334"/>
      <c r="K175" s="334"/>
      <c r="L175" s="334"/>
      <c r="M175" s="334"/>
      <c r="N175" s="334"/>
      <c r="O175" s="334"/>
      <c r="P175" s="334"/>
      <c r="Q175" s="334"/>
      <c r="R175" s="334"/>
      <c r="S175" s="334"/>
      <c r="T175" s="334"/>
      <c r="U175" s="334"/>
      <c r="V175" s="334"/>
      <c r="W175" s="334"/>
      <c r="X175" s="334"/>
      <c r="Y175" s="334"/>
      <c r="Z175" s="334"/>
      <c r="AA175" s="334"/>
      <c r="AB175" s="334"/>
      <c r="AC175" s="334"/>
    </row>
    <row r="176" spans="1:29" ht="12" thickBot="1">
      <c r="A176" s="302"/>
      <c r="B176" s="406"/>
      <c r="C176" s="302"/>
      <c r="D176" s="302"/>
      <c r="E176" s="407"/>
      <c r="F176" s="407"/>
      <c r="G176" s="407"/>
      <c r="H176" s="407"/>
      <c r="I176" s="348"/>
      <c r="J176" s="348"/>
      <c r="K176" s="348"/>
      <c r="L176" s="348"/>
      <c r="M176" s="348"/>
      <c r="N176" s="348"/>
      <c r="O176" s="348"/>
      <c r="P176" s="348"/>
      <c r="Q176" s="348"/>
      <c r="R176" s="348"/>
      <c r="S176" s="348"/>
      <c r="T176" s="348"/>
      <c r="U176" s="348"/>
      <c r="V176" s="348"/>
      <c r="W176" s="348"/>
      <c r="X176" s="348"/>
      <c r="Y176" s="348"/>
      <c r="Z176" s="348"/>
      <c r="AA176" s="348"/>
      <c r="AB176" s="348"/>
      <c r="AC176" s="348"/>
    </row>
    <row r="177" spans="1:29" ht="12.75" thickTop="1" thickBot="1">
      <c r="B177" s="339"/>
      <c r="E177" s="231"/>
      <c r="F177" s="231"/>
      <c r="G177" s="231"/>
      <c r="H177" s="231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  <c r="AA177" s="335"/>
      <c r="AB177" s="335"/>
      <c r="AC177" s="335"/>
    </row>
    <row r="178" spans="1:29" ht="12.75" thickTop="1" thickBot="1">
      <c r="A178" s="337" t="s">
        <v>491</v>
      </c>
      <c r="I178" s="166" t="str">
        <f ca="1">+I$3</f>
        <v xml:space="preserve">6 M/1999 </v>
      </c>
      <c r="J178" s="166">
        <f t="shared" ref="J178:Z178" si="79">+J$3</f>
        <v>2000</v>
      </c>
      <c r="K178" s="166">
        <f t="shared" si="79"/>
        <v>2001</v>
      </c>
      <c r="L178" s="166">
        <f t="shared" si="79"/>
        <v>2002</v>
      </c>
      <c r="M178" s="166">
        <f t="shared" si="79"/>
        <v>2003</v>
      </c>
      <c r="N178" s="166">
        <f t="shared" si="79"/>
        <v>2004</v>
      </c>
      <c r="O178" s="166">
        <f t="shared" si="79"/>
        <v>2005</v>
      </c>
      <c r="P178" s="166">
        <f t="shared" si="79"/>
        <v>2006</v>
      </c>
      <c r="Q178" s="166">
        <f t="shared" si="79"/>
        <v>2007</v>
      </c>
      <c r="R178" s="166">
        <f t="shared" si="79"/>
        <v>2008</v>
      </c>
      <c r="S178" s="166">
        <f t="shared" si="79"/>
        <v>2009</v>
      </c>
      <c r="T178" s="166">
        <f t="shared" si="79"/>
        <v>2010</v>
      </c>
      <c r="U178" s="166">
        <f t="shared" si="79"/>
        <v>2011</v>
      </c>
      <c r="V178" s="166">
        <f t="shared" si="79"/>
        <v>2012</v>
      </c>
      <c r="W178" s="166">
        <f t="shared" si="79"/>
        <v>2013</v>
      </c>
      <c r="X178" s="166">
        <f t="shared" si="79"/>
        <v>2014</v>
      </c>
      <c r="Y178" s="166">
        <f t="shared" si="79"/>
        <v>2015</v>
      </c>
      <c r="Z178" s="166">
        <f t="shared" si="79"/>
        <v>2016</v>
      </c>
      <c r="AA178" s="166">
        <f>+AA$3</f>
        <v>2017</v>
      </c>
      <c r="AB178" s="166">
        <f>+AB$3</f>
        <v>2018</v>
      </c>
      <c r="AC178" s="166">
        <f>+AC$3</f>
        <v>2019</v>
      </c>
    </row>
    <row r="179" spans="1:29" ht="12" thickTop="1">
      <c r="A179" s="404" t="s">
        <v>492</v>
      </c>
      <c r="B179" s="308" t="s">
        <v>493</v>
      </c>
      <c r="C179" t="s">
        <v>164</v>
      </c>
      <c r="D179" s="6" t="s">
        <v>19</v>
      </c>
      <c r="E179" t="s">
        <v>17</v>
      </c>
    </row>
    <row r="180" spans="1:29">
      <c r="C180" t="s">
        <v>494</v>
      </c>
      <c r="D180" s="508">
        <v>5.5645709659176701E-2</v>
      </c>
      <c r="I180" s="408"/>
    </row>
    <row r="181" spans="1:29">
      <c r="C181" t="s">
        <v>16</v>
      </c>
      <c r="D181" s="508">
        <v>2.3816540337738928E-2</v>
      </c>
      <c r="F181" s="409"/>
    </row>
    <row r="182" spans="1:29">
      <c r="C182" t="s">
        <v>136</v>
      </c>
      <c r="I182" s="622">
        <v>0</v>
      </c>
      <c r="J182" s="62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C183" t="s">
        <v>495</v>
      </c>
      <c r="E183" s="509">
        <v>107</v>
      </c>
      <c r="F183" s="509">
        <v>109.7</v>
      </c>
      <c r="G183" s="509">
        <v>113.54</v>
      </c>
      <c r="H183" s="509">
        <v>113.54</v>
      </c>
      <c r="I183" s="408">
        <f ca="1">+H183*EXP(($D180-($D181^2)/2)*(CFMODEL!$C$329/12)+$D181*I182*SQRT(H860))</f>
        <v>116.72680981376588</v>
      </c>
      <c r="J183" s="408">
        <f ca="1">+I183*EXP(($D180-($D181^2)/2)+$D181*J182)</f>
        <v>123.37127953275831</v>
      </c>
      <c r="K183" s="408">
        <f t="shared" ref="K183:Z183" ca="1" si="80">+J183*EXP(($D180-($D181^2)/2)+$D181*K182)</f>
        <v>130.39397408216499</v>
      </c>
      <c r="L183" s="408">
        <f t="shared" ca="1" si="80"/>
        <v>137.81642324967279</v>
      </c>
      <c r="M183" s="408">
        <f t="shared" ca="1" si="80"/>
        <v>145.6613823685187</v>
      </c>
      <c r="N183" s="408">
        <f t="shared" ca="1" si="80"/>
        <v>153.95290207952908</v>
      </c>
      <c r="O183" s="408">
        <f t="shared" ca="1" si="80"/>
        <v>162.71640206424124</v>
      </c>
      <c r="P183" s="408">
        <f t="shared" ca="1" si="80"/>
        <v>171.9787489751541</v>
      </c>
      <c r="Q183" s="408">
        <f t="shared" ca="1" si="80"/>
        <v>181.76833880202221</v>
      </c>
      <c r="R183" s="408">
        <f t="shared" ca="1" si="80"/>
        <v>192.11518392670718</v>
      </c>
      <c r="S183" s="408">
        <f t="shared" ca="1" si="80"/>
        <v>203.0510051334744</v>
      </c>
      <c r="T183" s="408">
        <f t="shared" ca="1" si="80"/>
        <v>214.60932885681527</v>
      </c>
      <c r="U183" s="408">
        <f t="shared" ca="1" si="80"/>
        <v>226.82558996493157</v>
      </c>
      <c r="V183" s="408">
        <f t="shared" ca="1" si="80"/>
        <v>239.73724039399042</v>
      </c>
      <c r="W183" s="408">
        <f t="shared" ca="1" si="80"/>
        <v>253.38386396619413</v>
      </c>
      <c r="X183" s="408">
        <f t="shared" ca="1" si="80"/>
        <v>267.8072977436683</v>
      </c>
      <c r="Y183" s="408">
        <f t="shared" ca="1" si="80"/>
        <v>283.05176029020777</v>
      </c>
      <c r="Z183" s="408">
        <f t="shared" ca="1" si="80"/>
        <v>299.16398723409867</v>
      </c>
      <c r="AA183" s="408">
        <f ca="1">+Z183*EXP(($D180-($D181^2)/2)+$D181*AA182)</f>
        <v>316.19337454761694</v>
      </c>
      <c r="AB183" s="408">
        <f ca="1">+AA183*EXP(($D180-($D181^2)/2)+$D181*AB182)</f>
        <v>334.19212998246223</v>
      </c>
      <c r="AC183" s="408">
        <f ca="1">+AB183*EXP(($D180-($D181^2)/2)+$D181*AC182)</f>
        <v>353.21543312538921</v>
      </c>
    </row>
    <row r="184" spans="1:29">
      <c r="B184" s="339" t="s">
        <v>496</v>
      </c>
      <c r="I184" s="409">
        <f ca="1">(I183-H183)/I183</f>
        <v>2.7301438451460599E-2</v>
      </c>
      <c r="J184" s="409">
        <f t="shared" ref="J184:X184" ca="1" si="81">(J183-I183)/J183</f>
        <v>5.3857508361402254E-2</v>
      </c>
      <c r="K184" s="409">
        <f t="shared" ca="1" si="81"/>
        <v>5.385750836140233E-2</v>
      </c>
      <c r="L184" s="409">
        <f t="shared" ca="1" si="81"/>
        <v>5.3857508361402275E-2</v>
      </c>
      <c r="M184" s="409">
        <f t="shared" ca="1" si="81"/>
        <v>5.3857508361402254E-2</v>
      </c>
      <c r="N184" s="409">
        <f t="shared" ca="1" si="81"/>
        <v>5.3857508361402254E-2</v>
      </c>
      <c r="O184" s="409">
        <f t="shared" ca="1" si="81"/>
        <v>5.3857508361402198E-2</v>
      </c>
      <c r="P184" s="409">
        <f t="shared" ca="1" si="81"/>
        <v>5.3857508361402288E-2</v>
      </c>
      <c r="Q184" s="409">
        <f t="shared" ca="1" si="81"/>
        <v>5.3857508361402254E-2</v>
      </c>
      <c r="R184" s="409">
        <f t="shared" ca="1" si="81"/>
        <v>5.385750836140224E-2</v>
      </c>
      <c r="S184" s="409">
        <f t="shared" ca="1" si="81"/>
        <v>5.3857508361402254E-2</v>
      </c>
      <c r="T184" s="409">
        <f t="shared" ca="1" si="81"/>
        <v>5.3857508361402295E-2</v>
      </c>
      <c r="U184" s="409">
        <f t="shared" ca="1" si="81"/>
        <v>5.3857508361402247E-2</v>
      </c>
      <c r="V184" s="409">
        <f t="shared" ca="1" si="81"/>
        <v>5.3857508361402302E-2</v>
      </c>
      <c r="W184" s="409">
        <f t="shared" ca="1" si="81"/>
        <v>5.385750836140224E-2</v>
      </c>
      <c r="X184" s="409">
        <f t="shared" ca="1" si="81"/>
        <v>5.3857508361402309E-2</v>
      </c>
      <c r="Y184" s="409">
        <f ca="1">(Y183-X183)/Y183</f>
        <v>5.3857508361402164E-2</v>
      </c>
      <c r="Z184" s="409">
        <f ca="1">(Z183-Y183)/Z183</f>
        <v>5.385750836140224E-2</v>
      </c>
      <c r="AA184" s="409">
        <f ca="1">(AA183-Z183)/AA183</f>
        <v>5.3857508361402247E-2</v>
      </c>
      <c r="AB184" s="409">
        <f ca="1">(AB183-AA183)/AB183</f>
        <v>5.3857508361402268E-2</v>
      </c>
      <c r="AC184" s="409">
        <f ca="1">(AC183-AB183)/AC183</f>
        <v>5.3857508361402281E-2</v>
      </c>
    </row>
    <row r="185" spans="1:29">
      <c r="B185" t="s">
        <v>497</v>
      </c>
      <c r="H185" s="79"/>
      <c r="I185" s="405">
        <f ca="1">(1+(+I184/12))^(H860)</f>
        <v>1.0011369136491546</v>
      </c>
      <c r="J185" s="405">
        <f t="shared" ref="J185:Z185" ca="1" si="82">+I185*(1+J184)</f>
        <v>1.0550556533469224</v>
      </c>
      <c r="K185" s="405">
        <f t="shared" ca="1" si="82"/>
        <v>1.1118783220187991</v>
      </c>
      <c r="L185" s="405">
        <f t="shared" ca="1" si="82"/>
        <v>1.1717613180437887</v>
      </c>
      <c r="M185" s="405">
        <f t="shared" ca="1" si="82"/>
        <v>1.2348694630278998</v>
      </c>
      <c r="N185" s="405">
        <f t="shared" ca="1" si="82"/>
        <v>1.3013764554581653</v>
      </c>
      <c r="O185" s="405">
        <f t="shared" ca="1" si="82"/>
        <v>1.3714653487893353</v>
      </c>
      <c r="P185" s="405">
        <f t="shared" ca="1" si="82"/>
        <v>1.4453290552791305</v>
      </c>
      <c r="Q185" s="405">
        <f t="shared" ca="1" si="82"/>
        <v>1.5231708769588039</v>
      </c>
      <c r="R185" s="405">
        <f t="shared" ca="1" si="82"/>
        <v>1.605205065200457</v>
      </c>
      <c r="S185" s="405">
        <f t="shared" ca="1" si="82"/>
        <v>1.6916574104212561</v>
      </c>
      <c r="T185" s="405">
        <f t="shared" ca="1" si="82"/>
        <v>1.7827658635476471</v>
      </c>
      <c r="U185" s="405">
        <f t="shared" ca="1" si="82"/>
        <v>1.8787811909500871</v>
      </c>
      <c r="V185" s="405">
        <f t="shared" ca="1" si="82"/>
        <v>1.979967664650927</v>
      </c>
      <c r="W185" s="405">
        <f t="shared" ca="1" si="82"/>
        <v>2.0866037897051704</v>
      </c>
      <c r="X185" s="405">
        <f t="shared" ca="1" si="82"/>
        <v>2.1989830707561504</v>
      </c>
      <c r="Y185" s="405">
        <f t="shared" ca="1" si="82"/>
        <v>2.3174148198759816</v>
      </c>
      <c r="Z185" s="405">
        <f t="shared" ca="1" si="82"/>
        <v>2.4422250079142893</v>
      </c>
      <c r="AA185" s="405">
        <f ca="1">+Z185*(1+AA184)</f>
        <v>2.5737571616984591</v>
      </c>
      <c r="AB185" s="405">
        <f ca="1">+AA185*(1+AB184)</f>
        <v>2.7123733095548532</v>
      </c>
      <c r="AC185" s="405">
        <f ca="1">+AB185*(1+AC184)</f>
        <v>2.8584549777534485</v>
      </c>
    </row>
    <row r="186" spans="1:29">
      <c r="J186" s="405"/>
      <c r="K186" s="405"/>
      <c r="L186" s="405"/>
      <c r="M186" s="405"/>
      <c r="N186" s="405"/>
      <c r="O186" s="405"/>
      <c r="P186" s="405"/>
      <c r="Q186" s="405"/>
      <c r="R186" s="405"/>
      <c r="S186" s="405"/>
      <c r="T186" s="405"/>
      <c r="U186" s="405"/>
      <c r="V186" s="405"/>
      <c r="W186" s="405"/>
      <c r="X186" s="405"/>
      <c r="Y186" s="405"/>
      <c r="Z186" s="405"/>
      <c r="AA186" s="405"/>
      <c r="AB186" s="405"/>
      <c r="AC186" s="405"/>
    </row>
    <row r="187" spans="1:29">
      <c r="A187" s="404" t="s">
        <v>498</v>
      </c>
      <c r="B187" s="308" t="s">
        <v>499</v>
      </c>
      <c r="H187" s="508">
        <f>+D180</f>
        <v>5.5645709659176701E-2</v>
      </c>
      <c r="I187" s="409">
        <f t="shared" ref="I187:X187" si="83">+H187</f>
        <v>5.5645709659176701E-2</v>
      </c>
      <c r="J187" s="409">
        <f t="shared" si="83"/>
        <v>5.5645709659176701E-2</v>
      </c>
      <c r="K187" s="409">
        <f t="shared" si="83"/>
        <v>5.5645709659176701E-2</v>
      </c>
      <c r="L187" s="409">
        <f t="shared" si="83"/>
        <v>5.5645709659176701E-2</v>
      </c>
      <c r="M187" s="409">
        <f t="shared" si="83"/>
        <v>5.5645709659176701E-2</v>
      </c>
      <c r="N187" s="409">
        <f t="shared" si="83"/>
        <v>5.5645709659176701E-2</v>
      </c>
      <c r="O187" s="409">
        <f t="shared" si="83"/>
        <v>5.5645709659176701E-2</v>
      </c>
      <c r="P187" s="409">
        <f t="shared" si="83"/>
        <v>5.5645709659176701E-2</v>
      </c>
      <c r="Q187" s="409">
        <f t="shared" si="83"/>
        <v>5.5645709659176701E-2</v>
      </c>
      <c r="R187" s="409">
        <f t="shared" si="83"/>
        <v>5.5645709659176701E-2</v>
      </c>
      <c r="S187" s="409">
        <f t="shared" si="83"/>
        <v>5.5645709659176701E-2</v>
      </c>
      <c r="T187" s="409">
        <f t="shared" si="83"/>
        <v>5.5645709659176701E-2</v>
      </c>
      <c r="U187" s="409">
        <f t="shared" si="83"/>
        <v>5.5645709659176701E-2</v>
      </c>
      <c r="V187" s="409">
        <f t="shared" si="83"/>
        <v>5.5645709659176701E-2</v>
      </c>
      <c r="W187" s="409">
        <f t="shared" si="83"/>
        <v>5.5645709659176701E-2</v>
      </c>
      <c r="X187" s="409">
        <f t="shared" si="83"/>
        <v>5.5645709659176701E-2</v>
      </c>
      <c r="Y187" s="409">
        <f>+X187</f>
        <v>5.5645709659176701E-2</v>
      </c>
      <c r="Z187" s="409">
        <f>+Y187</f>
        <v>5.5645709659176701E-2</v>
      </c>
      <c r="AA187" s="409">
        <f>+Z187</f>
        <v>5.5645709659176701E-2</v>
      </c>
      <c r="AB187" s="409">
        <f>+AA187</f>
        <v>5.5645709659176701E-2</v>
      </c>
      <c r="AC187" s="409">
        <f>+AB187</f>
        <v>5.5645709659176701E-2</v>
      </c>
    </row>
    <row r="188" spans="1:29">
      <c r="B188" t="s">
        <v>497</v>
      </c>
      <c r="I188" s="405">
        <f ca="1">(1+(+I187/12))^(H860)</f>
        <v>1.0023158895635638</v>
      </c>
      <c r="J188" s="405">
        <f t="shared" ref="J188:Z188" ca="1" si="84">+I188*(1+J187)</f>
        <v>1.0580904685409973</v>
      </c>
      <c r="K188" s="405">
        <f t="shared" ca="1" si="84"/>
        <v>1.1169686635465719</v>
      </c>
      <c r="L188" s="405">
        <f t="shared" ca="1" si="84"/>
        <v>1.1791231774966831</v>
      </c>
      <c r="M188" s="405">
        <f t="shared" ca="1" si="84"/>
        <v>1.2447363234840694</v>
      </c>
      <c r="N188" s="405">
        <f t="shared" ca="1" si="84"/>
        <v>1.314000559542895</v>
      </c>
      <c r="O188" s="405">
        <f t="shared" ca="1" si="84"/>
        <v>1.3871190531712145</v>
      </c>
      <c r="P188" s="405">
        <f t="shared" ca="1" si="84"/>
        <v>1.4643062772666919</v>
      </c>
      <c r="Q188" s="405">
        <f t="shared" ca="1" si="84"/>
        <v>1.5457886392235842</v>
      </c>
      <c r="R188" s="405">
        <f t="shared" ca="1" si="84"/>
        <v>1.6318051450362736</v>
      </c>
      <c r="S188" s="405">
        <f t="shared" ca="1" si="84"/>
        <v>1.7226081003573128</v>
      </c>
      <c r="T188" s="405">
        <f t="shared" ca="1" si="84"/>
        <v>1.8184638505663417</v>
      </c>
      <c r="U188" s="405">
        <f t="shared" ca="1" si="84"/>
        <v>1.9196535620206649</v>
      </c>
      <c r="V188" s="405">
        <f t="shared" ca="1" si="84"/>
        <v>2.0264740467790712</v>
      </c>
      <c r="W188" s="405">
        <f t="shared" ca="1" si="84"/>
        <v>2.139238633217996</v>
      </c>
      <c r="X188" s="405">
        <f t="shared" ca="1" si="84"/>
        <v>2.2582780850937385</v>
      </c>
      <c r="Y188" s="405">
        <f t="shared" ca="1" si="84"/>
        <v>2.3839415717465462</v>
      </c>
      <c r="Z188" s="405">
        <f t="shared" ca="1" si="84"/>
        <v>2.5165976922923958</v>
      </c>
      <c r="AA188" s="405">
        <f ca="1">+Z188*(1+AA187)</f>
        <v>2.6566355568066524</v>
      </c>
      <c r="AB188" s="405">
        <f ca="1">+AA188*(1+AB187)</f>
        <v>2.8044659276709605</v>
      </c>
      <c r="AC188" s="405">
        <f ca="1">+AB188*(1+AC187)</f>
        <v>2.9605224244311925</v>
      </c>
    </row>
    <row r="189" spans="1:29">
      <c r="J189" s="405"/>
      <c r="K189" s="405"/>
      <c r="L189" s="405"/>
      <c r="M189" s="405"/>
      <c r="N189" s="405"/>
      <c r="O189" s="405"/>
      <c r="P189" s="405"/>
      <c r="Q189" s="405"/>
      <c r="R189" s="405"/>
      <c r="S189" s="405"/>
      <c r="T189" s="405"/>
      <c r="U189" s="405"/>
      <c r="V189" s="405"/>
      <c r="W189" s="405"/>
      <c r="X189" s="405"/>
      <c r="Y189" s="405"/>
      <c r="Z189" s="405"/>
      <c r="AA189" s="405"/>
      <c r="AB189" s="405"/>
      <c r="AC189" s="405"/>
    </row>
    <row r="190" spans="1:29">
      <c r="A190" s="404" t="s">
        <v>500</v>
      </c>
      <c r="B190" s="339" t="s">
        <v>501</v>
      </c>
      <c r="H190" s="508">
        <f>+H187</f>
        <v>5.5645709659176701E-2</v>
      </c>
      <c r="I190" s="508">
        <v>0</v>
      </c>
      <c r="J190" s="508">
        <v>0</v>
      </c>
      <c r="K190" s="508">
        <v>0</v>
      </c>
      <c r="L190" s="508">
        <v>0</v>
      </c>
      <c r="M190" s="508">
        <v>0</v>
      </c>
      <c r="N190" s="508">
        <v>0</v>
      </c>
      <c r="O190" s="508">
        <v>0</v>
      </c>
      <c r="P190" s="508">
        <v>0</v>
      </c>
      <c r="Q190" s="508">
        <v>0</v>
      </c>
      <c r="R190" s="508">
        <v>0</v>
      </c>
      <c r="S190" s="508">
        <v>0</v>
      </c>
      <c r="T190" s="508">
        <v>0</v>
      </c>
      <c r="U190" s="508">
        <v>0</v>
      </c>
      <c r="V190" s="508">
        <v>0</v>
      </c>
      <c r="W190" s="508">
        <v>0</v>
      </c>
      <c r="X190" s="508">
        <v>0</v>
      </c>
      <c r="Y190" s="508">
        <v>0</v>
      </c>
      <c r="Z190" s="508">
        <v>0</v>
      </c>
      <c r="AA190" s="508">
        <v>0</v>
      </c>
      <c r="AB190" s="508">
        <v>0</v>
      </c>
      <c r="AC190" s="508">
        <v>0</v>
      </c>
    </row>
    <row r="191" spans="1:29">
      <c r="A191" s="341"/>
      <c r="B191" t="s">
        <v>497</v>
      </c>
      <c r="I191" s="405">
        <f ca="1">(1+(+I190/12))^(H860)</f>
        <v>1</v>
      </c>
      <c r="J191" s="405">
        <f t="shared" ref="J191:Z191" ca="1" si="85">+I191*(1+J190)</f>
        <v>1</v>
      </c>
      <c r="K191" s="405">
        <f t="shared" ca="1" si="85"/>
        <v>1</v>
      </c>
      <c r="L191" s="405">
        <f t="shared" ca="1" si="85"/>
        <v>1</v>
      </c>
      <c r="M191" s="405">
        <f t="shared" ca="1" si="85"/>
        <v>1</v>
      </c>
      <c r="N191" s="405">
        <f t="shared" ca="1" si="85"/>
        <v>1</v>
      </c>
      <c r="O191" s="405">
        <f t="shared" ca="1" si="85"/>
        <v>1</v>
      </c>
      <c r="P191" s="405">
        <f t="shared" ca="1" si="85"/>
        <v>1</v>
      </c>
      <c r="Q191" s="405">
        <f t="shared" ca="1" si="85"/>
        <v>1</v>
      </c>
      <c r="R191" s="405">
        <f t="shared" ca="1" si="85"/>
        <v>1</v>
      </c>
      <c r="S191" s="405">
        <f t="shared" ca="1" si="85"/>
        <v>1</v>
      </c>
      <c r="T191" s="405">
        <f t="shared" ca="1" si="85"/>
        <v>1</v>
      </c>
      <c r="U191" s="405">
        <f t="shared" ca="1" si="85"/>
        <v>1</v>
      </c>
      <c r="V191" s="405">
        <f t="shared" ca="1" si="85"/>
        <v>1</v>
      </c>
      <c r="W191" s="405">
        <f t="shared" ca="1" si="85"/>
        <v>1</v>
      </c>
      <c r="X191" s="405">
        <f t="shared" ca="1" si="85"/>
        <v>1</v>
      </c>
      <c r="Y191" s="405">
        <f t="shared" ca="1" si="85"/>
        <v>1</v>
      </c>
      <c r="Z191" s="405">
        <f t="shared" ca="1" si="85"/>
        <v>1</v>
      </c>
      <c r="AA191" s="405">
        <f ca="1">+Z191*(1+AA190)</f>
        <v>1</v>
      </c>
      <c r="AB191" s="405">
        <f ca="1">+AA191*(1+AB190)</f>
        <v>1</v>
      </c>
      <c r="AC191" s="405">
        <f ca="1">+AB191*(1+AC190)</f>
        <v>1</v>
      </c>
    </row>
    <row r="192" spans="1:29">
      <c r="B192" s="339"/>
      <c r="E192" s="231"/>
      <c r="F192" s="231"/>
      <c r="G192" s="231"/>
      <c r="H192" s="231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  <c r="AA192" s="335"/>
      <c r="AB192" s="335"/>
      <c r="AC192" s="335"/>
    </row>
    <row r="193" spans="1:30" ht="12" thickBot="1"/>
    <row r="194" spans="1:30" ht="12.75" thickTop="1" thickBot="1">
      <c r="A194" s="301"/>
      <c r="B194" s="301"/>
      <c r="C194" s="301"/>
      <c r="D194" s="301"/>
      <c r="E194" s="301"/>
      <c r="F194" s="301"/>
      <c r="G194" s="301"/>
      <c r="H194" s="301"/>
      <c r="I194" s="301"/>
      <c r="J194" s="301"/>
      <c r="K194" s="301"/>
      <c r="L194" s="301"/>
      <c r="M194" s="301"/>
      <c r="N194" s="301"/>
      <c r="O194" s="301"/>
      <c r="P194" s="301"/>
      <c r="Q194" s="301"/>
      <c r="R194" s="301"/>
      <c r="S194" s="301"/>
      <c r="T194" s="301"/>
      <c r="U194" s="301"/>
      <c r="V194" s="301"/>
      <c r="W194" s="301"/>
      <c r="X194" s="301"/>
      <c r="Y194" s="301"/>
      <c r="Z194" s="301"/>
      <c r="AA194" s="301"/>
      <c r="AB194" s="301"/>
      <c r="AC194" s="301"/>
    </row>
    <row r="195" spans="1:30" ht="12.75" thickTop="1" thickBot="1">
      <c r="A195" s="312" t="s">
        <v>502</v>
      </c>
      <c r="I195" s="166" t="str">
        <f ca="1">+I$3</f>
        <v xml:space="preserve">6 M/1999 </v>
      </c>
      <c r="J195" s="166">
        <f t="shared" ref="J195:Z195" si="86">+J$3</f>
        <v>2000</v>
      </c>
      <c r="K195" s="166">
        <f t="shared" si="86"/>
        <v>2001</v>
      </c>
      <c r="L195" s="166">
        <f t="shared" si="86"/>
        <v>2002</v>
      </c>
      <c r="M195" s="166">
        <f t="shared" si="86"/>
        <v>2003</v>
      </c>
      <c r="N195" s="166">
        <f t="shared" si="86"/>
        <v>2004</v>
      </c>
      <c r="O195" s="166">
        <f t="shared" si="86"/>
        <v>2005</v>
      </c>
      <c r="P195" s="166">
        <f t="shared" si="86"/>
        <v>2006</v>
      </c>
      <c r="Q195" s="166">
        <f t="shared" si="86"/>
        <v>2007</v>
      </c>
      <c r="R195" s="166">
        <f t="shared" si="86"/>
        <v>2008</v>
      </c>
      <c r="S195" s="166">
        <f t="shared" si="86"/>
        <v>2009</v>
      </c>
      <c r="T195" s="166">
        <f t="shared" si="86"/>
        <v>2010</v>
      </c>
      <c r="U195" s="166">
        <f t="shared" si="86"/>
        <v>2011</v>
      </c>
      <c r="V195" s="166">
        <f t="shared" si="86"/>
        <v>2012</v>
      </c>
      <c r="W195" s="166">
        <f t="shared" si="86"/>
        <v>2013</v>
      </c>
      <c r="X195" s="166">
        <f t="shared" si="86"/>
        <v>2014</v>
      </c>
      <c r="Y195" s="166">
        <f t="shared" si="86"/>
        <v>2015</v>
      </c>
      <c r="Z195" s="166">
        <f t="shared" si="86"/>
        <v>2016</v>
      </c>
      <c r="AA195" s="166">
        <f>+AA$3</f>
        <v>2017</v>
      </c>
      <c r="AB195" s="166">
        <f>+AB$3</f>
        <v>2018</v>
      </c>
      <c r="AC195" s="166">
        <f>+AC$3</f>
        <v>2019</v>
      </c>
    </row>
    <row r="196" spans="1:30" ht="12" thickTop="1">
      <c r="A196" s="19" t="s">
        <v>14</v>
      </c>
    </row>
    <row r="197" spans="1:30">
      <c r="A197" s="404" t="s">
        <v>492</v>
      </c>
      <c r="B197" s="5" t="s">
        <v>503</v>
      </c>
      <c r="E197" s="405"/>
      <c r="F197" s="405"/>
      <c r="G197" s="405"/>
      <c r="H197" s="405"/>
      <c r="I197" s="511">
        <v>0</v>
      </c>
      <c r="J197" s="511">
        <f ca="1">+PRICCURV!N21</f>
        <v>2.2389999999999999</v>
      </c>
      <c r="K197" s="511">
        <f ca="1">+PRICCURV!O21</f>
        <v>2.0167499999999996</v>
      </c>
      <c r="L197" s="511">
        <f ca="1">+PRICCURV!P21</f>
        <v>2.0158333333333331</v>
      </c>
      <c r="M197" s="511">
        <f ca="1">+PRICCURV!Q21</f>
        <v>2.0045833333333336</v>
      </c>
      <c r="N197" s="511">
        <f ca="1">+PRICCURV!R21</f>
        <v>2.0054166666666666</v>
      </c>
      <c r="O197" s="511">
        <f ca="1">+PRICCURV!S21</f>
        <v>2.0133333333333332</v>
      </c>
      <c r="P197" s="511">
        <f ca="1">+PRICCURV!T21</f>
        <v>2.0291666666666663</v>
      </c>
      <c r="Q197" s="511">
        <f ca="1">+PRICCURV!U21</f>
        <v>2.0549999999999997</v>
      </c>
      <c r="R197" s="511">
        <f ca="1">+PRICCURV!V21</f>
        <v>2.0966666666666662</v>
      </c>
      <c r="S197" s="511">
        <f ca="1">+PRICCURV!W21</f>
        <v>2.1583333333333328</v>
      </c>
      <c r="T197" s="511">
        <f ca="1">+PRICCURV!X21</f>
        <v>2.2399999999999993</v>
      </c>
      <c r="U197" s="511">
        <f ca="1">+PRICCURV!Y21</f>
        <v>2.3416666666666663</v>
      </c>
      <c r="V197" s="511">
        <f ca="1">+PRICCURV!Z21</f>
        <v>2.4574999999999991</v>
      </c>
      <c r="W197" s="511">
        <f ca="1">+PRICCURV!AA21</f>
        <v>2.5833333333333326</v>
      </c>
      <c r="X197" s="511">
        <f ca="1">+PRICCURV!AB21</f>
        <v>2.7191666666666663</v>
      </c>
      <c r="Y197" s="511">
        <f ca="1">+PRICCURV!AC21</f>
        <v>2.8649999999999998</v>
      </c>
      <c r="Z197" s="511">
        <f ca="1">+PRICCURV!AD21</f>
        <v>3.0208333333333326</v>
      </c>
      <c r="AA197" s="511">
        <f ca="1">+PRICCURV!AE21</f>
        <v>3.186666666666667</v>
      </c>
      <c r="AB197" s="511">
        <f ca="1">+PRICCURV!AF21</f>
        <v>3.3625000000000003</v>
      </c>
      <c r="AC197" s="511">
        <f ca="1">+PRICCURV!AG21</f>
        <v>3.5483333333333325</v>
      </c>
      <c r="AD197" s="511"/>
    </row>
    <row r="198" spans="1:30">
      <c r="A198" s="19"/>
    </row>
    <row r="199" spans="1:30">
      <c r="A199" s="404" t="s">
        <v>498</v>
      </c>
      <c r="B199" s="339" t="s">
        <v>504</v>
      </c>
      <c r="D199" s="341"/>
      <c r="M199" s="476">
        <v>1.2039155823221876</v>
      </c>
      <c r="Q199" s="713">
        <v>-2.1993830667132852</v>
      </c>
      <c r="S199" s="713">
        <v>0.36899369410527466</v>
      </c>
      <c r="T199">
        <v>1.8478925134623028</v>
      </c>
      <c r="U199">
        <v>-1.5459366694383654</v>
      </c>
    </row>
    <row r="200" spans="1:30">
      <c r="E200" s="510">
        <v>1.96</v>
      </c>
      <c r="F200" s="510">
        <v>1.96</v>
      </c>
      <c r="G200" s="510">
        <v>1.96</v>
      </c>
      <c r="H200" s="510">
        <f>+G200</f>
        <v>1.96</v>
      </c>
      <c r="I200" s="701">
        <v>2.0045998669623142</v>
      </c>
      <c r="J200" s="701">
        <v>2.0968673088118881</v>
      </c>
      <c r="K200" s="405">
        <v>2.1933816235490502</v>
      </c>
      <c r="L200" s="405">
        <v>2.2943382856441201</v>
      </c>
      <c r="M200" s="405">
        <v>2.3999417668389533</v>
      </c>
      <c r="N200" s="405">
        <v>2.5104059502720952</v>
      </c>
      <c r="O200" s="405">
        <v>2.6259545636652288</v>
      </c>
      <c r="P200" s="405">
        <v>2.7468216324482677</v>
      </c>
      <c r="Q200" s="405">
        <v>2.8732519537408296</v>
      </c>
      <c r="R200" s="405">
        <v>3.0055015921500599</v>
      </c>
      <c r="S200" s="405">
        <v>3.1438383983889686</v>
      </c>
      <c r="T200" s="405">
        <v>3.2885425517656612</v>
      </c>
      <c r="U200" s="405">
        <v>3.4399071276421855</v>
      </c>
      <c r="V200" s="405">
        <v>3.598238691012297</v>
      </c>
      <c r="W200" s="405">
        <v>3.7638579174003359</v>
      </c>
      <c r="X200" s="405">
        <v>3.9371002423387536</v>
      </c>
      <c r="Y200" s="405">
        <v>4.1183165407396976</v>
      </c>
      <c r="Z200" s="405">
        <v>4.3078738375366159</v>
      </c>
      <c r="AA200" s="405">
        <v>4.5061560510351777</v>
      </c>
      <c r="AB200" s="405">
        <v>4.7135647704790422</v>
      </c>
      <c r="AC200" s="405">
        <v>4.9305200694053148</v>
      </c>
    </row>
    <row r="201" spans="1:30">
      <c r="E201" s="405"/>
      <c r="F201" s="405"/>
      <c r="G201" s="405"/>
      <c r="H201" s="405"/>
      <c r="I201" s="405"/>
      <c r="J201" s="405"/>
      <c r="K201" s="405"/>
      <c r="L201" s="405"/>
      <c r="M201" s="405"/>
      <c r="N201" s="405"/>
      <c r="O201" s="405"/>
      <c r="P201" s="405"/>
      <c r="Q201" s="405"/>
      <c r="R201" s="405"/>
      <c r="S201" s="405"/>
      <c r="T201" s="405"/>
      <c r="U201" s="405"/>
      <c r="V201" s="405"/>
      <c r="W201" s="405"/>
      <c r="X201" s="405"/>
      <c r="Y201" s="405"/>
      <c r="Z201" s="405"/>
      <c r="AA201" s="405"/>
      <c r="AB201" s="405"/>
      <c r="AC201" s="405"/>
    </row>
    <row r="202" spans="1:30">
      <c r="A202" s="404" t="s">
        <v>500</v>
      </c>
      <c r="B202" s="339" t="s">
        <v>505</v>
      </c>
      <c r="E202" s="405"/>
      <c r="F202" s="405"/>
      <c r="G202" s="405"/>
      <c r="H202" s="405">
        <f>+H200</f>
        <v>1.96</v>
      </c>
      <c r="I202" s="405">
        <f t="shared" ref="I202:AC202" si="87">+H202*(1+I187)</f>
        <v>2.0690655909319862</v>
      </c>
      <c r="J202" s="405">
        <f t="shared" si="87"/>
        <v>2.1842002140707804</v>
      </c>
      <c r="K202" s="405">
        <f t="shared" si="87"/>
        <v>2.3057415850204745</v>
      </c>
      <c r="L202" s="405">
        <f t="shared" si="87"/>
        <v>2.4340462118096138</v>
      </c>
      <c r="M202" s="405">
        <f t="shared" si="87"/>
        <v>2.5694904406089907</v>
      </c>
      <c r="N202" s="405">
        <f t="shared" si="87"/>
        <v>2.7124715596391487</v>
      </c>
      <c r="O202" s="405">
        <f t="shared" si="87"/>
        <v>2.8634089645056031</v>
      </c>
      <c r="P202" s="405">
        <f t="shared" si="87"/>
        <v>3.0227453883799655</v>
      </c>
      <c r="Q202" s="405">
        <f t="shared" si="87"/>
        <v>3.1909482006353724</v>
      </c>
      <c r="R202" s="405">
        <f t="shared" si="87"/>
        <v>3.3685107777454006</v>
      </c>
      <c r="S202" s="405">
        <f t="shared" si="87"/>
        <v>3.5559539504676287</v>
      </c>
      <c r="T202" s="405">
        <f t="shared" si="87"/>
        <v>3.7538275315567526</v>
      </c>
      <c r="U202" s="405">
        <f t="shared" si="87"/>
        <v>3.9627119284883836</v>
      </c>
      <c r="V202" s="405">
        <f t="shared" si="87"/>
        <v>4.183219845924004</v>
      </c>
      <c r="W202" s="405">
        <f t="shared" si="87"/>
        <v>4.4159980829107974</v>
      </c>
      <c r="X202" s="405">
        <f t="shared" si="87"/>
        <v>4.6617294300879326</v>
      </c>
      <c r="Y202" s="405">
        <f t="shared" si="87"/>
        <v>4.9211346724642446</v>
      </c>
      <c r="Z202" s="405">
        <f t="shared" si="87"/>
        <v>5.1949747036418978</v>
      </c>
      <c r="AA202" s="405">
        <f t="shared" si="87"/>
        <v>5.4840527576875227</v>
      </c>
      <c r="AB202" s="405">
        <f t="shared" si="87"/>
        <v>5.78921676519741</v>
      </c>
      <c r="AC202" s="405">
        <f t="shared" si="87"/>
        <v>6.1113618404676231</v>
      </c>
    </row>
    <row r="203" spans="1:30">
      <c r="E203" s="405"/>
      <c r="F203" s="405"/>
      <c r="G203" s="405"/>
      <c r="H203" s="405"/>
      <c r="I203" s="405"/>
      <c r="J203" s="405"/>
      <c r="K203" s="405"/>
      <c r="L203" s="405"/>
      <c r="M203" s="405"/>
      <c r="N203" s="405"/>
      <c r="O203" s="405"/>
      <c r="P203" s="405"/>
      <c r="Q203" s="405"/>
      <c r="R203" s="405"/>
      <c r="S203" s="405"/>
      <c r="T203" s="405"/>
      <c r="U203" s="405"/>
      <c r="V203" s="405"/>
      <c r="W203" s="405"/>
      <c r="X203" s="405"/>
      <c r="Y203" s="405"/>
      <c r="Z203" s="405"/>
      <c r="AA203" s="405"/>
      <c r="AB203" s="405"/>
      <c r="AC203" s="405"/>
    </row>
    <row r="204" spans="1:30">
      <c r="A204" s="404" t="s">
        <v>506</v>
      </c>
      <c r="B204" s="339" t="s">
        <v>507</v>
      </c>
      <c r="E204" s="405"/>
      <c r="F204" s="405"/>
      <c r="G204" s="405"/>
      <c r="H204" s="405">
        <f>+H202</f>
        <v>1.96</v>
      </c>
      <c r="I204" s="405">
        <f t="shared" ref="I204:AC204" si="88">+H204*(1+I190)</f>
        <v>1.96</v>
      </c>
      <c r="J204" s="405">
        <f t="shared" si="88"/>
        <v>1.96</v>
      </c>
      <c r="K204" s="405">
        <f t="shared" si="88"/>
        <v>1.96</v>
      </c>
      <c r="L204" s="405">
        <f t="shared" si="88"/>
        <v>1.96</v>
      </c>
      <c r="M204" s="405">
        <f t="shared" si="88"/>
        <v>1.96</v>
      </c>
      <c r="N204" s="405">
        <f t="shared" si="88"/>
        <v>1.96</v>
      </c>
      <c r="O204" s="405">
        <f t="shared" si="88"/>
        <v>1.96</v>
      </c>
      <c r="P204" s="405">
        <f t="shared" si="88"/>
        <v>1.96</v>
      </c>
      <c r="Q204" s="405">
        <f t="shared" si="88"/>
        <v>1.96</v>
      </c>
      <c r="R204" s="405">
        <f t="shared" si="88"/>
        <v>1.96</v>
      </c>
      <c r="S204" s="405">
        <f t="shared" si="88"/>
        <v>1.96</v>
      </c>
      <c r="T204" s="405">
        <f t="shared" si="88"/>
        <v>1.96</v>
      </c>
      <c r="U204" s="405">
        <f t="shared" si="88"/>
        <v>1.96</v>
      </c>
      <c r="V204" s="405">
        <f t="shared" si="88"/>
        <v>1.96</v>
      </c>
      <c r="W204" s="405">
        <f t="shared" si="88"/>
        <v>1.96</v>
      </c>
      <c r="X204" s="405">
        <f t="shared" si="88"/>
        <v>1.96</v>
      </c>
      <c r="Y204" s="405">
        <f t="shared" si="88"/>
        <v>1.96</v>
      </c>
      <c r="Z204" s="405">
        <f t="shared" si="88"/>
        <v>1.96</v>
      </c>
      <c r="AA204" s="405">
        <f t="shared" si="88"/>
        <v>1.96</v>
      </c>
      <c r="AB204" s="405">
        <f t="shared" si="88"/>
        <v>1.96</v>
      </c>
      <c r="AC204" s="405">
        <f t="shared" si="88"/>
        <v>1.96</v>
      </c>
    </row>
    <row r="205" spans="1:30">
      <c r="E205" s="405"/>
      <c r="F205" s="405"/>
      <c r="G205" s="405"/>
      <c r="H205" s="405"/>
      <c r="I205" s="405"/>
      <c r="J205" s="405"/>
      <c r="K205" s="405"/>
      <c r="L205" s="405"/>
      <c r="M205" s="405"/>
      <c r="N205" s="405"/>
      <c r="O205" s="405"/>
      <c r="P205" s="405"/>
      <c r="Q205" s="405"/>
      <c r="R205" s="405"/>
      <c r="S205" s="405"/>
      <c r="T205" s="405"/>
      <c r="U205" s="405"/>
      <c r="V205" s="405"/>
      <c r="W205" s="405"/>
      <c r="X205" s="405"/>
      <c r="Y205" s="405"/>
      <c r="Z205" s="405"/>
      <c r="AA205" s="405"/>
      <c r="AB205" s="405"/>
      <c r="AC205" s="405"/>
    </row>
    <row r="206" spans="1:30">
      <c r="A206" s="404" t="s">
        <v>508</v>
      </c>
      <c r="B206" s="308" t="s">
        <v>13</v>
      </c>
      <c r="E206" s="405"/>
      <c r="F206" s="405"/>
      <c r="G206" s="405"/>
      <c r="H206" s="405">
        <f>+H197</f>
        <v>0</v>
      </c>
      <c r="I206" s="510">
        <f t="shared" ref="I206:AC206" si="89">+I197</f>
        <v>0</v>
      </c>
      <c r="J206" s="510">
        <f t="shared" ca="1" si="89"/>
        <v>2.2389999999999999</v>
      </c>
      <c r="K206" s="510">
        <f t="shared" ca="1" si="89"/>
        <v>2.0167499999999996</v>
      </c>
      <c r="L206" s="510">
        <f t="shared" ca="1" si="89"/>
        <v>2.0158333333333331</v>
      </c>
      <c r="M206" s="510">
        <f t="shared" ca="1" si="89"/>
        <v>2.0045833333333336</v>
      </c>
      <c r="N206" s="510">
        <f t="shared" ca="1" si="89"/>
        <v>2.0054166666666666</v>
      </c>
      <c r="O206" s="510">
        <f t="shared" ca="1" si="89"/>
        <v>2.0133333333333332</v>
      </c>
      <c r="P206" s="510">
        <f t="shared" ca="1" si="89"/>
        <v>2.0291666666666663</v>
      </c>
      <c r="Q206" s="510">
        <f t="shared" ca="1" si="89"/>
        <v>2.0549999999999997</v>
      </c>
      <c r="R206" s="510">
        <f t="shared" ca="1" si="89"/>
        <v>2.0966666666666662</v>
      </c>
      <c r="S206" s="510">
        <f t="shared" ca="1" si="89"/>
        <v>2.1583333333333328</v>
      </c>
      <c r="T206" s="510">
        <f t="shared" ca="1" si="89"/>
        <v>2.2399999999999993</v>
      </c>
      <c r="U206" s="510">
        <f t="shared" ca="1" si="89"/>
        <v>2.3416666666666663</v>
      </c>
      <c r="V206" s="510">
        <f t="shared" ca="1" si="89"/>
        <v>2.4574999999999991</v>
      </c>
      <c r="W206" s="510">
        <f t="shared" ca="1" si="89"/>
        <v>2.5833333333333326</v>
      </c>
      <c r="X206" s="510">
        <f t="shared" ca="1" si="89"/>
        <v>2.7191666666666663</v>
      </c>
      <c r="Y206" s="510">
        <f t="shared" ca="1" si="89"/>
        <v>2.8649999999999998</v>
      </c>
      <c r="Z206" s="510">
        <f t="shared" ca="1" si="89"/>
        <v>3.0208333333333326</v>
      </c>
      <c r="AA206" s="510">
        <f t="shared" ca="1" si="89"/>
        <v>3.186666666666667</v>
      </c>
      <c r="AB206" s="510">
        <f t="shared" ca="1" si="89"/>
        <v>3.3625000000000003</v>
      </c>
      <c r="AC206" s="510">
        <f t="shared" ca="1" si="89"/>
        <v>3.5483333333333325</v>
      </c>
    </row>
    <row r="207" spans="1:30">
      <c r="A207" s="404"/>
      <c r="B207" s="308"/>
      <c r="E207" s="405"/>
      <c r="F207" s="405"/>
      <c r="G207" s="405"/>
      <c r="H207" s="687"/>
      <c r="I207" s="688"/>
      <c r="J207" s="688"/>
      <c r="K207" s="688"/>
      <c r="L207" s="688"/>
      <c r="M207" s="688"/>
      <c r="N207" s="688"/>
      <c r="O207" s="688"/>
      <c r="P207" s="688"/>
      <c r="Q207" s="688"/>
      <c r="R207" s="688"/>
      <c r="S207" s="688"/>
      <c r="T207" s="688"/>
      <c r="U207" s="688"/>
      <c r="V207" s="688"/>
      <c r="W207" s="688"/>
      <c r="X207" s="688"/>
      <c r="Y207" s="688"/>
      <c r="Z207" s="688"/>
      <c r="AA207" s="688"/>
      <c r="AB207" s="688"/>
      <c r="AC207" s="688"/>
    </row>
    <row r="208" spans="1:30">
      <c r="A208" s="404" t="s">
        <v>509</v>
      </c>
      <c r="B208" s="339" t="s">
        <v>210</v>
      </c>
      <c r="E208" s="405"/>
      <c r="F208" s="405"/>
      <c r="G208" s="405"/>
      <c r="H208" s="405"/>
      <c r="I208" s="509">
        <v>0</v>
      </c>
      <c r="J208" s="509">
        <v>0</v>
      </c>
      <c r="K208" s="509">
        <v>0</v>
      </c>
      <c r="L208" s="509">
        <v>0</v>
      </c>
      <c r="M208" s="509">
        <v>0</v>
      </c>
      <c r="N208" s="509">
        <v>0</v>
      </c>
      <c r="O208" s="509">
        <v>0</v>
      </c>
      <c r="P208" s="509">
        <v>0</v>
      </c>
      <c r="Q208" s="509">
        <v>0</v>
      </c>
      <c r="R208" s="509">
        <v>0</v>
      </c>
      <c r="S208" s="509">
        <v>0</v>
      </c>
      <c r="T208" s="509">
        <v>0</v>
      </c>
      <c r="U208" s="509">
        <v>0</v>
      </c>
      <c r="V208" s="509">
        <v>0</v>
      </c>
      <c r="W208" s="509">
        <v>0</v>
      </c>
      <c r="X208" s="509">
        <v>0</v>
      </c>
      <c r="Y208" s="509">
        <v>0</v>
      </c>
      <c r="Z208" s="509">
        <v>0</v>
      </c>
      <c r="AA208" s="509">
        <v>0</v>
      </c>
      <c r="AB208" s="509">
        <v>0</v>
      </c>
      <c r="AC208" s="509">
        <v>0</v>
      </c>
    </row>
    <row r="209" spans="1:29" ht="12" thickBot="1">
      <c r="E209" s="405"/>
      <c r="F209" s="405"/>
      <c r="G209" s="405"/>
      <c r="H209" s="405"/>
      <c r="I209" s="405"/>
      <c r="J209" s="405"/>
      <c r="K209" s="405"/>
      <c r="L209" s="405"/>
      <c r="M209" s="405"/>
      <c r="N209" s="405"/>
      <c r="O209" s="405"/>
      <c r="P209" s="405"/>
      <c r="Q209" s="405"/>
      <c r="R209" s="405"/>
      <c r="S209" s="405"/>
      <c r="T209" s="405"/>
      <c r="U209" s="405"/>
      <c r="V209" s="405"/>
      <c r="W209" s="405"/>
      <c r="X209" s="405"/>
      <c r="Y209" s="405"/>
      <c r="Z209" s="405"/>
      <c r="AA209" s="405"/>
      <c r="AB209" s="405"/>
      <c r="AC209" s="405"/>
    </row>
    <row r="210" spans="1:29" ht="12" thickTop="1">
      <c r="A210" s="443"/>
      <c r="B210" s="443"/>
      <c r="C210" s="443"/>
      <c r="D210" s="443"/>
      <c r="E210" s="443"/>
      <c r="F210" s="443"/>
      <c r="G210" s="443"/>
      <c r="H210" s="443"/>
      <c r="I210" s="443"/>
      <c r="J210" s="443"/>
      <c r="K210" s="443"/>
      <c r="L210" s="443"/>
      <c r="M210" s="443"/>
      <c r="N210" s="443"/>
      <c r="O210" s="443"/>
      <c r="P210" s="443"/>
      <c r="Q210" s="443"/>
      <c r="R210" s="443"/>
      <c r="S210" s="443"/>
      <c r="T210" s="443"/>
      <c r="U210" s="443"/>
      <c r="V210" s="443"/>
      <c r="W210" s="443"/>
      <c r="X210" s="443"/>
      <c r="Y210" s="443"/>
      <c r="Z210" s="443"/>
      <c r="AA210" s="443"/>
      <c r="AB210" s="443"/>
      <c r="AC210" s="443"/>
    </row>
    <row r="211" spans="1:29">
      <c r="A211" s="15" t="s">
        <v>20</v>
      </c>
    </row>
    <row r="212" spans="1:29">
      <c r="A212" s="404" t="s">
        <v>492</v>
      </c>
      <c r="B212" s="83" t="s">
        <v>510</v>
      </c>
      <c r="I212" s="512">
        <v>0</v>
      </c>
      <c r="J212" s="512">
        <f ca="1">+PRICCURV!N37</f>
        <v>21.515888888888885</v>
      </c>
      <c r="K212" s="512">
        <f ca="1">+PRICCURV!O37</f>
        <v>18.986666666666665</v>
      </c>
      <c r="L212" s="512">
        <f ca="1">+PRICCURV!P37</f>
        <v>18.343166666666665</v>
      </c>
      <c r="M212" s="512">
        <f ca="1">+PRICCURV!Q37</f>
        <v>18.421749999999999</v>
      </c>
      <c r="N212" s="512">
        <f ca="1">+PRICCURV!R37</f>
        <v>18.575749999999999</v>
      </c>
      <c r="O212" s="512">
        <f ca="1">+PRICCURV!S37</f>
        <v>18.731416666666668</v>
      </c>
      <c r="P212" s="512">
        <f ca="1">+PRICCURV!T37</f>
        <v>18.906166666666667</v>
      </c>
      <c r="Q212" s="512">
        <f ca="1">+PRICCURV!U37</f>
        <v>19.098166666666668</v>
      </c>
      <c r="R212" s="512">
        <f ca="1">+PRICCURV!V37</f>
        <v>19.300749999999997</v>
      </c>
      <c r="S212" s="512">
        <f ca="1">+PRICCURV!W37</f>
        <v>19.5105</v>
      </c>
      <c r="T212" s="512">
        <f ca="1">+PRICCURV!X37</f>
        <v>19.720083333333339</v>
      </c>
      <c r="U212" s="512">
        <f ca="1">+PRICCURV!Y37</f>
        <v>19.930416666666662</v>
      </c>
      <c r="V212" s="512">
        <f ca="1">+PRICCURV!Z37</f>
        <v>20.140416666666663</v>
      </c>
      <c r="W212" s="512">
        <f ca="1">+PRICCURV!AA37</f>
        <v>20.350249999999999</v>
      </c>
      <c r="X212" s="512">
        <f ca="1">+PRICCURV!AB37</f>
        <v>20.843916666666669</v>
      </c>
      <c r="Y212" s="512">
        <f ca="1">+PRICCURV!AC37</f>
        <v>21.326833333333337</v>
      </c>
      <c r="Z212" s="512">
        <f ca="1">+PRICCURV!AD37</f>
        <v>21.627249999999993</v>
      </c>
      <c r="AA212" s="512">
        <f ca="1">+PRICCURV!AE37</f>
        <v>21.926999999999996</v>
      </c>
      <c r="AB212" s="512">
        <f ca="1">+PRICCURV!AF37</f>
        <v>22.22666666666667</v>
      </c>
      <c r="AC212" s="512">
        <f ca="1">+PRICCURV!AG37</f>
        <v>22.451999999999998</v>
      </c>
    </row>
    <row r="213" spans="1:29">
      <c r="A213" s="15"/>
    </row>
    <row r="214" spans="1:29">
      <c r="A214" s="404" t="s">
        <v>498</v>
      </c>
      <c r="B214" s="339" t="s">
        <v>504</v>
      </c>
      <c r="D214" s="341"/>
    </row>
    <row r="215" spans="1:29">
      <c r="E215" s="509">
        <v>1.75</v>
      </c>
      <c r="F215" s="509">
        <f>+E215</f>
        <v>1.75</v>
      </c>
      <c r="G215" s="509">
        <f>+F215</f>
        <v>1.75</v>
      </c>
      <c r="H215" s="509">
        <f>+I212</f>
        <v>0</v>
      </c>
      <c r="I215" s="408">
        <v>0</v>
      </c>
      <c r="J215" s="408">
        <v>0</v>
      </c>
      <c r="K215" s="408">
        <v>0</v>
      </c>
      <c r="L215" s="408">
        <v>0</v>
      </c>
      <c r="M215" s="408">
        <v>0</v>
      </c>
      <c r="N215" s="408">
        <v>0</v>
      </c>
      <c r="O215" s="408">
        <v>0</v>
      </c>
      <c r="P215" s="408">
        <v>0</v>
      </c>
      <c r="Q215" s="408">
        <v>0</v>
      </c>
      <c r="R215" s="408">
        <v>0</v>
      </c>
      <c r="S215" s="408">
        <v>0</v>
      </c>
      <c r="T215" s="408">
        <v>0</v>
      </c>
      <c r="U215" s="408">
        <v>0</v>
      </c>
      <c r="V215" s="408">
        <v>0</v>
      </c>
      <c r="W215" s="408">
        <v>0</v>
      </c>
      <c r="X215" s="408">
        <v>0</v>
      </c>
      <c r="Y215" s="408">
        <v>0</v>
      </c>
      <c r="Z215" s="408">
        <v>0</v>
      </c>
      <c r="AA215" s="408">
        <v>0</v>
      </c>
      <c r="AB215" s="408">
        <v>0</v>
      </c>
      <c r="AC215" s="408">
        <v>0</v>
      </c>
    </row>
    <row r="216" spans="1:29">
      <c r="H216" s="408"/>
      <c r="I216" s="408"/>
      <c r="J216" s="408"/>
      <c r="K216" s="408"/>
      <c r="L216" s="408"/>
      <c r="M216" s="408"/>
      <c r="N216" s="408"/>
      <c r="O216" s="408"/>
      <c r="P216" s="408"/>
      <c r="Q216" s="408"/>
      <c r="R216" s="408"/>
      <c r="S216" s="408"/>
      <c r="T216" s="408"/>
      <c r="U216" s="408"/>
      <c r="V216" s="408"/>
      <c r="W216" s="408"/>
      <c r="X216" s="408"/>
      <c r="Y216" s="408"/>
      <c r="Z216" s="408"/>
      <c r="AA216" s="408"/>
      <c r="AB216" s="408"/>
      <c r="AC216" s="408"/>
    </row>
    <row r="217" spans="1:29">
      <c r="A217" s="404" t="s">
        <v>500</v>
      </c>
      <c r="B217" s="339" t="s">
        <v>505</v>
      </c>
      <c r="H217" s="408">
        <f>+H215</f>
        <v>0</v>
      </c>
      <c r="I217" s="408">
        <f t="shared" ref="I217:AC217" si="90">+H217*(1+I187)</f>
        <v>0</v>
      </c>
      <c r="J217" s="408">
        <f t="shared" si="90"/>
        <v>0</v>
      </c>
      <c r="K217" s="408">
        <f t="shared" si="90"/>
        <v>0</v>
      </c>
      <c r="L217" s="408">
        <f t="shared" si="90"/>
        <v>0</v>
      </c>
      <c r="M217" s="408">
        <f t="shared" si="90"/>
        <v>0</v>
      </c>
      <c r="N217" s="408">
        <f t="shared" si="90"/>
        <v>0</v>
      </c>
      <c r="O217" s="408">
        <f t="shared" si="90"/>
        <v>0</v>
      </c>
      <c r="P217" s="408">
        <f t="shared" si="90"/>
        <v>0</v>
      </c>
      <c r="Q217" s="408">
        <f t="shared" si="90"/>
        <v>0</v>
      </c>
      <c r="R217" s="408">
        <f t="shared" si="90"/>
        <v>0</v>
      </c>
      <c r="S217" s="408">
        <f t="shared" si="90"/>
        <v>0</v>
      </c>
      <c r="T217" s="408">
        <f t="shared" si="90"/>
        <v>0</v>
      </c>
      <c r="U217" s="408">
        <f t="shared" si="90"/>
        <v>0</v>
      </c>
      <c r="V217" s="408">
        <f t="shared" si="90"/>
        <v>0</v>
      </c>
      <c r="W217" s="408">
        <f t="shared" si="90"/>
        <v>0</v>
      </c>
      <c r="X217" s="408">
        <f t="shared" si="90"/>
        <v>0</v>
      </c>
      <c r="Y217" s="408">
        <f t="shared" si="90"/>
        <v>0</v>
      </c>
      <c r="Z217" s="408">
        <f t="shared" si="90"/>
        <v>0</v>
      </c>
      <c r="AA217" s="408">
        <f t="shared" si="90"/>
        <v>0</v>
      </c>
      <c r="AB217" s="408">
        <f t="shared" si="90"/>
        <v>0</v>
      </c>
      <c r="AC217" s="408">
        <f t="shared" si="90"/>
        <v>0</v>
      </c>
    </row>
    <row r="218" spans="1:29">
      <c r="H218" s="408"/>
      <c r="I218" s="408"/>
      <c r="J218" s="408"/>
      <c r="K218" s="408"/>
      <c r="L218" s="408"/>
      <c r="M218" s="408"/>
      <c r="N218" s="408"/>
      <c r="O218" s="408"/>
      <c r="P218" s="408"/>
      <c r="Q218" s="408"/>
      <c r="R218" s="408"/>
      <c r="S218" s="408"/>
      <c r="T218" s="408"/>
      <c r="U218" s="408"/>
      <c r="V218" s="408"/>
      <c r="W218" s="408"/>
      <c r="X218" s="408"/>
      <c r="Y218" s="408"/>
      <c r="Z218" s="408"/>
      <c r="AA218" s="408"/>
      <c r="AB218" s="408"/>
      <c r="AC218" s="408"/>
    </row>
    <row r="219" spans="1:29">
      <c r="A219" s="404" t="s">
        <v>506</v>
      </c>
      <c r="B219" s="339" t="s">
        <v>507</v>
      </c>
      <c r="H219" s="408">
        <f>+H217</f>
        <v>0</v>
      </c>
      <c r="I219" s="408">
        <f t="shared" ref="I219:AC219" si="91">+H219*(1+I190)</f>
        <v>0</v>
      </c>
      <c r="J219" s="408">
        <f t="shared" si="91"/>
        <v>0</v>
      </c>
      <c r="K219" s="408">
        <f t="shared" si="91"/>
        <v>0</v>
      </c>
      <c r="L219" s="408">
        <f t="shared" si="91"/>
        <v>0</v>
      </c>
      <c r="M219" s="408">
        <f t="shared" si="91"/>
        <v>0</v>
      </c>
      <c r="N219" s="408">
        <f t="shared" si="91"/>
        <v>0</v>
      </c>
      <c r="O219" s="408">
        <f t="shared" si="91"/>
        <v>0</v>
      </c>
      <c r="P219" s="408">
        <f t="shared" si="91"/>
        <v>0</v>
      </c>
      <c r="Q219" s="408">
        <f t="shared" si="91"/>
        <v>0</v>
      </c>
      <c r="R219" s="408">
        <f t="shared" si="91"/>
        <v>0</v>
      </c>
      <c r="S219" s="408">
        <f t="shared" si="91"/>
        <v>0</v>
      </c>
      <c r="T219" s="408">
        <f t="shared" si="91"/>
        <v>0</v>
      </c>
      <c r="U219" s="408">
        <f t="shared" si="91"/>
        <v>0</v>
      </c>
      <c r="V219" s="408">
        <f t="shared" si="91"/>
        <v>0</v>
      </c>
      <c r="W219" s="408">
        <f t="shared" si="91"/>
        <v>0</v>
      </c>
      <c r="X219" s="408">
        <f t="shared" si="91"/>
        <v>0</v>
      </c>
      <c r="Y219" s="408">
        <f t="shared" si="91"/>
        <v>0</v>
      </c>
      <c r="Z219" s="408">
        <f t="shared" si="91"/>
        <v>0</v>
      </c>
      <c r="AA219" s="408">
        <f t="shared" si="91"/>
        <v>0</v>
      </c>
      <c r="AB219" s="408">
        <f t="shared" si="91"/>
        <v>0</v>
      </c>
      <c r="AC219" s="408">
        <f t="shared" si="91"/>
        <v>0</v>
      </c>
    </row>
    <row r="220" spans="1:29">
      <c r="H220" s="408"/>
      <c r="I220" s="408"/>
      <c r="J220" s="408"/>
      <c r="K220" s="408"/>
      <c r="L220" s="408"/>
      <c r="M220" s="408"/>
      <c r="N220" s="408"/>
      <c r="O220" s="408"/>
      <c r="P220" s="408"/>
      <c r="Q220" s="408"/>
      <c r="R220" s="408"/>
      <c r="S220" s="408"/>
      <c r="T220" s="408"/>
      <c r="U220" s="408"/>
      <c r="V220" s="408"/>
      <c r="W220" s="408"/>
      <c r="X220" s="408"/>
      <c r="Y220" s="408"/>
      <c r="Z220" s="408"/>
      <c r="AA220" s="408"/>
      <c r="AB220" s="408"/>
      <c r="AC220" s="408"/>
    </row>
    <row r="221" spans="1:29">
      <c r="A221" s="404" t="s">
        <v>508</v>
      </c>
      <c r="B221" s="308" t="s">
        <v>13</v>
      </c>
      <c r="H221" s="408">
        <f>+H219</f>
        <v>0</v>
      </c>
      <c r="I221" s="509">
        <f t="shared" ref="I221:AC221" si="92">+I212</f>
        <v>0</v>
      </c>
      <c r="J221" s="509">
        <f t="shared" ca="1" si="92"/>
        <v>21.515888888888885</v>
      </c>
      <c r="K221" s="509">
        <f t="shared" ca="1" si="92"/>
        <v>18.986666666666665</v>
      </c>
      <c r="L221" s="509">
        <f t="shared" ca="1" si="92"/>
        <v>18.343166666666665</v>
      </c>
      <c r="M221" s="509">
        <f t="shared" ca="1" si="92"/>
        <v>18.421749999999999</v>
      </c>
      <c r="N221" s="509">
        <f t="shared" ca="1" si="92"/>
        <v>18.575749999999999</v>
      </c>
      <c r="O221" s="509">
        <f t="shared" ca="1" si="92"/>
        <v>18.731416666666668</v>
      </c>
      <c r="P221" s="509">
        <f t="shared" ca="1" si="92"/>
        <v>18.906166666666667</v>
      </c>
      <c r="Q221" s="509">
        <f t="shared" ca="1" si="92"/>
        <v>19.098166666666668</v>
      </c>
      <c r="R221" s="509">
        <f t="shared" ca="1" si="92"/>
        <v>19.300749999999997</v>
      </c>
      <c r="S221" s="509">
        <f t="shared" ca="1" si="92"/>
        <v>19.5105</v>
      </c>
      <c r="T221" s="509">
        <f t="shared" ca="1" si="92"/>
        <v>19.720083333333339</v>
      </c>
      <c r="U221" s="509">
        <f t="shared" ca="1" si="92"/>
        <v>19.930416666666662</v>
      </c>
      <c r="V221" s="509">
        <f t="shared" ca="1" si="92"/>
        <v>20.140416666666663</v>
      </c>
      <c r="W221" s="509">
        <f t="shared" ca="1" si="92"/>
        <v>20.350249999999999</v>
      </c>
      <c r="X221" s="509">
        <f t="shared" ca="1" si="92"/>
        <v>20.843916666666669</v>
      </c>
      <c r="Y221" s="509">
        <f t="shared" ca="1" si="92"/>
        <v>21.326833333333337</v>
      </c>
      <c r="Z221" s="509">
        <f t="shared" ca="1" si="92"/>
        <v>21.627249999999993</v>
      </c>
      <c r="AA221" s="509">
        <f t="shared" ca="1" si="92"/>
        <v>21.926999999999996</v>
      </c>
      <c r="AB221" s="509">
        <f t="shared" ca="1" si="92"/>
        <v>22.22666666666667</v>
      </c>
      <c r="AC221" s="509">
        <f t="shared" ca="1" si="92"/>
        <v>22.451999999999998</v>
      </c>
    </row>
    <row r="222" spans="1:29">
      <c r="A222" s="404"/>
      <c r="B222" s="308"/>
      <c r="H222" s="408"/>
      <c r="I222" s="689"/>
      <c r="J222" s="689"/>
      <c r="K222" s="689"/>
      <c r="L222" s="689"/>
      <c r="M222" s="689"/>
      <c r="N222" s="689"/>
      <c r="O222" s="689"/>
      <c r="P222" s="689"/>
      <c r="Q222" s="689"/>
      <c r="R222" s="689"/>
      <c r="S222" s="689"/>
      <c r="T222" s="689"/>
      <c r="U222" s="689"/>
      <c r="V222" s="689"/>
      <c r="W222" s="689"/>
      <c r="X222" s="689"/>
      <c r="Y222" s="689"/>
      <c r="Z222" s="689"/>
      <c r="AA222" s="689"/>
      <c r="AB222" s="689"/>
      <c r="AC222" s="689"/>
    </row>
    <row r="223" spans="1:29">
      <c r="A223" s="404" t="s">
        <v>509</v>
      </c>
      <c r="B223" s="308" t="str">
        <f>B236</f>
        <v>Other:</v>
      </c>
      <c r="H223" s="408"/>
      <c r="I223" s="509">
        <v>0</v>
      </c>
      <c r="J223" s="509">
        <v>0</v>
      </c>
      <c r="K223" s="509">
        <v>0</v>
      </c>
      <c r="L223" s="509">
        <v>0</v>
      </c>
      <c r="M223" s="509">
        <v>0</v>
      </c>
      <c r="N223" s="509">
        <v>0</v>
      </c>
      <c r="O223" s="509">
        <v>0</v>
      </c>
      <c r="P223" s="509">
        <v>0</v>
      </c>
      <c r="Q223" s="509">
        <v>0</v>
      </c>
      <c r="R223" s="509">
        <v>0</v>
      </c>
      <c r="S223" s="509">
        <v>0</v>
      </c>
      <c r="T223" s="509">
        <v>0</v>
      </c>
      <c r="U223" s="509">
        <v>0</v>
      </c>
      <c r="V223" s="509">
        <v>0</v>
      </c>
      <c r="W223" s="509">
        <v>0</v>
      </c>
      <c r="X223" s="509">
        <v>0</v>
      </c>
      <c r="Y223" s="509">
        <v>0</v>
      </c>
      <c r="Z223" s="509">
        <v>0</v>
      </c>
      <c r="AA223" s="509">
        <v>0</v>
      </c>
      <c r="AB223" s="509">
        <v>0</v>
      </c>
      <c r="AC223" s="509">
        <v>0</v>
      </c>
    </row>
    <row r="224" spans="1:29" ht="12" thickBot="1"/>
    <row r="225" spans="1:29" ht="12" thickTop="1">
      <c r="A225" s="443"/>
      <c r="B225" s="443"/>
      <c r="C225" s="443"/>
      <c r="D225" s="443"/>
      <c r="E225" s="443"/>
      <c r="F225" s="443"/>
      <c r="G225" s="443"/>
      <c r="H225" s="443"/>
      <c r="I225" s="443"/>
      <c r="J225" s="443"/>
      <c r="K225" s="443"/>
      <c r="L225" s="443"/>
      <c r="M225" s="443"/>
      <c r="N225" s="443"/>
      <c r="O225" s="443"/>
      <c r="P225" s="443"/>
      <c r="Q225" s="443"/>
      <c r="R225" s="443"/>
      <c r="S225" s="443"/>
      <c r="T225" s="443"/>
      <c r="U225" s="443"/>
      <c r="V225" s="443"/>
      <c r="W225" s="443"/>
      <c r="X225" s="443"/>
      <c r="Y225" s="443"/>
      <c r="Z225" s="443"/>
      <c r="AA225" s="443"/>
      <c r="AB225" s="443"/>
      <c r="AC225" s="443"/>
    </row>
    <row r="226" spans="1:29">
      <c r="A226" s="337" t="s">
        <v>511</v>
      </c>
    </row>
    <row r="227" spans="1:29">
      <c r="A227" s="404" t="s">
        <v>492</v>
      </c>
      <c r="B227" s="83" t="s">
        <v>512</v>
      </c>
      <c r="E227" t="s">
        <v>513</v>
      </c>
      <c r="G227" s="507">
        <v>0.79</v>
      </c>
      <c r="I227" s="512">
        <f t="shared" ref="I227:AC227" si="93">+I212*$G227</f>
        <v>0</v>
      </c>
      <c r="J227" s="512">
        <f t="shared" ca="1" si="93"/>
        <v>16.997552222222218</v>
      </c>
      <c r="K227" s="512">
        <f t="shared" ca="1" si="93"/>
        <v>14.999466666666665</v>
      </c>
      <c r="L227" s="512">
        <f t="shared" ca="1" si="93"/>
        <v>14.491101666666665</v>
      </c>
      <c r="M227" s="512">
        <f t="shared" ca="1" si="93"/>
        <v>14.5531825</v>
      </c>
      <c r="N227" s="512">
        <f t="shared" ca="1" si="93"/>
        <v>14.6748425</v>
      </c>
      <c r="O227" s="512">
        <f t="shared" ca="1" si="93"/>
        <v>14.797819166666669</v>
      </c>
      <c r="P227" s="512">
        <f t="shared" ca="1" si="93"/>
        <v>14.935871666666667</v>
      </c>
      <c r="Q227" s="512">
        <f t="shared" ca="1" si="93"/>
        <v>15.087551666666668</v>
      </c>
      <c r="R227" s="512">
        <f t="shared" ca="1" si="93"/>
        <v>15.247592499999998</v>
      </c>
      <c r="S227" s="512">
        <f t="shared" ca="1" si="93"/>
        <v>15.413295000000002</v>
      </c>
      <c r="T227" s="512">
        <f t="shared" ca="1" si="93"/>
        <v>15.578865833333339</v>
      </c>
      <c r="U227" s="512">
        <f t="shared" ca="1" si="93"/>
        <v>15.745029166666663</v>
      </c>
      <c r="V227" s="512">
        <f t="shared" ca="1" si="93"/>
        <v>15.910929166666664</v>
      </c>
      <c r="W227" s="512">
        <f t="shared" ca="1" si="93"/>
        <v>16.076697500000002</v>
      </c>
      <c r="X227" s="512">
        <f t="shared" ca="1" si="93"/>
        <v>16.46669416666667</v>
      </c>
      <c r="Y227" s="512">
        <f t="shared" ca="1" si="93"/>
        <v>16.848198333333336</v>
      </c>
      <c r="Z227" s="512">
        <f t="shared" ca="1" si="93"/>
        <v>17.085527499999994</v>
      </c>
      <c r="AA227" s="512">
        <f t="shared" ca="1" si="93"/>
        <v>17.322329999999997</v>
      </c>
      <c r="AB227" s="512">
        <f t="shared" ca="1" si="93"/>
        <v>17.55906666666667</v>
      </c>
      <c r="AC227" s="512">
        <f t="shared" ca="1" si="93"/>
        <v>17.737079999999999</v>
      </c>
    </row>
    <row r="228" spans="1:29">
      <c r="A228" s="15"/>
    </row>
    <row r="229" spans="1:29">
      <c r="A229" s="404" t="s">
        <v>498</v>
      </c>
      <c r="B229" s="339" t="s">
        <v>504</v>
      </c>
      <c r="D229" s="341"/>
    </row>
    <row r="230" spans="1:29">
      <c r="E230" s="509">
        <v>1.75</v>
      </c>
      <c r="F230" s="509">
        <f>+E230</f>
        <v>1.75</v>
      </c>
      <c r="G230" s="509">
        <f>+F230</f>
        <v>1.75</v>
      </c>
      <c r="H230" s="509">
        <f>+I227</f>
        <v>0</v>
      </c>
      <c r="I230" s="408">
        <v>0</v>
      </c>
      <c r="J230" s="408">
        <v>0</v>
      </c>
      <c r="K230" s="408">
        <v>0</v>
      </c>
      <c r="L230" s="408">
        <v>0</v>
      </c>
      <c r="M230" s="408">
        <v>0</v>
      </c>
      <c r="N230" s="408">
        <v>0</v>
      </c>
      <c r="O230" s="408">
        <v>0</v>
      </c>
      <c r="P230" s="408">
        <v>0</v>
      </c>
      <c r="Q230" s="408">
        <v>0</v>
      </c>
      <c r="R230" s="408">
        <v>0</v>
      </c>
      <c r="S230" s="408">
        <v>0</v>
      </c>
      <c r="T230" s="408">
        <v>0</v>
      </c>
      <c r="U230" s="408">
        <v>0</v>
      </c>
      <c r="V230" s="408">
        <v>0</v>
      </c>
      <c r="W230" s="408">
        <v>0</v>
      </c>
      <c r="X230" s="408">
        <v>0</v>
      </c>
      <c r="Y230" s="408">
        <v>0</v>
      </c>
      <c r="Z230" s="408">
        <v>0</v>
      </c>
      <c r="AA230" s="408">
        <v>0</v>
      </c>
      <c r="AB230" s="408">
        <v>0</v>
      </c>
      <c r="AC230" s="408">
        <v>0</v>
      </c>
    </row>
    <row r="231" spans="1:29">
      <c r="H231" s="408"/>
      <c r="I231" s="408"/>
      <c r="J231" s="408"/>
      <c r="K231" s="408"/>
      <c r="L231" s="408"/>
      <c r="M231" s="408"/>
      <c r="N231" s="408"/>
      <c r="O231" s="408"/>
      <c r="P231" s="408"/>
      <c r="Q231" s="408"/>
      <c r="R231" s="408"/>
      <c r="S231" s="408"/>
      <c r="T231" s="408"/>
      <c r="U231" s="408"/>
      <c r="V231" s="408"/>
      <c r="W231" s="408"/>
      <c r="X231" s="408"/>
      <c r="Y231" s="408"/>
      <c r="Z231" s="408"/>
      <c r="AA231" s="408"/>
      <c r="AB231" s="408"/>
      <c r="AC231" s="408"/>
    </row>
    <row r="232" spans="1:29">
      <c r="A232" s="404" t="s">
        <v>500</v>
      </c>
      <c r="B232" s="339" t="s">
        <v>505</v>
      </c>
      <c r="H232" s="408">
        <f>+H230</f>
        <v>0</v>
      </c>
      <c r="I232" s="408">
        <f t="shared" ref="I232:AC232" si="94">+H232*(1+I187)</f>
        <v>0</v>
      </c>
      <c r="J232" s="408">
        <f t="shared" si="94"/>
        <v>0</v>
      </c>
      <c r="K232" s="408">
        <f t="shared" si="94"/>
        <v>0</v>
      </c>
      <c r="L232" s="408">
        <f t="shared" si="94"/>
        <v>0</v>
      </c>
      <c r="M232" s="408">
        <f t="shared" si="94"/>
        <v>0</v>
      </c>
      <c r="N232" s="408">
        <f t="shared" si="94"/>
        <v>0</v>
      </c>
      <c r="O232" s="408">
        <f t="shared" si="94"/>
        <v>0</v>
      </c>
      <c r="P232" s="408">
        <f t="shared" si="94"/>
        <v>0</v>
      </c>
      <c r="Q232" s="408">
        <f t="shared" si="94"/>
        <v>0</v>
      </c>
      <c r="R232" s="408">
        <f t="shared" si="94"/>
        <v>0</v>
      </c>
      <c r="S232" s="408">
        <f t="shared" si="94"/>
        <v>0</v>
      </c>
      <c r="T232" s="408">
        <f t="shared" si="94"/>
        <v>0</v>
      </c>
      <c r="U232" s="408">
        <f t="shared" si="94"/>
        <v>0</v>
      </c>
      <c r="V232" s="408">
        <f t="shared" si="94"/>
        <v>0</v>
      </c>
      <c r="W232" s="408">
        <f t="shared" si="94"/>
        <v>0</v>
      </c>
      <c r="X232" s="408">
        <f t="shared" si="94"/>
        <v>0</v>
      </c>
      <c r="Y232" s="408">
        <f t="shared" si="94"/>
        <v>0</v>
      </c>
      <c r="Z232" s="408">
        <f t="shared" si="94"/>
        <v>0</v>
      </c>
      <c r="AA232" s="408">
        <f t="shared" si="94"/>
        <v>0</v>
      </c>
      <c r="AB232" s="408">
        <f t="shared" si="94"/>
        <v>0</v>
      </c>
      <c r="AC232" s="408">
        <f t="shared" si="94"/>
        <v>0</v>
      </c>
    </row>
    <row r="233" spans="1:29">
      <c r="H233" s="408"/>
      <c r="I233" s="408"/>
      <c r="J233" s="408"/>
      <c r="K233" s="408"/>
      <c r="L233" s="408"/>
      <c r="M233" s="408"/>
      <c r="N233" s="408"/>
      <c r="O233" s="408"/>
      <c r="P233" s="408"/>
      <c r="Q233" s="408"/>
      <c r="R233" s="408"/>
      <c r="S233" s="408"/>
      <c r="T233" s="408"/>
      <c r="U233" s="408"/>
      <c r="V233" s="408"/>
      <c r="W233" s="408"/>
      <c r="X233" s="408"/>
      <c r="Y233" s="408"/>
      <c r="Z233" s="408"/>
      <c r="AA233" s="408"/>
      <c r="AB233" s="408"/>
      <c r="AC233" s="408"/>
    </row>
    <row r="234" spans="1:29">
      <c r="A234" s="404" t="s">
        <v>506</v>
      </c>
      <c r="B234" s="339" t="s">
        <v>507</v>
      </c>
      <c r="H234" s="408">
        <f>+H232</f>
        <v>0</v>
      </c>
      <c r="I234" s="408">
        <f t="shared" ref="I234:AC234" si="95">+H234*(1+I190)</f>
        <v>0</v>
      </c>
      <c r="J234" s="408">
        <f t="shared" si="95"/>
        <v>0</v>
      </c>
      <c r="K234" s="408">
        <f t="shared" si="95"/>
        <v>0</v>
      </c>
      <c r="L234" s="408">
        <f t="shared" si="95"/>
        <v>0</v>
      </c>
      <c r="M234" s="408">
        <f t="shared" si="95"/>
        <v>0</v>
      </c>
      <c r="N234" s="408">
        <f t="shared" si="95"/>
        <v>0</v>
      </c>
      <c r="O234" s="408">
        <f t="shared" si="95"/>
        <v>0</v>
      </c>
      <c r="P234" s="408">
        <f t="shared" si="95"/>
        <v>0</v>
      </c>
      <c r="Q234" s="408">
        <f t="shared" si="95"/>
        <v>0</v>
      </c>
      <c r="R234" s="408">
        <f t="shared" si="95"/>
        <v>0</v>
      </c>
      <c r="S234" s="408">
        <f t="shared" si="95"/>
        <v>0</v>
      </c>
      <c r="T234" s="408">
        <f t="shared" si="95"/>
        <v>0</v>
      </c>
      <c r="U234" s="408">
        <f t="shared" si="95"/>
        <v>0</v>
      </c>
      <c r="V234" s="408">
        <f t="shared" si="95"/>
        <v>0</v>
      </c>
      <c r="W234" s="408">
        <f t="shared" si="95"/>
        <v>0</v>
      </c>
      <c r="X234" s="408">
        <f t="shared" si="95"/>
        <v>0</v>
      </c>
      <c r="Y234" s="408">
        <f t="shared" si="95"/>
        <v>0</v>
      </c>
      <c r="Z234" s="408">
        <f t="shared" si="95"/>
        <v>0</v>
      </c>
      <c r="AA234" s="408">
        <f t="shared" si="95"/>
        <v>0</v>
      </c>
      <c r="AB234" s="408">
        <f t="shared" si="95"/>
        <v>0</v>
      </c>
      <c r="AC234" s="408">
        <f t="shared" si="95"/>
        <v>0</v>
      </c>
    </row>
    <row r="235" spans="1:29">
      <c r="H235" s="408"/>
      <c r="I235" s="408"/>
      <c r="J235" s="408"/>
      <c r="K235" s="408"/>
      <c r="L235" s="408"/>
      <c r="M235" s="408"/>
      <c r="N235" s="408"/>
      <c r="O235" s="408"/>
      <c r="P235" s="408"/>
      <c r="Q235" s="408"/>
      <c r="R235" s="408"/>
      <c r="S235" s="408"/>
      <c r="T235" s="408"/>
      <c r="U235" s="408"/>
      <c r="V235" s="408"/>
      <c r="W235" s="408"/>
      <c r="X235" s="408"/>
      <c r="Y235" s="408"/>
      <c r="Z235" s="408"/>
      <c r="AA235" s="408"/>
      <c r="AB235" s="408"/>
      <c r="AC235" s="408"/>
    </row>
    <row r="236" spans="1:29">
      <c r="A236" s="404" t="s">
        <v>508</v>
      </c>
      <c r="B236" s="339" t="s">
        <v>210</v>
      </c>
      <c r="H236" s="408">
        <f>+H234</f>
        <v>0</v>
      </c>
      <c r="I236" s="509">
        <v>0</v>
      </c>
      <c r="J236" s="509">
        <v>0</v>
      </c>
      <c r="K236" s="509">
        <v>0</v>
      </c>
      <c r="L236" s="509">
        <v>0</v>
      </c>
      <c r="M236" s="509">
        <v>0</v>
      </c>
      <c r="N236" s="509">
        <v>0</v>
      </c>
      <c r="O236" s="509">
        <v>0</v>
      </c>
      <c r="P236" s="509">
        <v>0</v>
      </c>
      <c r="Q236" s="509">
        <v>0</v>
      </c>
      <c r="R236" s="509">
        <v>0</v>
      </c>
      <c r="S236" s="509">
        <v>0</v>
      </c>
      <c r="T236" s="509">
        <v>0</v>
      </c>
      <c r="U236" s="509">
        <v>0</v>
      </c>
      <c r="V236" s="509">
        <v>0</v>
      </c>
      <c r="W236" s="509">
        <v>0</v>
      </c>
      <c r="X236" s="509">
        <v>0</v>
      </c>
      <c r="Y236" s="509">
        <v>0</v>
      </c>
      <c r="Z236" s="509">
        <v>0</v>
      </c>
      <c r="AA236" s="509">
        <v>0</v>
      </c>
      <c r="AB236" s="509">
        <v>0</v>
      </c>
      <c r="AC236" s="509">
        <v>0</v>
      </c>
    </row>
    <row r="237" spans="1:29">
      <c r="A237" s="337"/>
    </row>
    <row r="238" spans="1:29" ht="12" thickBot="1">
      <c r="A238" s="208"/>
      <c r="B238" s="208"/>
      <c r="C238" s="208"/>
      <c r="D238" s="208"/>
      <c r="E238" s="20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</row>
    <row r="239" spans="1:29" ht="12.75" thickTop="1" thickBot="1">
      <c r="A239" s="301"/>
      <c r="B239" s="301"/>
      <c r="C239" s="301"/>
      <c r="D239" s="301"/>
      <c r="E239" s="301"/>
      <c r="F239" s="301"/>
      <c r="G239" s="301"/>
      <c r="H239" s="301"/>
      <c r="I239" s="301"/>
      <c r="J239" s="301"/>
      <c r="K239" s="301"/>
      <c r="L239" s="301"/>
      <c r="M239" s="301"/>
      <c r="N239" s="301"/>
      <c r="O239" s="301"/>
      <c r="P239" s="301"/>
      <c r="Q239" s="301"/>
      <c r="R239" s="301"/>
      <c r="S239" s="301"/>
      <c r="T239" s="301"/>
      <c r="U239" s="301"/>
      <c r="V239" s="301"/>
      <c r="W239" s="301"/>
      <c r="X239" s="301"/>
      <c r="Y239" s="301"/>
      <c r="Z239" s="301"/>
      <c r="AA239" s="301"/>
      <c r="AB239" s="301"/>
      <c r="AC239" s="301"/>
    </row>
    <row r="240" spans="1:29" ht="12.75" thickTop="1" thickBot="1">
      <c r="A240" s="15" t="s">
        <v>178</v>
      </c>
      <c r="B240" s="5"/>
      <c r="C240" s="5"/>
      <c r="D240" s="5"/>
      <c r="E240" s="166" t="str">
        <f>+E3</f>
        <v xml:space="preserve">1996 </v>
      </c>
      <c r="F240" s="166" t="str">
        <f>+F3</f>
        <v xml:space="preserve">1997 </v>
      </c>
      <c r="G240" s="166" t="str">
        <f>+G3</f>
        <v xml:space="preserve">1998 </v>
      </c>
      <c r="H240" s="166" t="str">
        <f ca="1">+H3</f>
        <v xml:space="preserve">6 M/1999 </v>
      </c>
      <c r="I240" s="166" t="str">
        <f ca="1">+I$3</f>
        <v xml:space="preserve">6 M/1999 </v>
      </c>
      <c r="J240" s="166">
        <f t="shared" ref="J240:Z240" si="96">+J$3</f>
        <v>2000</v>
      </c>
      <c r="K240" s="166">
        <f t="shared" si="96"/>
        <v>2001</v>
      </c>
      <c r="L240" s="166">
        <f t="shared" si="96"/>
        <v>2002</v>
      </c>
      <c r="M240" s="166">
        <f t="shared" si="96"/>
        <v>2003</v>
      </c>
      <c r="N240" s="166">
        <f t="shared" si="96"/>
        <v>2004</v>
      </c>
      <c r="O240" s="166">
        <f t="shared" si="96"/>
        <v>2005</v>
      </c>
      <c r="P240" s="166">
        <f t="shared" si="96"/>
        <v>2006</v>
      </c>
      <c r="Q240" s="166">
        <f t="shared" si="96"/>
        <v>2007</v>
      </c>
      <c r="R240" s="166">
        <f t="shared" si="96"/>
        <v>2008</v>
      </c>
      <c r="S240" s="166">
        <f t="shared" si="96"/>
        <v>2009</v>
      </c>
      <c r="T240" s="166">
        <f t="shared" si="96"/>
        <v>2010</v>
      </c>
      <c r="U240" s="166">
        <f t="shared" si="96"/>
        <v>2011</v>
      </c>
      <c r="V240" s="166">
        <f t="shared" si="96"/>
        <v>2012</v>
      </c>
      <c r="W240" s="166">
        <f t="shared" si="96"/>
        <v>2013</v>
      </c>
      <c r="X240" s="166">
        <f t="shared" si="96"/>
        <v>2014</v>
      </c>
      <c r="Y240" s="166">
        <f t="shared" si="96"/>
        <v>2015</v>
      </c>
      <c r="Z240" s="166">
        <f t="shared" si="96"/>
        <v>2016</v>
      </c>
      <c r="AA240" s="166">
        <f>+AA$3</f>
        <v>2017</v>
      </c>
      <c r="AB240" s="166">
        <f>+AB$3</f>
        <v>2018</v>
      </c>
      <c r="AC240" s="166">
        <f>+AC$3</f>
        <v>2019</v>
      </c>
    </row>
    <row r="241" spans="1:30" ht="12" thickTop="1">
      <c r="A241" s="15"/>
      <c r="B241" s="5"/>
      <c r="C241" s="5"/>
      <c r="D241" s="5"/>
      <c r="E241" s="281"/>
      <c r="F241" s="281"/>
      <c r="G241" s="281"/>
      <c r="H241" s="691"/>
      <c r="I241" s="691"/>
      <c r="J241" s="281"/>
      <c r="K241" s="281"/>
      <c r="L241" s="281"/>
      <c r="M241" s="281"/>
      <c r="N241" s="281"/>
      <c r="O241" s="281"/>
      <c r="P241" s="281"/>
      <c r="Q241" s="281"/>
      <c r="R241" s="281"/>
      <c r="S241" s="281"/>
      <c r="T241" s="281"/>
      <c r="U241" s="281"/>
      <c r="V241" s="281"/>
      <c r="W241" s="281"/>
      <c r="X241" s="281"/>
      <c r="Y241" s="281"/>
      <c r="Z241" s="281"/>
      <c r="AA241" s="281"/>
      <c r="AB241" s="281"/>
      <c r="AC241" s="281"/>
    </row>
    <row r="242" spans="1:30" ht="12.75">
      <c r="A242" s="506" t="str">
        <f>+C10</f>
        <v>PDP</v>
      </c>
      <c r="B242" s="5"/>
      <c r="C242" s="5"/>
      <c r="D242" s="5"/>
      <c r="E242" s="696" t="s">
        <v>514</v>
      </c>
      <c r="F242" s="781">
        <v>0.24</v>
      </c>
      <c r="G242" s="696"/>
      <c r="H242" s="540"/>
      <c r="I242" s="540"/>
      <c r="J242" s="540"/>
      <c r="K242" s="540"/>
      <c r="L242" s="540"/>
      <c r="M242" s="540"/>
      <c r="N242" s="540"/>
      <c r="O242" s="540"/>
      <c r="P242" s="540"/>
      <c r="Q242" s="540"/>
      <c r="R242" s="540"/>
      <c r="S242" s="540"/>
      <c r="T242" s="540"/>
      <c r="U242" s="540"/>
      <c r="V242" s="540"/>
      <c r="W242" s="540"/>
      <c r="X242" s="540"/>
      <c r="Y242" s="540"/>
      <c r="Z242" s="540"/>
      <c r="AA242" s="540"/>
      <c r="AB242" s="540"/>
      <c r="AC242" s="540"/>
    </row>
    <row r="243" spans="1:30">
      <c r="A243" s="454" t="s">
        <v>15</v>
      </c>
      <c r="B243" s="83" t="s">
        <v>515</v>
      </c>
      <c r="C243" s="5"/>
      <c r="D243" s="5"/>
      <c r="E243" s="697" t="s">
        <v>516</v>
      </c>
      <c r="F243" s="780">
        <v>400</v>
      </c>
      <c r="G243" s="697"/>
      <c r="I243" s="698">
        <f>(((($F$243-($F$243/EXP($F$242)))*365)/2)/$F$242)*(1/1000)</f>
        <v>64.900692258923371</v>
      </c>
      <c r="J243" s="698">
        <f>((($F$243-($F$243/EXP($F$242)))*365)/$F$242)*(1/1000)</f>
        <v>129.80138451784674</v>
      </c>
      <c r="K243" s="698">
        <f>+J243/EXP($F$242)</f>
        <v>102.10538546675102</v>
      </c>
      <c r="L243" s="698">
        <f t="shared" ref="L243:AA243" si="97">+K243/EXP($F$242)</f>
        <v>80.318940973086299</v>
      </c>
      <c r="M243" s="698">
        <f t="shared" si="97"/>
        <v>63.181116740789633</v>
      </c>
      <c r="N243" s="698">
        <f t="shared" si="97"/>
        <v>49.700026721603557</v>
      </c>
      <c r="O243" s="698">
        <f t="shared" si="97"/>
        <v>39.09542571496555</v>
      </c>
      <c r="P243" s="698">
        <f t="shared" si="97"/>
        <v>30.753551107649681</v>
      </c>
      <c r="Q243" s="698">
        <f t="shared" si="97"/>
        <v>24.191600128011402</v>
      </c>
      <c r="R243" s="698">
        <f t="shared" si="97"/>
        <v>19.029786664474969</v>
      </c>
      <c r="S243" s="698">
        <f t="shared" si="97"/>
        <v>14.969360380428766</v>
      </c>
      <c r="T243" s="698">
        <f t="shared" si="97"/>
        <v>11.775315937591088</v>
      </c>
      <c r="U243" s="698">
        <f t="shared" si="97"/>
        <v>9.262791589370174</v>
      </c>
      <c r="V243" s="698">
        <f t="shared" si="97"/>
        <v>7.2863699354515203</v>
      </c>
      <c r="W243" s="698">
        <f t="shared" si="97"/>
        <v>5.7316615972638703</v>
      </c>
      <c r="X243" s="698">
        <f t="shared" si="97"/>
        <v>4.5086847026129835</v>
      </c>
      <c r="Y243" s="698">
        <f t="shared" si="97"/>
        <v>3.5466570038399405</v>
      </c>
      <c r="Z243" s="698">
        <f t="shared" si="97"/>
        <v>2.7898992128673235</v>
      </c>
      <c r="AA243" s="698">
        <f t="shared" si="97"/>
        <v>2.1946124504090836</v>
      </c>
      <c r="AB243" s="698">
        <f>+AA243/EXP($F$242)</f>
        <v>1.7263432977353248</v>
      </c>
      <c r="AC243" s="698">
        <f>+AB243/EXP($F$242)</f>
        <v>1.3579897357641186</v>
      </c>
    </row>
    <row r="244" spans="1:30">
      <c r="A244" s="454"/>
      <c r="B244" s="83" t="s">
        <v>517</v>
      </c>
      <c r="C244" s="5"/>
      <c r="D244" s="5"/>
      <c r="I244" s="667">
        <v>1</v>
      </c>
      <c r="J244" s="667">
        <f t="shared" ref="J244:AC244" si="98">I244</f>
        <v>1</v>
      </c>
      <c r="K244" s="667">
        <f t="shared" si="98"/>
        <v>1</v>
      </c>
      <c r="L244" s="667">
        <f t="shared" si="98"/>
        <v>1</v>
      </c>
      <c r="M244" s="667">
        <f t="shared" si="98"/>
        <v>1</v>
      </c>
      <c r="N244" s="667">
        <f t="shared" si="98"/>
        <v>1</v>
      </c>
      <c r="O244" s="667">
        <f t="shared" si="98"/>
        <v>1</v>
      </c>
      <c r="P244" s="667">
        <f t="shared" si="98"/>
        <v>1</v>
      </c>
      <c r="Q244" s="667">
        <f t="shared" si="98"/>
        <v>1</v>
      </c>
      <c r="R244" s="667">
        <f t="shared" si="98"/>
        <v>1</v>
      </c>
      <c r="S244" s="667">
        <f t="shared" si="98"/>
        <v>1</v>
      </c>
      <c r="T244" s="667">
        <f t="shared" si="98"/>
        <v>1</v>
      </c>
      <c r="U244" s="667">
        <f t="shared" si="98"/>
        <v>1</v>
      </c>
      <c r="V244" s="667">
        <f t="shared" si="98"/>
        <v>1</v>
      </c>
      <c r="W244" s="667">
        <f t="shared" si="98"/>
        <v>1</v>
      </c>
      <c r="X244" s="667">
        <f t="shared" si="98"/>
        <v>1</v>
      </c>
      <c r="Y244" s="667">
        <f t="shared" si="98"/>
        <v>1</v>
      </c>
      <c r="Z244" s="667">
        <f t="shared" si="98"/>
        <v>1</v>
      </c>
      <c r="AA244" s="667">
        <f t="shared" si="98"/>
        <v>1</v>
      </c>
      <c r="AB244" s="667">
        <f t="shared" si="98"/>
        <v>1</v>
      </c>
      <c r="AC244" s="667">
        <f t="shared" si="98"/>
        <v>1</v>
      </c>
    </row>
    <row r="245" spans="1:30">
      <c r="A245" s="454"/>
      <c r="B245" s="83" t="s">
        <v>518</v>
      </c>
      <c r="C245" s="5"/>
      <c r="D245" s="5"/>
      <c r="I245" s="666">
        <f>+I243*I244</f>
        <v>64.900692258923371</v>
      </c>
      <c r="J245" s="666">
        <f t="shared" ref="J245:Y245" si="99">+J243*J244</f>
        <v>129.80138451784674</v>
      </c>
      <c r="K245" s="666">
        <f t="shared" si="99"/>
        <v>102.10538546675102</v>
      </c>
      <c r="L245" s="666">
        <f t="shared" si="99"/>
        <v>80.318940973086299</v>
      </c>
      <c r="M245" s="666">
        <f t="shared" si="99"/>
        <v>63.181116740789633</v>
      </c>
      <c r="N245" s="666">
        <f t="shared" si="99"/>
        <v>49.700026721603557</v>
      </c>
      <c r="O245" s="666">
        <f t="shared" si="99"/>
        <v>39.09542571496555</v>
      </c>
      <c r="P245" s="666">
        <f t="shared" si="99"/>
        <v>30.753551107649681</v>
      </c>
      <c r="Q245" s="666">
        <f t="shared" si="99"/>
        <v>24.191600128011402</v>
      </c>
      <c r="R245" s="666">
        <f t="shared" si="99"/>
        <v>19.029786664474969</v>
      </c>
      <c r="S245" s="666">
        <f t="shared" si="99"/>
        <v>14.969360380428766</v>
      </c>
      <c r="T245" s="666">
        <f t="shared" si="99"/>
        <v>11.775315937591088</v>
      </c>
      <c r="U245" s="666">
        <f t="shared" si="99"/>
        <v>9.262791589370174</v>
      </c>
      <c r="V245" s="666">
        <f t="shared" si="99"/>
        <v>7.2863699354515203</v>
      </c>
      <c r="W245" s="666">
        <f t="shared" si="99"/>
        <v>5.7316615972638703</v>
      </c>
      <c r="X245" s="666">
        <f t="shared" si="99"/>
        <v>4.5086847026129835</v>
      </c>
      <c r="Y245" s="666">
        <f t="shared" si="99"/>
        <v>3.5466570038399405</v>
      </c>
      <c r="Z245" s="666">
        <f>+Z243*Z244</f>
        <v>2.7898992128673235</v>
      </c>
      <c r="AA245" s="666">
        <f>+AA243*AA244</f>
        <v>2.1946124504090836</v>
      </c>
      <c r="AB245" s="666">
        <f>+AB243*AB244</f>
        <v>1.7263432977353248</v>
      </c>
      <c r="AC245" s="666">
        <f>+AC243*AC244</f>
        <v>1.3579897357641186</v>
      </c>
    </row>
    <row r="246" spans="1:30" ht="12.75">
      <c r="A246" s="506"/>
      <c r="B246" s="5" t="s">
        <v>181</v>
      </c>
      <c r="C246" s="5"/>
      <c r="D246" s="5"/>
      <c r="I246" s="667">
        <v>1</v>
      </c>
      <c r="J246" s="667">
        <f t="shared" ref="J246:AC246" si="100">I246</f>
        <v>1</v>
      </c>
      <c r="K246" s="667">
        <f t="shared" si="100"/>
        <v>1</v>
      </c>
      <c r="L246" s="667">
        <f t="shared" si="100"/>
        <v>1</v>
      </c>
      <c r="M246" s="667">
        <f t="shared" si="100"/>
        <v>1</v>
      </c>
      <c r="N246" s="667">
        <f t="shared" si="100"/>
        <v>1</v>
      </c>
      <c r="O246" s="667">
        <f t="shared" si="100"/>
        <v>1</v>
      </c>
      <c r="P246" s="667">
        <f t="shared" si="100"/>
        <v>1</v>
      </c>
      <c r="Q246" s="667">
        <f t="shared" si="100"/>
        <v>1</v>
      </c>
      <c r="R246" s="667">
        <f t="shared" si="100"/>
        <v>1</v>
      </c>
      <c r="S246" s="667">
        <f t="shared" si="100"/>
        <v>1</v>
      </c>
      <c r="T246" s="667">
        <f t="shared" si="100"/>
        <v>1</v>
      </c>
      <c r="U246" s="667">
        <f t="shared" si="100"/>
        <v>1</v>
      </c>
      <c r="V246" s="667">
        <f t="shared" si="100"/>
        <v>1</v>
      </c>
      <c r="W246" s="667">
        <f t="shared" si="100"/>
        <v>1</v>
      </c>
      <c r="X246" s="667">
        <f t="shared" si="100"/>
        <v>1</v>
      </c>
      <c r="Y246" s="667">
        <f t="shared" si="100"/>
        <v>1</v>
      </c>
      <c r="Z246" s="667">
        <f t="shared" si="100"/>
        <v>1</v>
      </c>
      <c r="AA246" s="667">
        <f t="shared" si="100"/>
        <v>1</v>
      </c>
      <c r="AB246" s="667">
        <f t="shared" si="100"/>
        <v>1</v>
      </c>
      <c r="AC246" s="667">
        <f t="shared" si="100"/>
        <v>1</v>
      </c>
    </row>
    <row r="247" spans="1:30">
      <c r="B247" s="83" t="s">
        <v>519</v>
      </c>
      <c r="C247" s="85"/>
      <c r="D247" s="5"/>
      <c r="E247" s="527">
        <v>0</v>
      </c>
      <c r="F247" s="527">
        <v>0</v>
      </c>
      <c r="G247" s="527">
        <v>0</v>
      </c>
      <c r="H247" s="527">
        <v>0</v>
      </c>
      <c r="I247" s="666">
        <f>+I245*I246</f>
        <v>64.900692258923371</v>
      </c>
      <c r="J247" s="666">
        <f t="shared" ref="J247:Y247" si="101">+J245*J246</f>
        <v>129.80138451784674</v>
      </c>
      <c r="K247" s="666">
        <f t="shared" si="101"/>
        <v>102.10538546675102</v>
      </c>
      <c r="L247" s="666">
        <f t="shared" si="101"/>
        <v>80.318940973086299</v>
      </c>
      <c r="M247" s="666">
        <f t="shared" si="101"/>
        <v>63.181116740789633</v>
      </c>
      <c r="N247" s="666">
        <f t="shared" si="101"/>
        <v>49.700026721603557</v>
      </c>
      <c r="O247" s="666">
        <f t="shared" si="101"/>
        <v>39.09542571496555</v>
      </c>
      <c r="P247" s="666">
        <f t="shared" si="101"/>
        <v>30.753551107649681</v>
      </c>
      <c r="Q247" s="666">
        <f t="shared" si="101"/>
        <v>24.191600128011402</v>
      </c>
      <c r="R247" s="666">
        <f t="shared" si="101"/>
        <v>19.029786664474969</v>
      </c>
      <c r="S247" s="666">
        <f t="shared" si="101"/>
        <v>14.969360380428766</v>
      </c>
      <c r="T247" s="666">
        <f t="shared" si="101"/>
        <v>11.775315937591088</v>
      </c>
      <c r="U247" s="666">
        <f t="shared" si="101"/>
        <v>9.262791589370174</v>
      </c>
      <c r="V247" s="666">
        <f t="shared" si="101"/>
        <v>7.2863699354515203</v>
      </c>
      <c r="W247" s="666">
        <f t="shared" si="101"/>
        <v>5.7316615972638703</v>
      </c>
      <c r="X247" s="666">
        <f t="shared" si="101"/>
        <v>4.5086847026129835</v>
      </c>
      <c r="Y247" s="666">
        <f t="shared" si="101"/>
        <v>3.5466570038399405</v>
      </c>
      <c r="Z247" s="666">
        <f>+Z245*Z246</f>
        <v>2.7898992128673235</v>
      </c>
      <c r="AA247" s="666">
        <f>+AA245*AA246</f>
        <v>2.1946124504090836</v>
      </c>
      <c r="AB247" s="666">
        <f>+AB245*AB246</f>
        <v>1.7263432977353248</v>
      </c>
      <c r="AC247" s="666">
        <f>+AC245*AC246</f>
        <v>1.3579897357641186</v>
      </c>
      <c r="AD247">
        <f>SUM(E247:AC247)</f>
        <v>668.22759613743631</v>
      </c>
    </row>
    <row r="248" spans="1:30">
      <c r="C248" s="85"/>
      <c r="D248" s="5"/>
    </row>
    <row r="249" spans="1:30">
      <c r="A249" s="455"/>
      <c r="B249" s="83" t="s">
        <v>520</v>
      </c>
      <c r="D249" s="219">
        <v>5</v>
      </c>
      <c r="I249" s="518">
        <f t="shared" ref="I249:AC249" si="102">IF($D249=1,I$212,IF($D249=2,I$215,IF($D249=3,I$217,IF($D249=4,I$219,IF($D249=5,I$221,IF($D249=6,I$223,I$212))))))</f>
        <v>0</v>
      </c>
      <c r="J249" s="518">
        <f t="shared" ca="1" si="102"/>
        <v>21.515888888888885</v>
      </c>
      <c r="K249" s="518">
        <f t="shared" ca="1" si="102"/>
        <v>18.986666666666665</v>
      </c>
      <c r="L249" s="518">
        <f t="shared" ca="1" si="102"/>
        <v>18.343166666666665</v>
      </c>
      <c r="M249" s="518">
        <f t="shared" ca="1" si="102"/>
        <v>18.421749999999999</v>
      </c>
      <c r="N249" s="518">
        <f t="shared" ca="1" si="102"/>
        <v>18.575749999999999</v>
      </c>
      <c r="O249" s="518">
        <f t="shared" ca="1" si="102"/>
        <v>18.731416666666668</v>
      </c>
      <c r="P249" s="518">
        <f t="shared" ca="1" si="102"/>
        <v>18.906166666666667</v>
      </c>
      <c r="Q249" s="518">
        <f t="shared" ca="1" si="102"/>
        <v>19.098166666666668</v>
      </c>
      <c r="R249" s="518">
        <f t="shared" ca="1" si="102"/>
        <v>19.300749999999997</v>
      </c>
      <c r="S249" s="518">
        <f t="shared" ca="1" si="102"/>
        <v>19.5105</v>
      </c>
      <c r="T249" s="518">
        <f t="shared" ca="1" si="102"/>
        <v>19.720083333333339</v>
      </c>
      <c r="U249" s="518">
        <f t="shared" ca="1" si="102"/>
        <v>19.930416666666662</v>
      </c>
      <c r="V249" s="518">
        <f t="shared" ca="1" si="102"/>
        <v>20.140416666666663</v>
      </c>
      <c r="W249" s="518">
        <f t="shared" ca="1" si="102"/>
        <v>20.350249999999999</v>
      </c>
      <c r="X249" s="518">
        <f t="shared" ca="1" si="102"/>
        <v>20.843916666666669</v>
      </c>
      <c r="Y249" s="518">
        <f t="shared" ca="1" si="102"/>
        <v>21.326833333333337</v>
      </c>
      <c r="Z249" s="518">
        <f t="shared" ca="1" si="102"/>
        <v>21.627249999999993</v>
      </c>
      <c r="AA249" s="518">
        <f t="shared" ca="1" si="102"/>
        <v>21.926999999999996</v>
      </c>
      <c r="AB249" s="518">
        <f t="shared" ca="1" si="102"/>
        <v>22.22666666666667</v>
      </c>
      <c r="AC249" s="518">
        <f t="shared" ca="1" si="102"/>
        <v>22.451999999999998</v>
      </c>
    </row>
    <row r="250" spans="1:30">
      <c r="A250" s="455"/>
      <c r="B250" s="83" t="s">
        <v>184</v>
      </c>
      <c r="D250" s="5"/>
      <c r="E250" s="521"/>
      <c r="F250" s="521"/>
      <c r="G250" s="521"/>
      <c r="H250" s="522"/>
      <c r="I250" s="519">
        <v>-2.375</v>
      </c>
      <c r="J250" s="519">
        <f t="shared" ref="J250:AC250" si="103">I250</f>
        <v>-2.375</v>
      </c>
      <c r="K250" s="519">
        <f t="shared" si="103"/>
        <v>-2.375</v>
      </c>
      <c r="L250" s="519">
        <f t="shared" si="103"/>
        <v>-2.375</v>
      </c>
      <c r="M250" s="519">
        <f t="shared" si="103"/>
        <v>-2.375</v>
      </c>
      <c r="N250" s="519">
        <f t="shared" si="103"/>
        <v>-2.375</v>
      </c>
      <c r="O250" s="519">
        <f t="shared" si="103"/>
        <v>-2.375</v>
      </c>
      <c r="P250" s="519">
        <f t="shared" si="103"/>
        <v>-2.375</v>
      </c>
      <c r="Q250" s="519">
        <f t="shared" si="103"/>
        <v>-2.375</v>
      </c>
      <c r="R250" s="519">
        <f t="shared" si="103"/>
        <v>-2.375</v>
      </c>
      <c r="S250" s="519">
        <f t="shared" si="103"/>
        <v>-2.375</v>
      </c>
      <c r="T250" s="519">
        <f t="shared" si="103"/>
        <v>-2.375</v>
      </c>
      <c r="U250" s="519">
        <f t="shared" si="103"/>
        <v>-2.375</v>
      </c>
      <c r="V250" s="519">
        <f t="shared" si="103"/>
        <v>-2.375</v>
      </c>
      <c r="W250" s="519">
        <f t="shared" si="103"/>
        <v>-2.375</v>
      </c>
      <c r="X250" s="519">
        <f t="shared" si="103"/>
        <v>-2.375</v>
      </c>
      <c r="Y250" s="519">
        <f t="shared" si="103"/>
        <v>-2.375</v>
      </c>
      <c r="Z250" s="519">
        <f t="shared" si="103"/>
        <v>-2.375</v>
      </c>
      <c r="AA250" s="519">
        <f t="shared" si="103"/>
        <v>-2.375</v>
      </c>
      <c r="AB250" s="519">
        <f t="shared" si="103"/>
        <v>-2.375</v>
      </c>
      <c r="AC250" s="519">
        <f t="shared" si="103"/>
        <v>-2.375</v>
      </c>
    </row>
    <row r="251" spans="1:30">
      <c r="A251" s="455"/>
      <c r="B251" s="83" t="s">
        <v>185</v>
      </c>
      <c r="D251" s="5"/>
      <c r="E251" s="523">
        <v>0</v>
      </c>
      <c r="F251" s="523">
        <v>0</v>
      </c>
      <c r="G251" s="523">
        <v>15.93</v>
      </c>
      <c r="H251" s="523">
        <v>16.341000000000001</v>
      </c>
      <c r="I251" s="520">
        <f>+I249+I250</f>
        <v>-2.375</v>
      </c>
      <c r="J251" s="520">
        <f t="shared" ref="J251:Z251" ca="1" si="104">+J249+J250</f>
        <v>19.140888888888885</v>
      </c>
      <c r="K251" s="520">
        <f t="shared" ca="1" si="104"/>
        <v>16.611666666666665</v>
      </c>
      <c r="L251" s="520">
        <f t="shared" ca="1" si="104"/>
        <v>15.968166666666665</v>
      </c>
      <c r="M251" s="520">
        <f t="shared" ca="1" si="104"/>
        <v>16.046749999999999</v>
      </c>
      <c r="N251" s="520">
        <f t="shared" ca="1" si="104"/>
        <v>16.200749999999999</v>
      </c>
      <c r="O251" s="520">
        <f t="shared" ca="1" si="104"/>
        <v>16.356416666666668</v>
      </c>
      <c r="P251" s="520">
        <f t="shared" ca="1" si="104"/>
        <v>16.531166666666667</v>
      </c>
      <c r="Q251" s="520">
        <f t="shared" ca="1" si="104"/>
        <v>16.723166666666668</v>
      </c>
      <c r="R251" s="520">
        <f t="shared" ca="1" si="104"/>
        <v>16.925749999999997</v>
      </c>
      <c r="S251" s="520">
        <f t="shared" ca="1" si="104"/>
        <v>17.1355</v>
      </c>
      <c r="T251" s="520">
        <f t="shared" ca="1" si="104"/>
        <v>17.345083333333339</v>
      </c>
      <c r="U251" s="520">
        <f t="shared" ca="1" si="104"/>
        <v>17.555416666666662</v>
      </c>
      <c r="V251" s="520">
        <f t="shared" ca="1" si="104"/>
        <v>17.765416666666663</v>
      </c>
      <c r="W251" s="520">
        <f t="shared" ca="1" si="104"/>
        <v>17.975249999999999</v>
      </c>
      <c r="X251" s="520">
        <f t="shared" ca="1" si="104"/>
        <v>18.468916666666669</v>
      </c>
      <c r="Y251" s="520">
        <f t="shared" ca="1" si="104"/>
        <v>18.951833333333337</v>
      </c>
      <c r="Z251" s="520">
        <f t="shared" ca="1" si="104"/>
        <v>19.252249999999993</v>
      </c>
      <c r="AA251" s="520">
        <f ca="1">+AA249+AA250</f>
        <v>19.551999999999996</v>
      </c>
      <c r="AB251" s="520">
        <f ca="1">+AB249+AB250</f>
        <v>19.85166666666667</v>
      </c>
      <c r="AC251" s="520">
        <f ca="1">+AC249+AC250</f>
        <v>20.076999999999998</v>
      </c>
    </row>
    <row r="252" spans="1:30">
      <c r="A252" s="455"/>
      <c r="B252" s="5" t="str">
        <f>+"Oil Revenue ($"&amp;$F$5</f>
        <v>Oil Revenue ($Thousands)</v>
      </c>
      <c r="D252" s="5"/>
      <c r="E252" s="615">
        <f>E247*E251*1000/unit</f>
        <v>0</v>
      </c>
      <c r="F252" s="615">
        <f t="shared" ref="F252:U252" si="105">F247*F251*1000/unit</f>
        <v>0</v>
      </c>
      <c r="G252" s="615">
        <f t="shared" si="105"/>
        <v>0</v>
      </c>
      <c r="H252" s="615">
        <f t="shared" si="105"/>
        <v>0</v>
      </c>
      <c r="I252" s="615">
        <f t="shared" si="105"/>
        <v>-154.13914411494301</v>
      </c>
      <c r="J252" s="615">
        <f t="shared" ca="1" si="105"/>
        <v>2484.5138786800462</v>
      </c>
      <c r="K252" s="615">
        <f t="shared" ca="1" si="105"/>
        <v>1696.1406282451787</v>
      </c>
      <c r="L252" s="615">
        <f t="shared" ca="1" si="105"/>
        <v>1282.546235948404</v>
      </c>
      <c r="M252" s="615">
        <f t="shared" ca="1" si="105"/>
        <v>1013.851585060266</v>
      </c>
      <c r="N252" s="615">
        <f t="shared" ca="1" si="105"/>
        <v>805.17770791001874</v>
      </c>
      <c r="O252" s="615">
        <f t="shared" ca="1" si="105"/>
        <v>639.46107275469114</v>
      </c>
      <c r="P252" s="615">
        <f t="shared" ca="1" si="105"/>
        <v>508.39207895240816</v>
      </c>
      <c r="Q252" s="615">
        <f t="shared" ca="1" si="105"/>
        <v>404.56016087408938</v>
      </c>
      <c r="R252" s="615">
        <f t="shared" ca="1" si="105"/>
        <v>322.09341163623714</v>
      </c>
      <c r="S252" s="615">
        <f t="shared" ca="1" si="105"/>
        <v>256.50747479883711</v>
      </c>
      <c r="T252" s="615">
        <f t="shared" ca="1" si="105"/>
        <v>204.24383621384561</v>
      </c>
      <c r="U252" s="615">
        <f t="shared" ca="1" si="105"/>
        <v>162.61216584788895</v>
      </c>
      <c r="V252" s="615">
        <f t="shared" ref="V252:AC252" ca="1" si="106">V247*V251*1000/unit</f>
        <v>129.44539789076933</v>
      </c>
      <c r="W252" s="615">
        <f t="shared" ca="1" si="106"/>
        <v>103.02805012621738</v>
      </c>
      <c r="X252" s="615">
        <f t="shared" ca="1" si="106"/>
        <v>83.270522048833982</v>
      </c>
      <c r="Y252" s="615">
        <f t="shared" ca="1" si="106"/>
        <v>67.215652427273923</v>
      </c>
      <c r="Z252" s="615">
        <f t="shared" ca="1" si="106"/>
        <v>53.711837120924905</v>
      </c>
      <c r="AA252" s="615">
        <f t="shared" ca="1" si="106"/>
        <v>42.909062630398395</v>
      </c>
      <c r="AB252" s="615">
        <f t="shared" ca="1" si="106"/>
        <v>34.270791698875762</v>
      </c>
      <c r="AC252" s="615">
        <f t="shared" ca="1" si="106"/>
        <v>27.264359924936208</v>
      </c>
    </row>
    <row r="253" spans="1:30">
      <c r="A253" s="455"/>
      <c r="B253" s="5"/>
      <c r="D253" s="5"/>
      <c r="E253" s="281"/>
      <c r="F253" s="281"/>
      <c r="G253" s="281"/>
      <c r="H253" s="623"/>
      <c r="I253" s="623"/>
      <c r="J253" s="623"/>
      <c r="K253" s="623"/>
      <c r="L253" s="623"/>
      <c r="M253" s="623"/>
      <c r="N253" s="623"/>
      <c r="O253" s="623"/>
      <c r="P253" s="623"/>
      <c r="Q253" s="623"/>
      <c r="R253" s="623"/>
      <c r="S253" s="623"/>
      <c r="T253" s="623"/>
      <c r="U253" s="623"/>
      <c r="V253" s="623"/>
      <c r="W253" s="623"/>
      <c r="X253" s="623"/>
      <c r="Y253" s="622"/>
      <c r="Z253" s="622"/>
      <c r="AA253" s="622"/>
      <c r="AB253" s="622"/>
      <c r="AC253" s="622"/>
    </row>
    <row r="254" spans="1:30">
      <c r="A254" s="455"/>
      <c r="B254" s="5"/>
      <c r="D254" s="5"/>
      <c r="E254" s="690"/>
      <c r="F254" s="690"/>
      <c r="G254" s="690"/>
      <c r="H254" s="623"/>
      <c r="I254" s="623"/>
      <c r="J254" s="623"/>
      <c r="K254" s="623"/>
      <c r="L254" s="623"/>
      <c r="M254" s="623"/>
      <c r="N254" s="623"/>
      <c r="O254" s="623"/>
      <c r="P254" s="623"/>
      <c r="Q254" s="623"/>
      <c r="R254" s="623"/>
      <c r="S254" s="623"/>
      <c r="T254" s="623"/>
      <c r="U254" s="623"/>
      <c r="V254" s="623"/>
      <c r="W254" s="623"/>
      <c r="X254" s="623"/>
      <c r="Y254" s="622"/>
      <c r="Z254" s="622"/>
      <c r="AA254" s="622"/>
      <c r="AB254" s="622"/>
      <c r="AC254" s="622"/>
    </row>
    <row r="255" spans="1:30">
      <c r="A255" s="455"/>
      <c r="B255" s="5"/>
      <c r="D255" s="5"/>
      <c r="E255" s="696" t="s">
        <v>514</v>
      </c>
      <c r="F255" s="781">
        <v>0.15</v>
      </c>
      <c r="G255" s="696"/>
      <c r="H255" s="623"/>
      <c r="I255" s="623"/>
      <c r="J255" s="623"/>
      <c r="K255" s="623"/>
      <c r="L255" s="623"/>
      <c r="M255" s="623"/>
      <c r="N255" s="623"/>
      <c r="O255" s="623"/>
      <c r="P255" s="623"/>
      <c r="Q255" s="623"/>
      <c r="R255" s="623"/>
      <c r="S255" s="623"/>
      <c r="T255" s="623"/>
      <c r="U255" s="623"/>
      <c r="V255" s="623"/>
      <c r="W255" s="623"/>
      <c r="X255" s="623"/>
      <c r="Y255" s="622"/>
      <c r="Z255" s="622"/>
      <c r="AA255" s="622"/>
      <c r="AB255" s="622"/>
      <c r="AC255" s="622"/>
    </row>
    <row r="256" spans="1:30">
      <c r="A256" s="455" t="s">
        <v>14</v>
      </c>
      <c r="B256" s="83" t="s">
        <v>521</v>
      </c>
      <c r="D256" s="5"/>
      <c r="E256" s="697" t="s">
        <v>516</v>
      </c>
      <c r="F256" s="780">
        <v>5500</v>
      </c>
      <c r="G256" s="697"/>
      <c r="H256" s="623"/>
      <c r="I256" s="698">
        <f>(((($F$256-($F$256/EXP($F$255)))*365)/2)/$F$255)*(1/1000)</f>
        <v>932.09579108898811</v>
      </c>
      <c r="J256" s="698">
        <f>((($F$256-($F$256/EXP($F$255)))*365)/$F$255)*(1/1000)</f>
        <v>1864.1915821779762</v>
      </c>
      <c r="K256" s="698">
        <f>J256/EXP($F$255)</f>
        <v>1604.5245643650328</v>
      </c>
      <c r="L256" s="698">
        <f t="shared" ref="L256:AA256" si="107">K256/EXP($F$255)</f>
        <v>1381.0270909189248</v>
      </c>
      <c r="M256" s="698">
        <f t="shared" si="107"/>
        <v>1188.6610328130123</v>
      </c>
      <c r="N256" s="698">
        <f t="shared" si="107"/>
        <v>1023.0900322078071</v>
      </c>
      <c r="O256" s="698">
        <f t="shared" si="107"/>
        <v>880.58175132222891</v>
      </c>
      <c r="P256" s="698">
        <f t="shared" si="107"/>
        <v>757.92373725738912</v>
      </c>
      <c r="Q256" s="698">
        <f t="shared" si="107"/>
        <v>652.3510061793246</v>
      </c>
      <c r="R256" s="698">
        <f t="shared" si="107"/>
        <v>561.48371444745692</v>
      </c>
      <c r="S256" s="698">
        <f t="shared" si="107"/>
        <v>483.27351165769568</v>
      </c>
      <c r="T256" s="698">
        <f t="shared" si="107"/>
        <v>415.95736627872685</v>
      </c>
      <c r="U256" s="698">
        <f t="shared" si="107"/>
        <v>358.01782300885958</v>
      </c>
      <c r="V256" s="698">
        <f t="shared" si="107"/>
        <v>308.14879596606005</v>
      </c>
      <c r="W256" s="698">
        <f t="shared" si="107"/>
        <v>265.22612661376559</v>
      </c>
      <c r="X256" s="698">
        <f t="shared" si="107"/>
        <v>228.28224273279037</v>
      </c>
      <c r="Y256" s="698">
        <f t="shared" si="107"/>
        <v>196.48434719631388</v>
      </c>
      <c r="Z256" s="698">
        <f t="shared" si="107"/>
        <v>169.11564487453779</v>
      </c>
      <c r="AA256" s="698">
        <f t="shared" si="107"/>
        <v>145.55918448178213</v>
      </c>
      <c r="AB256" s="698">
        <f>AA256/EXP($F$255)</f>
        <v>125.28395112539637</v>
      </c>
      <c r="AC256" s="698">
        <f>AB256/EXP($F$255)</f>
        <v>107.83289605167576</v>
      </c>
      <c r="AD256" s="698"/>
    </row>
    <row r="257" spans="1:30">
      <c r="B257" s="83" t="s">
        <v>517</v>
      </c>
      <c r="D257" s="5"/>
      <c r="E257" s="22"/>
      <c r="F257" s="22"/>
      <c r="G257" s="22"/>
      <c r="H257" s="623"/>
      <c r="I257" s="667">
        <v>1</v>
      </c>
      <c r="J257" s="667">
        <f t="shared" ref="J257:AC257" si="108">I257</f>
        <v>1</v>
      </c>
      <c r="K257" s="667">
        <f t="shared" si="108"/>
        <v>1</v>
      </c>
      <c r="L257" s="667">
        <f t="shared" si="108"/>
        <v>1</v>
      </c>
      <c r="M257" s="667">
        <f t="shared" si="108"/>
        <v>1</v>
      </c>
      <c r="N257" s="667">
        <f t="shared" si="108"/>
        <v>1</v>
      </c>
      <c r="O257" s="667">
        <f t="shared" si="108"/>
        <v>1</v>
      </c>
      <c r="P257" s="667">
        <f t="shared" si="108"/>
        <v>1</v>
      </c>
      <c r="Q257" s="667">
        <f t="shared" si="108"/>
        <v>1</v>
      </c>
      <c r="R257" s="667">
        <f t="shared" si="108"/>
        <v>1</v>
      </c>
      <c r="S257" s="667">
        <f t="shared" si="108"/>
        <v>1</v>
      </c>
      <c r="T257" s="667">
        <f t="shared" si="108"/>
        <v>1</v>
      </c>
      <c r="U257" s="667">
        <f t="shared" si="108"/>
        <v>1</v>
      </c>
      <c r="V257" s="667">
        <f t="shared" si="108"/>
        <v>1</v>
      </c>
      <c r="W257" s="667">
        <f t="shared" si="108"/>
        <v>1</v>
      </c>
      <c r="X257" s="667">
        <f t="shared" si="108"/>
        <v>1</v>
      </c>
      <c r="Y257" s="667">
        <f t="shared" si="108"/>
        <v>1</v>
      </c>
      <c r="Z257" s="667">
        <f t="shared" si="108"/>
        <v>1</v>
      </c>
      <c r="AA257" s="667">
        <f t="shared" si="108"/>
        <v>1</v>
      </c>
      <c r="AB257" s="667">
        <f t="shared" si="108"/>
        <v>1</v>
      </c>
      <c r="AC257" s="667">
        <f t="shared" si="108"/>
        <v>1</v>
      </c>
    </row>
    <row r="258" spans="1:30">
      <c r="B258" s="83" t="s">
        <v>522</v>
      </c>
      <c r="D258" s="5"/>
      <c r="I258" s="666">
        <f>+I256*I257</f>
        <v>932.09579108898811</v>
      </c>
      <c r="J258" s="666">
        <f t="shared" ref="J258:Y258" si="109">+J256*J257</f>
        <v>1864.1915821779762</v>
      </c>
      <c r="K258" s="666">
        <f t="shared" si="109"/>
        <v>1604.5245643650328</v>
      </c>
      <c r="L258" s="666">
        <f t="shared" si="109"/>
        <v>1381.0270909189248</v>
      </c>
      <c r="M258" s="666">
        <f t="shared" si="109"/>
        <v>1188.6610328130123</v>
      </c>
      <c r="N258" s="666">
        <f t="shared" si="109"/>
        <v>1023.0900322078071</v>
      </c>
      <c r="O258" s="666">
        <f t="shared" si="109"/>
        <v>880.58175132222891</v>
      </c>
      <c r="P258" s="666">
        <f t="shared" si="109"/>
        <v>757.92373725738912</v>
      </c>
      <c r="Q258" s="666">
        <f t="shared" si="109"/>
        <v>652.3510061793246</v>
      </c>
      <c r="R258" s="666">
        <f t="shared" si="109"/>
        <v>561.48371444745692</v>
      </c>
      <c r="S258" s="666">
        <f t="shared" si="109"/>
        <v>483.27351165769568</v>
      </c>
      <c r="T258" s="666">
        <f t="shared" si="109"/>
        <v>415.95736627872685</v>
      </c>
      <c r="U258" s="666">
        <f t="shared" si="109"/>
        <v>358.01782300885958</v>
      </c>
      <c r="V258" s="666">
        <f t="shared" si="109"/>
        <v>308.14879596606005</v>
      </c>
      <c r="W258" s="666">
        <f t="shared" si="109"/>
        <v>265.22612661376559</v>
      </c>
      <c r="X258" s="666">
        <f t="shared" si="109"/>
        <v>228.28224273279037</v>
      </c>
      <c r="Y258" s="666">
        <f t="shared" si="109"/>
        <v>196.48434719631388</v>
      </c>
      <c r="Z258" s="666">
        <f>+Z256*Z257</f>
        <v>169.11564487453779</v>
      </c>
      <c r="AA258" s="666">
        <f>+AA256*AA257</f>
        <v>145.55918448178213</v>
      </c>
      <c r="AB258" s="666">
        <f>+AB256*AB257</f>
        <v>125.28395112539637</v>
      </c>
      <c r="AC258" s="666">
        <f>+AC256*AC257</f>
        <v>107.83289605167576</v>
      </c>
    </row>
    <row r="259" spans="1:30">
      <c r="A259" s="455"/>
      <c r="B259" s="5" t="s">
        <v>181</v>
      </c>
      <c r="D259" s="5"/>
      <c r="I259" s="667">
        <v>1</v>
      </c>
      <c r="J259" s="667">
        <f t="shared" ref="J259:AC259" si="110">I259</f>
        <v>1</v>
      </c>
      <c r="K259" s="667">
        <f t="shared" si="110"/>
        <v>1</v>
      </c>
      <c r="L259" s="667">
        <f t="shared" si="110"/>
        <v>1</v>
      </c>
      <c r="M259" s="667">
        <f t="shared" si="110"/>
        <v>1</v>
      </c>
      <c r="N259" s="667">
        <f t="shared" si="110"/>
        <v>1</v>
      </c>
      <c r="O259" s="667">
        <f t="shared" si="110"/>
        <v>1</v>
      </c>
      <c r="P259" s="667">
        <f t="shared" si="110"/>
        <v>1</v>
      </c>
      <c r="Q259" s="667">
        <f t="shared" si="110"/>
        <v>1</v>
      </c>
      <c r="R259" s="667">
        <f t="shared" si="110"/>
        <v>1</v>
      </c>
      <c r="S259" s="667">
        <f t="shared" si="110"/>
        <v>1</v>
      </c>
      <c r="T259" s="667">
        <f t="shared" si="110"/>
        <v>1</v>
      </c>
      <c r="U259" s="667">
        <f t="shared" si="110"/>
        <v>1</v>
      </c>
      <c r="V259" s="667">
        <f t="shared" si="110"/>
        <v>1</v>
      </c>
      <c r="W259" s="667">
        <f t="shared" si="110"/>
        <v>1</v>
      </c>
      <c r="X259" s="667">
        <f t="shared" si="110"/>
        <v>1</v>
      </c>
      <c r="Y259" s="667">
        <f t="shared" si="110"/>
        <v>1</v>
      </c>
      <c r="Z259" s="667">
        <f t="shared" si="110"/>
        <v>1</v>
      </c>
      <c r="AA259" s="667">
        <f t="shared" si="110"/>
        <v>1</v>
      </c>
      <c r="AB259" s="667">
        <f t="shared" si="110"/>
        <v>1</v>
      </c>
      <c r="AC259" s="667">
        <f t="shared" si="110"/>
        <v>1</v>
      </c>
    </row>
    <row r="260" spans="1:30">
      <c r="B260" s="83" t="s">
        <v>187</v>
      </c>
      <c r="E260" s="527">
        <v>0</v>
      </c>
      <c r="F260" s="527">
        <v>0</v>
      </c>
      <c r="G260" s="527">
        <v>0</v>
      </c>
      <c r="H260" s="527">
        <v>0</v>
      </c>
      <c r="I260" s="666">
        <f>+I258*I259</f>
        <v>932.09579108898811</v>
      </c>
      <c r="J260" s="666">
        <f t="shared" ref="J260:Y260" si="111">+J258*J259</f>
        <v>1864.1915821779762</v>
      </c>
      <c r="K260" s="666">
        <f t="shared" si="111"/>
        <v>1604.5245643650328</v>
      </c>
      <c r="L260" s="666">
        <f t="shared" si="111"/>
        <v>1381.0270909189248</v>
      </c>
      <c r="M260" s="666">
        <f t="shared" si="111"/>
        <v>1188.6610328130123</v>
      </c>
      <c r="N260" s="666">
        <f t="shared" si="111"/>
        <v>1023.0900322078071</v>
      </c>
      <c r="O260" s="666">
        <f t="shared" si="111"/>
        <v>880.58175132222891</v>
      </c>
      <c r="P260" s="666">
        <f t="shared" si="111"/>
        <v>757.92373725738912</v>
      </c>
      <c r="Q260" s="666">
        <f t="shared" si="111"/>
        <v>652.3510061793246</v>
      </c>
      <c r="R260" s="666">
        <f t="shared" si="111"/>
        <v>561.48371444745692</v>
      </c>
      <c r="S260" s="666">
        <f t="shared" si="111"/>
        <v>483.27351165769568</v>
      </c>
      <c r="T260" s="666">
        <f t="shared" si="111"/>
        <v>415.95736627872685</v>
      </c>
      <c r="U260" s="666">
        <f t="shared" si="111"/>
        <v>358.01782300885958</v>
      </c>
      <c r="V260" s="666">
        <f t="shared" si="111"/>
        <v>308.14879596606005</v>
      </c>
      <c r="W260" s="666">
        <f t="shared" si="111"/>
        <v>265.22612661376559</v>
      </c>
      <c r="X260" s="666">
        <f t="shared" si="111"/>
        <v>228.28224273279037</v>
      </c>
      <c r="Y260" s="666">
        <f t="shared" si="111"/>
        <v>196.48434719631388</v>
      </c>
      <c r="Z260" s="666">
        <f>+Z258*Z259</f>
        <v>169.11564487453779</v>
      </c>
      <c r="AA260" s="666">
        <f>+AA258*AA259</f>
        <v>145.55918448178213</v>
      </c>
      <c r="AB260" s="666">
        <f>+AB258*AB259</f>
        <v>125.28395112539637</v>
      </c>
      <c r="AC260" s="666">
        <f>+AC258*AC259</f>
        <v>107.83289605167576</v>
      </c>
      <c r="AD260">
        <f>SUM(E260:AC260)</f>
        <v>13649.112192765744</v>
      </c>
    </row>
    <row r="261" spans="1:30">
      <c r="A261" s="455"/>
      <c r="B261" s="339" t="s">
        <v>191</v>
      </c>
      <c r="D261" s="582" t="s">
        <v>164</v>
      </c>
      <c r="E261" s="524" t="s">
        <v>188</v>
      </c>
      <c r="F261" s="525" t="s">
        <v>189</v>
      </c>
      <c r="G261" s="525" t="s">
        <v>190</v>
      </c>
      <c r="H261" s="623"/>
      <c r="I261" s="623"/>
      <c r="J261" s="623"/>
      <c r="K261" s="623"/>
      <c r="L261" s="623"/>
      <c r="M261" s="623"/>
      <c r="N261" s="623"/>
      <c r="O261" s="623"/>
      <c r="P261" s="623"/>
      <c r="Q261" s="623"/>
      <c r="R261" s="623"/>
      <c r="S261" s="623"/>
      <c r="T261" s="623"/>
      <c r="U261" s="623"/>
      <c r="V261" s="623"/>
      <c r="W261" s="623"/>
      <c r="X261" s="623"/>
      <c r="Y261" s="623"/>
      <c r="Z261" s="623"/>
      <c r="AA261" s="623"/>
      <c r="AB261" s="623"/>
      <c r="AC261" s="623"/>
    </row>
    <row r="262" spans="1:30">
      <c r="A262" s="455"/>
      <c r="D262" s="502" t="s">
        <v>19</v>
      </c>
      <c r="E262" s="580"/>
      <c r="F262" s="580"/>
      <c r="G262" s="580"/>
      <c r="H262" s="623"/>
      <c r="I262" s="526">
        <v>1</v>
      </c>
      <c r="J262" s="526">
        <v>1</v>
      </c>
      <c r="K262" s="526">
        <v>1</v>
      </c>
      <c r="L262" s="526">
        <v>1</v>
      </c>
      <c r="M262" s="526">
        <v>1</v>
      </c>
      <c r="N262" s="526">
        <v>1</v>
      </c>
      <c r="O262" s="526">
        <v>1</v>
      </c>
      <c r="P262" s="526">
        <v>1</v>
      </c>
      <c r="Q262" s="526">
        <v>1</v>
      </c>
      <c r="R262" s="526">
        <v>1</v>
      </c>
      <c r="S262" s="526">
        <v>1</v>
      </c>
      <c r="T262" s="526">
        <v>1</v>
      </c>
      <c r="U262" s="526">
        <v>1</v>
      </c>
      <c r="V262" s="526">
        <v>1</v>
      </c>
      <c r="W262" s="526">
        <v>1</v>
      </c>
      <c r="X262" s="526">
        <v>1</v>
      </c>
      <c r="Y262" s="526">
        <v>1</v>
      </c>
      <c r="Z262" s="526">
        <v>1</v>
      </c>
      <c r="AA262" s="526">
        <v>1</v>
      </c>
      <c r="AB262" s="526">
        <v>1</v>
      </c>
      <c r="AC262" s="526">
        <v>1</v>
      </c>
    </row>
    <row r="263" spans="1:30">
      <c r="A263" s="455"/>
      <c r="B263" s="83" t="s">
        <v>192</v>
      </c>
      <c r="E263" s="527">
        <v>0</v>
      </c>
      <c r="F263" s="527">
        <v>0</v>
      </c>
      <c r="G263" s="527">
        <v>0</v>
      </c>
      <c r="H263" s="527">
        <v>0</v>
      </c>
      <c r="I263" s="615">
        <f>+I262*I260</f>
        <v>932.09579108898811</v>
      </c>
      <c r="J263" s="615">
        <f t="shared" ref="J263:Z263" si="112">+J262*J260</f>
        <v>1864.1915821779762</v>
      </c>
      <c r="K263" s="615">
        <f t="shared" si="112"/>
        <v>1604.5245643650328</v>
      </c>
      <c r="L263" s="615">
        <f t="shared" si="112"/>
        <v>1381.0270909189248</v>
      </c>
      <c r="M263" s="615">
        <f t="shared" si="112"/>
        <v>1188.6610328130123</v>
      </c>
      <c r="N263" s="615">
        <f t="shared" si="112"/>
        <v>1023.0900322078071</v>
      </c>
      <c r="O263" s="615">
        <f t="shared" si="112"/>
        <v>880.58175132222891</v>
      </c>
      <c r="P263" s="615">
        <f t="shared" si="112"/>
        <v>757.92373725738912</v>
      </c>
      <c r="Q263" s="615">
        <f t="shared" si="112"/>
        <v>652.3510061793246</v>
      </c>
      <c r="R263" s="615">
        <f t="shared" si="112"/>
        <v>561.48371444745692</v>
      </c>
      <c r="S263" s="615">
        <f t="shared" si="112"/>
        <v>483.27351165769568</v>
      </c>
      <c r="T263" s="615">
        <f t="shared" si="112"/>
        <v>415.95736627872685</v>
      </c>
      <c r="U263" s="615">
        <f t="shared" si="112"/>
        <v>358.01782300885958</v>
      </c>
      <c r="V263" s="615">
        <f t="shared" si="112"/>
        <v>308.14879596606005</v>
      </c>
      <c r="W263" s="615">
        <f t="shared" si="112"/>
        <v>265.22612661376559</v>
      </c>
      <c r="X263" s="615">
        <f t="shared" si="112"/>
        <v>228.28224273279037</v>
      </c>
      <c r="Y263" s="615">
        <f t="shared" si="112"/>
        <v>196.48434719631388</v>
      </c>
      <c r="Z263" s="615">
        <f t="shared" si="112"/>
        <v>169.11564487453779</v>
      </c>
      <c r="AA263" s="615">
        <f>+AA262*AA260</f>
        <v>145.55918448178213</v>
      </c>
      <c r="AB263" s="615">
        <f>+AB262*AB260</f>
        <v>125.28395112539637</v>
      </c>
      <c r="AC263" s="615">
        <f>+AC262*AC260</f>
        <v>107.83289605167576</v>
      </c>
    </row>
    <row r="264" spans="1:30">
      <c r="A264" s="455"/>
      <c r="B264" s="83"/>
      <c r="D264" s="5"/>
      <c r="E264" s="623"/>
      <c r="F264" s="623"/>
      <c r="G264" s="623"/>
      <c r="H264" s="623"/>
      <c r="I264" s="623"/>
      <c r="J264" s="623"/>
      <c r="K264" s="623"/>
      <c r="L264" s="623"/>
      <c r="M264" s="623"/>
      <c r="N264" s="623"/>
      <c r="O264" s="623"/>
      <c r="P264" s="623"/>
      <c r="Q264" s="623"/>
      <c r="R264" s="623"/>
      <c r="S264" s="623"/>
      <c r="T264" s="623"/>
      <c r="U264" s="623"/>
      <c r="V264" s="623"/>
      <c r="W264" s="623"/>
      <c r="X264" s="623"/>
      <c r="Y264" s="623"/>
      <c r="Z264" s="623"/>
      <c r="AA264" s="623"/>
      <c r="AB264" s="623"/>
      <c r="AC264" s="623"/>
    </row>
    <row r="265" spans="1:30">
      <c r="A265" s="455"/>
      <c r="B265" s="83" t="s">
        <v>523</v>
      </c>
      <c r="D265" s="219">
        <v>5</v>
      </c>
      <c r="I265" s="528">
        <f t="shared" ref="I265:AC265" si="113">IF($D265=1,I$197,IF($D265=2,I$200,IF($D265=3,I$202,IF($D265=4,I$204,IF($D265=5,I$206,IF($D265=5,I$208,I$197))))))</f>
        <v>0</v>
      </c>
      <c r="J265" s="528">
        <f t="shared" ca="1" si="113"/>
        <v>2.2389999999999999</v>
      </c>
      <c r="K265" s="528">
        <f t="shared" ca="1" si="113"/>
        <v>2.0167499999999996</v>
      </c>
      <c r="L265" s="528">
        <f t="shared" ca="1" si="113"/>
        <v>2.0158333333333331</v>
      </c>
      <c r="M265" s="528">
        <f t="shared" ca="1" si="113"/>
        <v>2.0045833333333336</v>
      </c>
      <c r="N265" s="528">
        <f t="shared" ca="1" si="113"/>
        <v>2.0054166666666666</v>
      </c>
      <c r="O265" s="528">
        <f t="shared" ca="1" si="113"/>
        <v>2.0133333333333332</v>
      </c>
      <c r="P265" s="528">
        <f t="shared" ca="1" si="113"/>
        <v>2.0291666666666663</v>
      </c>
      <c r="Q265" s="528">
        <f t="shared" ca="1" si="113"/>
        <v>2.0549999999999997</v>
      </c>
      <c r="R265" s="528">
        <f t="shared" ca="1" si="113"/>
        <v>2.0966666666666662</v>
      </c>
      <c r="S265" s="528">
        <f t="shared" ca="1" si="113"/>
        <v>2.1583333333333328</v>
      </c>
      <c r="T265" s="528">
        <f t="shared" ca="1" si="113"/>
        <v>2.2399999999999993</v>
      </c>
      <c r="U265" s="528">
        <f t="shared" ca="1" si="113"/>
        <v>2.3416666666666663</v>
      </c>
      <c r="V265" s="528">
        <f t="shared" ca="1" si="113"/>
        <v>2.4574999999999991</v>
      </c>
      <c r="W265" s="528">
        <f t="shared" ca="1" si="113"/>
        <v>2.5833333333333326</v>
      </c>
      <c r="X265" s="528">
        <f t="shared" ca="1" si="113"/>
        <v>2.7191666666666663</v>
      </c>
      <c r="Y265" s="528">
        <f t="shared" ca="1" si="113"/>
        <v>2.8649999999999998</v>
      </c>
      <c r="Z265" s="528">
        <f t="shared" ca="1" si="113"/>
        <v>3.0208333333333326</v>
      </c>
      <c r="AA265" s="528">
        <f t="shared" ca="1" si="113"/>
        <v>3.186666666666667</v>
      </c>
      <c r="AB265" s="528">
        <f t="shared" ca="1" si="113"/>
        <v>3.3625000000000003</v>
      </c>
      <c r="AC265" s="528">
        <f t="shared" ca="1" si="113"/>
        <v>3.5483333333333325</v>
      </c>
    </row>
    <row r="266" spans="1:30">
      <c r="A266" s="455"/>
      <c r="B266" s="83" t="s">
        <v>184</v>
      </c>
      <c r="D266" s="5"/>
      <c r="E266" s="529"/>
      <c r="F266" s="529"/>
      <c r="G266" s="529"/>
      <c r="H266" s="530"/>
      <c r="I266" s="526">
        <v>-0.375</v>
      </c>
      <c r="J266" s="526">
        <f t="shared" ref="J266:AC266" si="114">I266</f>
        <v>-0.375</v>
      </c>
      <c r="K266" s="526">
        <f t="shared" si="114"/>
        <v>-0.375</v>
      </c>
      <c r="L266" s="526">
        <f t="shared" si="114"/>
        <v>-0.375</v>
      </c>
      <c r="M266" s="526">
        <f t="shared" si="114"/>
        <v>-0.375</v>
      </c>
      <c r="N266" s="526">
        <f t="shared" si="114"/>
        <v>-0.375</v>
      </c>
      <c r="O266" s="526">
        <f t="shared" si="114"/>
        <v>-0.375</v>
      </c>
      <c r="P266" s="526">
        <f t="shared" si="114"/>
        <v>-0.375</v>
      </c>
      <c r="Q266" s="526">
        <f t="shared" si="114"/>
        <v>-0.375</v>
      </c>
      <c r="R266" s="526">
        <f t="shared" si="114"/>
        <v>-0.375</v>
      </c>
      <c r="S266" s="526">
        <f t="shared" si="114"/>
        <v>-0.375</v>
      </c>
      <c r="T266" s="526">
        <f t="shared" si="114"/>
        <v>-0.375</v>
      </c>
      <c r="U266" s="526">
        <f t="shared" si="114"/>
        <v>-0.375</v>
      </c>
      <c r="V266" s="526">
        <f t="shared" si="114"/>
        <v>-0.375</v>
      </c>
      <c r="W266" s="526">
        <f t="shared" si="114"/>
        <v>-0.375</v>
      </c>
      <c r="X266" s="526">
        <f t="shared" si="114"/>
        <v>-0.375</v>
      </c>
      <c r="Y266" s="526">
        <f t="shared" si="114"/>
        <v>-0.375</v>
      </c>
      <c r="Z266" s="526">
        <f t="shared" si="114"/>
        <v>-0.375</v>
      </c>
      <c r="AA266" s="526">
        <f t="shared" si="114"/>
        <v>-0.375</v>
      </c>
      <c r="AB266" s="526">
        <f t="shared" si="114"/>
        <v>-0.375</v>
      </c>
      <c r="AC266" s="526">
        <f t="shared" si="114"/>
        <v>-0.375</v>
      </c>
    </row>
    <row r="267" spans="1:30">
      <c r="A267" s="455"/>
      <c r="B267" s="83" t="s">
        <v>194</v>
      </c>
      <c r="D267" s="5"/>
      <c r="E267" s="531">
        <v>0</v>
      </c>
      <c r="F267" s="531">
        <v>0</v>
      </c>
      <c r="G267" s="531">
        <v>2.0177</v>
      </c>
      <c r="H267" s="531">
        <v>1.8786</v>
      </c>
      <c r="I267" s="532">
        <f>+I265+I266</f>
        <v>-0.375</v>
      </c>
      <c r="J267" s="532">
        <f t="shared" ref="J267:Z267" ca="1" si="115">+J265+J266</f>
        <v>1.8639999999999999</v>
      </c>
      <c r="K267" s="532">
        <f t="shared" ca="1" si="115"/>
        <v>1.6417499999999996</v>
      </c>
      <c r="L267" s="532">
        <f t="shared" ca="1" si="115"/>
        <v>1.6408333333333331</v>
      </c>
      <c r="M267" s="532">
        <f t="shared" ca="1" si="115"/>
        <v>1.6295833333333336</v>
      </c>
      <c r="N267" s="532">
        <f t="shared" ca="1" si="115"/>
        <v>1.6304166666666666</v>
      </c>
      <c r="O267" s="532">
        <f t="shared" ca="1" si="115"/>
        <v>1.6383333333333332</v>
      </c>
      <c r="P267" s="532">
        <f t="shared" ca="1" si="115"/>
        <v>1.6541666666666663</v>
      </c>
      <c r="Q267" s="532">
        <f t="shared" ca="1" si="115"/>
        <v>1.6799999999999997</v>
      </c>
      <c r="R267" s="532">
        <f t="shared" ca="1" si="115"/>
        <v>1.7216666666666662</v>
      </c>
      <c r="S267" s="532">
        <f t="shared" ca="1" si="115"/>
        <v>1.7833333333333328</v>
      </c>
      <c r="T267" s="532">
        <f t="shared" ca="1" si="115"/>
        <v>1.8649999999999993</v>
      </c>
      <c r="U267" s="532">
        <f t="shared" ca="1" si="115"/>
        <v>1.9666666666666663</v>
      </c>
      <c r="V267" s="532">
        <f t="shared" ca="1" si="115"/>
        <v>2.0824999999999991</v>
      </c>
      <c r="W267" s="532">
        <f t="shared" ca="1" si="115"/>
        <v>2.2083333333333326</v>
      </c>
      <c r="X267" s="532">
        <f t="shared" ca="1" si="115"/>
        <v>2.3441666666666663</v>
      </c>
      <c r="Y267" s="532">
        <f t="shared" ca="1" si="115"/>
        <v>2.4899999999999998</v>
      </c>
      <c r="Z267" s="532">
        <f t="shared" ca="1" si="115"/>
        <v>2.6458333333333326</v>
      </c>
      <c r="AA267" s="532">
        <f ca="1">+AA265+AA266</f>
        <v>2.811666666666667</v>
      </c>
      <c r="AB267" s="532">
        <f ca="1">+AB265+AB266</f>
        <v>2.9875000000000003</v>
      </c>
      <c r="AC267" s="532">
        <f ca="1">+AC265+AC266</f>
        <v>3.1733333333333325</v>
      </c>
    </row>
    <row r="268" spans="1:30">
      <c r="A268" s="455"/>
      <c r="B268" s="5" t="str">
        <f>+"Gas Revenues ($"&amp;$F$5</f>
        <v>Gas Revenues ($Thousands)</v>
      </c>
      <c r="D268" s="5"/>
      <c r="E268" s="615">
        <f>E263*1000*E267/unit</f>
        <v>0</v>
      </c>
      <c r="F268" s="615">
        <f>F263*1000*F267/unit</f>
        <v>0</v>
      </c>
      <c r="G268" s="615">
        <f>G263*1000*G267/unit</f>
        <v>0</v>
      </c>
      <c r="H268" s="615">
        <f>H263*1000*H267/unit</f>
        <v>0</v>
      </c>
      <c r="I268" s="615">
        <f>I263*1000*I267/unit</f>
        <v>-349.53592165837051</v>
      </c>
      <c r="J268" s="615">
        <f t="shared" ref="J268:Y268" ca="1" si="116">J263*1000*J267/unit</f>
        <v>3474.8531091797472</v>
      </c>
      <c r="K268" s="615">
        <f t="shared" ca="1" si="116"/>
        <v>2634.2282035462922</v>
      </c>
      <c r="L268" s="615">
        <f t="shared" ca="1" si="116"/>
        <v>2266.0352850161357</v>
      </c>
      <c r="M268" s="615">
        <f t="shared" ca="1" si="116"/>
        <v>1937.0222080548717</v>
      </c>
      <c r="N268" s="615">
        <f t="shared" ca="1" si="116"/>
        <v>1668.0630400121454</v>
      </c>
      <c r="O268" s="615">
        <f t="shared" ca="1" si="116"/>
        <v>1442.6864359162514</v>
      </c>
      <c r="P268" s="615">
        <f t="shared" ca="1" si="116"/>
        <v>1253.7321820465977</v>
      </c>
      <c r="Q268" s="615">
        <f t="shared" ca="1" si="116"/>
        <v>1095.9496903812651</v>
      </c>
      <c r="R268" s="615">
        <f t="shared" ca="1" si="116"/>
        <v>966.68779504037138</v>
      </c>
      <c r="S268" s="615">
        <f t="shared" ca="1" si="116"/>
        <v>861.83776245622369</v>
      </c>
      <c r="T268" s="615">
        <f t="shared" ca="1" si="116"/>
        <v>775.76048810982525</v>
      </c>
      <c r="U268" s="615">
        <f t="shared" ca="1" si="116"/>
        <v>704.10171858409035</v>
      </c>
      <c r="V268" s="615">
        <f t="shared" ca="1" si="116"/>
        <v>641.71986759931974</v>
      </c>
      <c r="W268" s="615">
        <f t="shared" ca="1" si="116"/>
        <v>585.7076962720655</v>
      </c>
      <c r="X268" s="615">
        <f t="shared" ca="1" si="116"/>
        <v>535.131624006116</v>
      </c>
      <c r="Y268" s="615">
        <f t="shared" ca="1" si="116"/>
        <v>489.24602451882151</v>
      </c>
      <c r="Z268" s="615">
        <f ca="1">Z263*1000*Z267/unit</f>
        <v>447.4518103972145</v>
      </c>
      <c r="AA268" s="615">
        <f ca="1">AA263*1000*AA267/unit</f>
        <v>409.26390703461072</v>
      </c>
      <c r="AB268" s="615">
        <f ca="1">AB263*1000*AB267/unit</f>
        <v>374.28580398712165</v>
      </c>
      <c r="AC268" s="615">
        <f ca="1">AC263*1000*AC267/unit</f>
        <v>342.18972347065102</v>
      </c>
    </row>
    <row r="269" spans="1:30">
      <c r="A269" s="455"/>
      <c r="B269" s="5"/>
      <c r="C269" s="79"/>
      <c r="D269" s="5"/>
      <c r="E269" s="623"/>
      <c r="F269" s="623"/>
      <c r="G269" s="623"/>
      <c r="H269" s="623"/>
      <c r="I269" s="623"/>
      <c r="J269" s="623"/>
      <c r="K269" s="623"/>
      <c r="L269" s="623"/>
      <c r="M269" s="623"/>
      <c r="N269" s="623"/>
      <c r="O269" s="623"/>
      <c r="P269" s="623"/>
      <c r="Q269" s="623"/>
      <c r="R269" s="623"/>
      <c r="S269" s="623"/>
      <c r="T269" s="623"/>
      <c r="U269" s="623"/>
      <c r="V269" s="623"/>
      <c r="W269" s="623"/>
      <c r="X269" s="623"/>
      <c r="Y269" s="624"/>
      <c r="Z269" s="624"/>
      <c r="AA269" s="624"/>
      <c r="AB269" s="624"/>
      <c r="AC269" s="624"/>
    </row>
    <row r="270" spans="1:30">
      <c r="A270" s="455" t="s">
        <v>524</v>
      </c>
      <c r="B270" s="5" t="s">
        <v>525</v>
      </c>
      <c r="C270" s="79"/>
      <c r="D270" s="5"/>
      <c r="E270" s="623"/>
      <c r="F270" s="623"/>
      <c r="G270" s="623"/>
      <c r="H270" s="623"/>
      <c r="I270" s="517">
        <v>0</v>
      </c>
      <c r="J270" s="517">
        <v>0</v>
      </c>
      <c r="K270" s="517">
        <v>0</v>
      </c>
      <c r="L270" s="517">
        <v>0</v>
      </c>
      <c r="M270" s="517">
        <v>0</v>
      </c>
      <c r="N270" s="517">
        <v>0</v>
      </c>
      <c r="O270" s="517">
        <v>0</v>
      </c>
      <c r="P270" s="517">
        <v>0</v>
      </c>
      <c r="Q270" s="517">
        <v>0</v>
      </c>
      <c r="R270" s="517">
        <v>0</v>
      </c>
      <c r="S270" s="517">
        <v>0</v>
      </c>
      <c r="T270" s="517">
        <v>0</v>
      </c>
      <c r="U270" s="517">
        <v>0</v>
      </c>
      <c r="V270" s="517">
        <v>0</v>
      </c>
      <c r="W270" s="517">
        <v>0</v>
      </c>
      <c r="X270" s="517">
        <v>0</v>
      </c>
      <c r="Y270" s="517">
        <v>0</v>
      </c>
      <c r="Z270" s="517">
        <v>0</v>
      </c>
      <c r="AA270" s="517">
        <v>0</v>
      </c>
      <c r="AB270" s="517">
        <v>0</v>
      </c>
      <c r="AC270" s="517">
        <v>0</v>
      </c>
    </row>
    <row r="271" spans="1:30">
      <c r="A271" s="455"/>
      <c r="B271" s="83" t="s">
        <v>517</v>
      </c>
      <c r="C271" s="79"/>
      <c r="D271" s="5"/>
      <c r="E271" s="623"/>
      <c r="F271" s="623"/>
      <c r="G271" s="623"/>
      <c r="H271" s="623"/>
      <c r="I271" s="667">
        <v>1</v>
      </c>
      <c r="J271" s="667">
        <f t="shared" ref="J271:AC271" si="117">I271</f>
        <v>1</v>
      </c>
      <c r="K271" s="667">
        <f t="shared" si="117"/>
        <v>1</v>
      </c>
      <c r="L271" s="667">
        <f t="shared" si="117"/>
        <v>1</v>
      </c>
      <c r="M271" s="667">
        <f t="shared" si="117"/>
        <v>1</v>
      </c>
      <c r="N271" s="667">
        <f t="shared" si="117"/>
        <v>1</v>
      </c>
      <c r="O271" s="667">
        <f t="shared" si="117"/>
        <v>1</v>
      </c>
      <c r="P271" s="667">
        <f t="shared" si="117"/>
        <v>1</v>
      </c>
      <c r="Q271" s="667">
        <f t="shared" si="117"/>
        <v>1</v>
      </c>
      <c r="R271" s="667">
        <f t="shared" si="117"/>
        <v>1</v>
      </c>
      <c r="S271" s="667">
        <f t="shared" si="117"/>
        <v>1</v>
      </c>
      <c r="T271" s="667">
        <f t="shared" si="117"/>
        <v>1</v>
      </c>
      <c r="U271" s="667">
        <f t="shared" si="117"/>
        <v>1</v>
      </c>
      <c r="V271" s="667">
        <f t="shared" si="117"/>
        <v>1</v>
      </c>
      <c r="W271" s="667">
        <f t="shared" si="117"/>
        <v>1</v>
      </c>
      <c r="X271" s="667">
        <f t="shared" si="117"/>
        <v>1</v>
      </c>
      <c r="Y271" s="667">
        <f t="shared" si="117"/>
        <v>1</v>
      </c>
      <c r="Z271" s="667">
        <f t="shared" si="117"/>
        <v>1</v>
      </c>
      <c r="AA271" s="667">
        <f t="shared" si="117"/>
        <v>1</v>
      </c>
      <c r="AB271" s="667">
        <f t="shared" si="117"/>
        <v>1</v>
      </c>
      <c r="AC271" s="667">
        <f t="shared" si="117"/>
        <v>1</v>
      </c>
    </row>
    <row r="272" spans="1:30">
      <c r="B272" s="83" t="s">
        <v>526</v>
      </c>
      <c r="C272" s="79"/>
      <c r="D272" s="5"/>
      <c r="I272" s="666">
        <f>+I270*I271</f>
        <v>0</v>
      </c>
      <c r="J272" s="666">
        <f t="shared" ref="J272:Y272" si="118">+J270*J271</f>
        <v>0</v>
      </c>
      <c r="K272" s="666">
        <f t="shared" si="118"/>
        <v>0</v>
      </c>
      <c r="L272" s="666">
        <f t="shared" si="118"/>
        <v>0</v>
      </c>
      <c r="M272" s="666">
        <f t="shared" si="118"/>
        <v>0</v>
      </c>
      <c r="N272" s="666">
        <f t="shared" si="118"/>
        <v>0</v>
      </c>
      <c r="O272" s="666">
        <f t="shared" si="118"/>
        <v>0</v>
      </c>
      <c r="P272" s="666">
        <f t="shared" si="118"/>
        <v>0</v>
      </c>
      <c r="Q272" s="666">
        <f t="shared" si="118"/>
        <v>0</v>
      </c>
      <c r="R272" s="666">
        <f t="shared" si="118"/>
        <v>0</v>
      </c>
      <c r="S272" s="666">
        <f t="shared" si="118"/>
        <v>0</v>
      </c>
      <c r="T272" s="666">
        <f t="shared" si="118"/>
        <v>0</v>
      </c>
      <c r="U272" s="666">
        <f t="shared" si="118"/>
        <v>0</v>
      </c>
      <c r="V272" s="666">
        <f t="shared" si="118"/>
        <v>0</v>
      </c>
      <c r="W272" s="666">
        <f t="shared" si="118"/>
        <v>0</v>
      </c>
      <c r="X272" s="666">
        <f t="shared" si="118"/>
        <v>0</v>
      </c>
      <c r="Y272" s="666">
        <f t="shared" si="118"/>
        <v>0</v>
      </c>
      <c r="Z272" s="666">
        <f>+Z270*Z271</f>
        <v>0</v>
      </c>
      <c r="AA272" s="666">
        <f>+AA270*AA271</f>
        <v>0</v>
      </c>
      <c r="AB272" s="666">
        <f>+AB270*AB271</f>
        <v>0</v>
      </c>
      <c r="AC272" s="666">
        <f>+AC270*AC271</f>
        <v>0</v>
      </c>
    </row>
    <row r="273" spans="1:29">
      <c r="A273" s="455"/>
      <c r="B273" s="5" t="s">
        <v>181</v>
      </c>
      <c r="C273" s="79"/>
      <c r="D273" s="5"/>
      <c r="I273" s="667">
        <v>1</v>
      </c>
      <c r="J273" s="667">
        <f t="shared" ref="J273:AC273" si="119">I273</f>
        <v>1</v>
      </c>
      <c r="K273" s="667">
        <f t="shared" si="119"/>
        <v>1</v>
      </c>
      <c r="L273" s="667">
        <f t="shared" si="119"/>
        <v>1</v>
      </c>
      <c r="M273" s="667">
        <f t="shared" si="119"/>
        <v>1</v>
      </c>
      <c r="N273" s="667">
        <f t="shared" si="119"/>
        <v>1</v>
      </c>
      <c r="O273" s="667">
        <f t="shared" si="119"/>
        <v>1</v>
      </c>
      <c r="P273" s="667">
        <f t="shared" si="119"/>
        <v>1</v>
      </c>
      <c r="Q273" s="667">
        <f t="shared" si="119"/>
        <v>1</v>
      </c>
      <c r="R273" s="667">
        <f t="shared" si="119"/>
        <v>1</v>
      </c>
      <c r="S273" s="667">
        <f t="shared" si="119"/>
        <v>1</v>
      </c>
      <c r="T273" s="667">
        <f t="shared" si="119"/>
        <v>1</v>
      </c>
      <c r="U273" s="667">
        <f t="shared" si="119"/>
        <v>1</v>
      </c>
      <c r="V273" s="667">
        <f t="shared" si="119"/>
        <v>1</v>
      </c>
      <c r="W273" s="667">
        <f t="shared" si="119"/>
        <v>1</v>
      </c>
      <c r="X273" s="667">
        <f t="shared" si="119"/>
        <v>1</v>
      </c>
      <c r="Y273" s="667">
        <f t="shared" si="119"/>
        <v>1</v>
      </c>
      <c r="Z273" s="667">
        <f t="shared" si="119"/>
        <v>1</v>
      </c>
      <c r="AA273" s="667">
        <f t="shared" si="119"/>
        <v>1</v>
      </c>
      <c r="AB273" s="667">
        <f t="shared" si="119"/>
        <v>1</v>
      </c>
      <c r="AC273" s="667">
        <f t="shared" si="119"/>
        <v>1</v>
      </c>
    </row>
    <row r="274" spans="1:29">
      <c r="B274" s="83" t="s">
        <v>527</v>
      </c>
      <c r="D274" s="5"/>
      <c r="E274" s="527">
        <v>0</v>
      </c>
      <c r="F274" s="527">
        <v>0</v>
      </c>
      <c r="G274" s="527">
        <v>0</v>
      </c>
      <c r="H274" s="527">
        <v>0</v>
      </c>
      <c r="I274" s="666">
        <f>+I272*I273</f>
        <v>0</v>
      </c>
      <c r="J274" s="666">
        <f t="shared" ref="J274:Y274" si="120">+J272*J273</f>
        <v>0</v>
      </c>
      <c r="K274" s="666">
        <f t="shared" si="120"/>
        <v>0</v>
      </c>
      <c r="L274" s="666">
        <f t="shared" si="120"/>
        <v>0</v>
      </c>
      <c r="M274" s="666">
        <f t="shared" si="120"/>
        <v>0</v>
      </c>
      <c r="N274" s="666">
        <f t="shared" si="120"/>
        <v>0</v>
      </c>
      <c r="O274" s="666">
        <f t="shared" si="120"/>
        <v>0</v>
      </c>
      <c r="P274" s="666">
        <f t="shared" si="120"/>
        <v>0</v>
      </c>
      <c r="Q274" s="666">
        <f t="shared" si="120"/>
        <v>0</v>
      </c>
      <c r="R274" s="666">
        <f t="shared" si="120"/>
        <v>0</v>
      </c>
      <c r="S274" s="666">
        <f t="shared" si="120"/>
        <v>0</v>
      </c>
      <c r="T274" s="666">
        <f t="shared" si="120"/>
        <v>0</v>
      </c>
      <c r="U274" s="666">
        <f t="shared" si="120"/>
        <v>0</v>
      </c>
      <c r="V274" s="666">
        <f t="shared" si="120"/>
        <v>0</v>
      </c>
      <c r="W274" s="666">
        <f t="shared" si="120"/>
        <v>0</v>
      </c>
      <c r="X274" s="666">
        <f t="shared" si="120"/>
        <v>0</v>
      </c>
      <c r="Y274" s="666">
        <f t="shared" si="120"/>
        <v>0</v>
      </c>
      <c r="Z274" s="666">
        <f>+Z272*Z273</f>
        <v>0</v>
      </c>
      <c r="AA274" s="666">
        <f>+AA272*AA273</f>
        <v>0</v>
      </c>
      <c r="AB274" s="666">
        <f>+AB272*AB273</f>
        <v>0</v>
      </c>
      <c r="AC274" s="666">
        <f>+AC272*AC273</f>
        <v>0</v>
      </c>
    </row>
    <row r="275" spans="1:29">
      <c r="D275" s="5"/>
    </row>
    <row r="276" spans="1:29">
      <c r="A276" s="15"/>
      <c r="B276" s="83" t="s">
        <v>528</v>
      </c>
      <c r="D276" s="219">
        <v>1</v>
      </c>
      <c r="E276" s="623"/>
      <c r="F276" s="623"/>
      <c r="G276" s="623"/>
      <c r="H276" s="623"/>
      <c r="I276" s="518">
        <f t="shared" ref="I276:AC276" si="121">IF($D276=1,I$227,IF($D276=2,I$230,IF($D276=3,I$232,IF($D276=4,I$234,IF($D276=5,I$236,I$227)))))</f>
        <v>0</v>
      </c>
      <c r="J276" s="518">
        <f t="shared" ca="1" si="121"/>
        <v>16.997552222222218</v>
      </c>
      <c r="K276" s="518">
        <f t="shared" ca="1" si="121"/>
        <v>14.999466666666665</v>
      </c>
      <c r="L276" s="518">
        <f t="shared" ca="1" si="121"/>
        <v>14.491101666666665</v>
      </c>
      <c r="M276" s="518">
        <f t="shared" ca="1" si="121"/>
        <v>14.5531825</v>
      </c>
      <c r="N276" s="518">
        <f t="shared" ca="1" si="121"/>
        <v>14.6748425</v>
      </c>
      <c r="O276" s="518">
        <f t="shared" ca="1" si="121"/>
        <v>14.797819166666669</v>
      </c>
      <c r="P276" s="518">
        <f t="shared" ca="1" si="121"/>
        <v>14.935871666666667</v>
      </c>
      <c r="Q276" s="518">
        <f t="shared" ca="1" si="121"/>
        <v>15.087551666666668</v>
      </c>
      <c r="R276" s="518">
        <f t="shared" ca="1" si="121"/>
        <v>15.247592499999998</v>
      </c>
      <c r="S276" s="518">
        <f t="shared" ca="1" si="121"/>
        <v>15.413295000000002</v>
      </c>
      <c r="T276" s="518">
        <f t="shared" ca="1" si="121"/>
        <v>15.578865833333339</v>
      </c>
      <c r="U276" s="518">
        <f t="shared" ca="1" si="121"/>
        <v>15.745029166666663</v>
      </c>
      <c r="V276" s="518">
        <f t="shared" ca="1" si="121"/>
        <v>15.910929166666664</v>
      </c>
      <c r="W276" s="518">
        <f t="shared" ca="1" si="121"/>
        <v>16.076697500000002</v>
      </c>
      <c r="X276" s="518">
        <f t="shared" ca="1" si="121"/>
        <v>16.46669416666667</v>
      </c>
      <c r="Y276" s="518">
        <f t="shared" ca="1" si="121"/>
        <v>16.848198333333336</v>
      </c>
      <c r="Z276" s="518">
        <f t="shared" ca="1" si="121"/>
        <v>17.085527499999994</v>
      </c>
      <c r="AA276" s="518">
        <f t="shared" ca="1" si="121"/>
        <v>17.322329999999997</v>
      </c>
      <c r="AB276" s="518">
        <f t="shared" ca="1" si="121"/>
        <v>17.55906666666667</v>
      </c>
      <c r="AC276" s="518">
        <f t="shared" ca="1" si="121"/>
        <v>17.737079999999999</v>
      </c>
    </row>
    <row r="277" spans="1:29">
      <c r="A277" s="15"/>
      <c r="B277" s="83" t="s">
        <v>184</v>
      </c>
      <c r="D277" s="5"/>
      <c r="E277" s="623"/>
      <c r="F277" s="623"/>
      <c r="G277" s="623"/>
      <c r="H277" s="623"/>
      <c r="I277" s="519">
        <v>0</v>
      </c>
      <c r="J277" s="519">
        <v>0</v>
      </c>
      <c r="K277" s="519">
        <v>0</v>
      </c>
      <c r="L277" s="519">
        <v>0</v>
      </c>
      <c r="M277" s="519">
        <v>0</v>
      </c>
      <c r="N277" s="519">
        <v>0</v>
      </c>
      <c r="O277" s="519">
        <v>0</v>
      </c>
      <c r="P277" s="519">
        <v>0</v>
      </c>
      <c r="Q277" s="519">
        <v>0</v>
      </c>
      <c r="R277" s="519">
        <v>0</v>
      </c>
      <c r="S277" s="519">
        <v>0</v>
      </c>
      <c r="T277" s="519">
        <v>0</v>
      </c>
      <c r="U277" s="519">
        <v>0</v>
      </c>
      <c r="V277" s="519">
        <v>0</v>
      </c>
      <c r="W277" s="519">
        <v>0</v>
      </c>
      <c r="X277" s="519">
        <v>0</v>
      </c>
      <c r="Y277" s="519">
        <v>0</v>
      </c>
      <c r="Z277" s="519">
        <v>0</v>
      </c>
      <c r="AA277" s="519">
        <v>0</v>
      </c>
      <c r="AB277" s="519">
        <v>0</v>
      </c>
      <c r="AC277" s="519">
        <v>0</v>
      </c>
    </row>
    <row r="278" spans="1:29">
      <c r="A278" s="15"/>
      <c r="B278" s="83" t="s">
        <v>529</v>
      </c>
      <c r="D278" s="5"/>
      <c r="E278" s="523">
        <v>0</v>
      </c>
      <c r="F278" s="523">
        <v>0</v>
      </c>
      <c r="G278" s="523">
        <v>0</v>
      </c>
      <c r="H278" s="523">
        <v>0</v>
      </c>
      <c r="I278" s="520">
        <f>+I276+I277</f>
        <v>0</v>
      </c>
      <c r="J278" s="520">
        <f t="shared" ref="J278:Z278" ca="1" si="122">+J276+J277</f>
        <v>16.997552222222218</v>
      </c>
      <c r="K278" s="520">
        <f t="shared" ca="1" si="122"/>
        <v>14.999466666666665</v>
      </c>
      <c r="L278" s="520">
        <f t="shared" ca="1" si="122"/>
        <v>14.491101666666665</v>
      </c>
      <c r="M278" s="520">
        <f t="shared" ca="1" si="122"/>
        <v>14.5531825</v>
      </c>
      <c r="N278" s="520">
        <f t="shared" ca="1" si="122"/>
        <v>14.6748425</v>
      </c>
      <c r="O278" s="520">
        <f t="shared" ca="1" si="122"/>
        <v>14.797819166666669</v>
      </c>
      <c r="P278" s="520">
        <f t="shared" ca="1" si="122"/>
        <v>14.935871666666667</v>
      </c>
      <c r="Q278" s="520">
        <f t="shared" ca="1" si="122"/>
        <v>15.087551666666668</v>
      </c>
      <c r="R278" s="520">
        <f t="shared" ca="1" si="122"/>
        <v>15.247592499999998</v>
      </c>
      <c r="S278" s="520">
        <f t="shared" ca="1" si="122"/>
        <v>15.413295000000002</v>
      </c>
      <c r="T278" s="520">
        <f t="shared" ca="1" si="122"/>
        <v>15.578865833333339</v>
      </c>
      <c r="U278" s="520">
        <f t="shared" ca="1" si="122"/>
        <v>15.745029166666663</v>
      </c>
      <c r="V278" s="520">
        <f t="shared" ca="1" si="122"/>
        <v>15.910929166666664</v>
      </c>
      <c r="W278" s="520">
        <f t="shared" ca="1" si="122"/>
        <v>16.076697500000002</v>
      </c>
      <c r="X278" s="520">
        <f t="shared" ca="1" si="122"/>
        <v>16.46669416666667</v>
      </c>
      <c r="Y278" s="520">
        <f t="shared" ca="1" si="122"/>
        <v>16.848198333333336</v>
      </c>
      <c r="Z278" s="520">
        <f t="shared" ca="1" si="122"/>
        <v>17.085527499999994</v>
      </c>
      <c r="AA278" s="520">
        <f ca="1">+AA276+AA277</f>
        <v>17.322329999999997</v>
      </c>
      <c r="AB278" s="520">
        <f ca="1">+AB276+AB277</f>
        <v>17.55906666666667</v>
      </c>
      <c r="AC278" s="520">
        <f ca="1">+AC276+AC277</f>
        <v>17.737079999999999</v>
      </c>
    </row>
    <row r="279" spans="1:29">
      <c r="A279" s="15"/>
      <c r="B279" s="5" t="str">
        <f>+"NGL Revenue ($"&amp;$F$5</f>
        <v>NGL Revenue ($Thousands)</v>
      </c>
      <c r="D279" s="5"/>
      <c r="E279" s="615">
        <f>E274*E278*1000/unit</f>
        <v>0</v>
      </c>
      <c r="F279" s="615">
        <f t="shared" ref="F279:U279" si="123">F274*F278*1000/unit</f>
        <v>0</v>
      </c>
      <c r="G279" s="615">
        <f t="shared" si="123"/>
        <v>0</v>
      </c>
      <c r="H279" s="615">
        <f t="shared" si="123"/>
        <v>0</v>
      </c>
      <c r="I279" s="615">
        <f t="shared" si="123"/>
        <v>0</v>
      </c>
      <c r="J279" s="615">
        <f t="shared" ca="1" si="123"/>
        <v>0</v>
      </c>
      <c r="K279" s="615">
        <f t="shared" ca="1" si="123"/>
        <v>0</v>
      </c>
      <c r="L279" s="615">
        <f t="shared" ca="1" si="123"/>
        <v>0</v>
      </c>
      <c r="M279" s="615">
        <f t="shared" ca="1" si="123"/>
        <v>0</v>
      </c>
      <c r="N279" s="615">
        <f t="shared" ca="1" si="123"/>
        <v>0</v>
      </c>
      <c r="O279" s="615">
        <f t="shared" ca="1" si="123"/>
        <v>0</v>
      </c>
      <c r="P279" s="615">
        <f t="shared" ca="1" si="123"/>
        <v>0</v>
      </c>
      <c r="Q279" s="615">
        <f t="shared" ca="1" si="123"/>
        <v>0</v>
      </c>
      <c r="R279" s="615">
        <f t="shared" ca="1" si="123"/>
        <v>0</v>
      </c>
      <c r="S279" s="615">
        <f t="shared" ca="1" si="123"/>
        <v>0</v>
      </c>
      <c r="T279" s="615">
        <f t="shared" ca="1" si="123"/>
        <v>0</v>
      </c>
      <c r="U279" s="615">
        <f t="shared" ca="1" si="123"/>
        <v>0</v>
      </c>
      <c r="V279" s="615">
        <f t="shared" ref="V279:AC279" ca="1" si="124">V274*V278*1000/unit</f>
        <v>0</v>
      </c>
      <c r="W279" s="615">
        <f t="shared" ca="1" si="124"/>
        <v>0</v>
      </c>
      <c r="X279" s="615">
        <f t="shared" ca="1" si="124"/>
        <v>0</v>
      </c>
      <c r="Y279" s="615">
        <f t="shared" ca="1" si="124"/>
        <v>0</v>
      </c>
      <c r="Z279" s="615">
        <f t="shared" ca="1" si="124"/>
        <v>0</v>
      </c>
      <c r="AA279" s="615">
        <f t="shared" ca="1" si="124"/>
        <v>0</v>
      </c>
      <c r="AB279" s="615">
        <f t="shared" ca="1" si="124"/>
        <v>0</v>
      </c>
      <c r="AC279" s="615">
        <f t="shared" ca="1" si="124"/>
        <v>0</v>
      </c>
    </row>
    <row r="280" spans="1:29">
      <c r="A280" s="15"/>
      <c r="B280" s="5"/>
      <c r="D280" s="5"/>
      <c r="E280" s="623"/>
      <c r="F280" s="623"/>
      <c r="G280" s="623"/>
      <c r="H280" s="623"/>
      <c r="I280" s="623"/>
      <c r="J280" s="623"/>
      <c r="K280" s="623"/>
      <c r="L280" s="623"/>
      <c r="M280" s="623"/>
      <c r="N280" s="623"/>
      <c r="O280" s="623"/>
      <c r="P280" s="623"/>
      <c r="Q280" s="623"/>
      <c r="R280" s="623"/>
      <c r="S280" s="623"/>
      <c r="T280" s="623"/>
      <c r="U280" s="623"/>
      <c r="V280" s="623"/>
      <c r="W280" s="623"/>
      <c r="X280" s="623"/>
      <c r="Y280" s="624"/>
      <c r="Z280" s="624"/>
      <c r="AA280" s="624"/>
      <c r="AB280" s="624"/>
      <c r="AC280" s="624"/>
    </row>
    <row r="281" spans="1:29">
      <c r="A281" s="337" t="str">
        <f>+"Total Revenues - "&amp;C10</f>
        <v>Total Revenues - PDP</v>
      </c>
      <c r="D281" s="5"/>
      <c r="E281" s="623">
        <f>E268+E252+E279</f>
        <v>0</v>
      </c>
      <c r="F281" s="623">
        <f t="shared" ref="F281:U281" si="125">F268+F252+F279</f>
        <v>0</v>
      </c>
      <c r="G281" s="623">
        <f t="shared" si="125"/>
        <v>0</v>
      </c>
      <c r="H281" s="623">
        <f t="shared" si="125"/>
        <v>0</v>
      </c>
      <c r="I281" s="623">
        <f t="shared" si="125"/>
        <v>-503.67506577331352</v>
      </c>
      <c r="J281" s="623">
        <f t="shared" ca="1" si="125"/>
        <v>5959.3669878597939</v>
      </c>
      <c r="K281" s="623">
        <f t="shared" ca="1" si="125"/>
        <v>4330.3688317914712</v>
      </c>
      <c r="L281" s="623">
        <f t="shared" ca="1" si="125"/>
        <v>3548.5815209645398</v>
      </c>
      <c r="M281" s="623">
        <f t="shared" ca="1" si="125"/>
        <v>2950.8737931151377</v>
      </c>
      <c r="N281" s="623">
        <f t="shared" ca="1" si="125"/>
        <v>2473.2407479221642</v>
      </c>
      <c r="O281" s="623">
        <f t="shared" ca="1" si="125"/>
        <v>2082.1475086709424</v>
      </c>
      <c r="P281" s="623">
        <f t="shared" ca="1" si="125"/>
        <v>1762.1242609990059</v>
      </c>
      <c r="Q281" s="623">
        <f t="shared" ca="1" si="125"/>
        <v>1500.5098512553545</v>
      </c>
      <c r="R281" s="623">
        <f t="shared" ca="1" si="125"/>
        <v>1288.7812066766085</v>
      </c>
      <c r="S281" s="623">
        <f t="shared" ca="1" si="125"/>
        <v>1118.3452372550607</v>
      </c>
      <c r="T281" s="623">
        <f t="shared" ca="1" si="125"/>
        <v>980.00432432367086</v>
      </c>
      <c r="U281" s="623">
        <f t="shared" ca="1" si="125"/>
        <v>866.7138844319793</v>
      </c>
      <c r="V281" s="623">
        <f t="shared" ref="V281:AC281" ca="1" si="126">V268+V252+V279</f>
        <v>771.16526549008904</v>
      </c>
      <c r="W281" s="623">
        <f t="shared" ca="1" si="126"/>
        <v>688.73574639828291</v>
      </c>
      <c r="X281" s="623">
        <f t="shared" ca="1" si="126"/>
        <v>618.40214605494998</v>
      </c>
      <c r="Y281" s="623">
        <f t="shared" ca="1" si="126"/>
        <v>556.46167694609539</v>
      </c>
      <c r="Z281" s="623">
        <f t="shared" ca="1" si="126"/>
        <v>501.16364751813938</v>
      </c>
      <c r="AA281" s="623">
        <f t="shared" ca="1" si="126"/>
        <v>452.17296966500913</v>
      </c>
      <c r="AB281" s="623">
        <f t="shared" ca="1" si="126"/>
        <v>408.55659568599742</v>
      </c>
      <c r="AC281" s="623">
        <f t="shared" ca="1" si="126"/>
        <v>369.45408339558725</v>
      </c>
    </row>
    <row r="282" spans="1:29" ht="12" thickBot="1">
      <c r="A282" s="15"/>
      <c r="B282" s="5"/>
      <c r="D282" s="5"/>
      <c r="E282" s="623"/>
      <c r="F282" s="623"/>
      <c r="G282" s="623"/>
      <c r="H282" s="623"/>
      <c r="I282" s="623"/>
      <c r="J282" s="623"/>
      <c r="K282" s="623"/>
      <c r="L282" s="623"/>
      <c r="M282" s="623"/>
      <c r="N282" s="623"/>
      <c r="O282" s="623"/>
      <c r="P282" s="623"/>
      <c r="Q282" s="623"/>
      <c r="R282" s="623"/>
      <c r="S282" s="623"/>
      <c r="T282" s="623"/>
      <c r="U282" s="623"/>
      <c r="V282" s="623"/>
      <c r="W282" s="623"/>
      <c r="X282" s="623"/>
      <c r="Y282" s="624"/>
      <c r="Z282" s="624"/>
      <c r="AA282" s="624"/>
      <c r="AB282" s="624"/>
      <c r="AC282" s="624"/>
    </row>
    <row r="283" spans="1:29" ht="12" thickTop="1">
      <c r="A283" s="443"/>
      <c r="B283" s="443"/>
      <c r="C283" s="443"/>
      <c r="D283" s="443"/>
      <c r="E283" s="443"/>
      <c r="F283" s="443"/>
      <c r="G283" s="443"/>
      <c r="H283" s="443"/>
      <c r="I283" s="443"/>
      <c r="J283" s="443"/>
      <c r="K283" s="443"/>
      <c r="L283" s="443"/>
      <c r="M283" s="443"/>
      <c r="N283" s="443"/>
      <c r="O283" s="443"/>
      <c r="P283" s="443"/>
      <c r="Q283" s="443"/>
      <c r="R283" s="443"/>
      <c r="S283" s="443"/>
      <c r="T283" s="443"/>
      <c r="U283" s="443"/>
      <c r="V283" s="443"/>
      <c r="W283" s="443"/>
      <c r="X283" s="443"/>
      <c r="Y283" s="443"/>
      <c r="Z283" s="443"/>
      <c r="AA283" s="443"/>
      <c r="AB283" s="443"/>
      <c r="AC283" s="443"/>
    </row>
    <row r="284" spans="1:29">
      <c r="A284" s="15"/>
      <c r="B284" s="15" t="s">
        <v>196</v>
      </c>
      <c r="C284" s="330"/>
      <c r="D284" s="330"/>
      <c r="E284" s="623"/>
      <c r="F284" s="623"/>
      <c r="G284" s="623"/>
      <c r="H284" s="623"/>
      <c r="I284" s="623"/>
      <c r="J284" s="623"/>
      <c r="K284" s="623"/>
      <c r="L284" s="623"/>
      <c r="M284" s="623"/>
      <c r="N284" s="623"/>
      <c r="O284" s="623"/>
      <c r="P284" s="623"/>
      <c r="Q284" s="623"/>
      <c r="R284" s="623"/>
      <c r="S284" s="623"/>
      <c r="T284" s="623"/>
      <c r="U284" s="623"/>
      <c r="V284" s="623"/>
      <c r="W284" s="623"/>
      <c r="X284" s="623"/>
      <c r="Y284" s="623"/>
      <c r="Z284" s="623"/>
      <c r="AA284" s="623"/>
      <c r="AB284" s="623"/>
      <c r="AC284" s="623"/>
    </row>
    <row r="285" spans="1:29">
      <c r="A285" s="15"/>
      <c r="B285" s="308" t="s">
        <v>197</v>
      </c>
      <c r="C285" s="416" t="s">
        <v>198</v>
      </c>
      <c r="D285" s="219">
        <v>6</v>
      </c>
      <c r="F285" s="623"/>
      <c r="H285" s="668" t="s">
        <v>199</v>
      </c>
      <c r="I285" s="623">
        <f>(I247+(I263/$D285)+I274)*1000</f>
        <v>220249.99077375475</v>
      </c>
      <c r="J285" s="623">
        <f t="shared" ref="J285:Y285" si="127">(J247+(J263/$D285)+J274)*1000</f>
        <v>440499.98154750949</v>
      </c>
      <c r="K285" s="623">
        <f t="shared" si="127"/>
        <v>369526.14619425649</v>
      </c>
      <c r="L285" s="623">
        <f t="shared" si="127"/>
        <v>310490.12279290712</v>
      </c>
      <c r="M285" s="623">
        <f t="shared" si="127"/>
        <v>261291.28887629168</v>
      </c>
      <c r="N285" s="623">
        <f t="shared" si="127"/>
        <v>220215.03208957141</v>
      </c>
      <c r="O285" s="623">
        <f t="shared" si="127"/>
        <v>185859.05093533706</v>
      </c>
      <c r="P285" s="623">
        <f t="shared" si="127"/>
        <v>157074.17398388119</v>
      </c>
      <c r="Q285" s="623">
        <f t="shared" si="127"/>
        <v>132916.7678245655</v>
      </c>
      <c r="R285" s="623">
        <f t="shared" si="127"/>
        <v>112610.40573905112</v>
      </c>
      <c r="S285" s="623">
        <f t="shared" si="127"/>
        <v>95514.945656711381</v>
      </c>
      <c r="T285" s="623">
        <f t="shared" si="127"/>
        <v>81101.543650712236</v>
      </c>
      <c r="U285" s="623">
        <f t="shared" si="127"/>
        <v>68932.428757513437</v>
      </c>
      <c r="V285" s="623">
        <f t="shared" si="127"/>
        <v>58644.502596461527</v>
      </c>
      <c r="W285" s="623">
        <f t="shared" si="127"/>
        <v>49936.016032891472</v>
      </c>
      <c r="X285" s="623">
        <f t="shared" si="127"/>
        <v>42555.725158078043</v>
      </c>
      <c r="Y285" s="623">
        <f t="shared" si="127"/>
        <v>36294.048203225582</v>
      </c>
      <c r="Z285" s="623">
        <f>(Z247+(Z263/$D285)+Z274)*1000</f>
        <v>30975.84002529029</v>
      </c>
      <c r="AA285" s="623">
        <f>(AA247+(AA263/$D285)+AA274)*1000</f>
        <v>26454.476530706102</v>
      </c>
      <c r="AB285" s="623">
        <f>(AB247+(AB263/$D285)+AB274)*1000</f>
        <v>22607.001818634722</v>
      </c>
      <c r="AC285" s="623">
        <f>(AC247+(AC263/$D285)+AC274)*1000</f>
        <v>19330.139077710079</v>
      </c>
    </row>
    <row r="286" spans="1:29">
      <c r="A286" s="15"/>
      <c r="B286" s="341"/>
      <c r="C286" s="416"/>
      <c r="D286" s="330"/>
      <c r="E286" s="623"/>
      <c r="F286" s="623"/>
      <c r="G286" s="623"/>
      <c r="H286" s="623"/>
      <c r="I286" s="623"/>
      <c r="J286" s="623"/>
      <c r="K286" s="623"/>
      <c r="L286" s="623"/>
      <c r="M286" s="623"/>
      <c r="N286" s="623"/>
      <c r="O286" s="623"/>
      <c r="P286" s="623"/>
      <c r="Q286" s="623"/>
      <c r="R286" s="623"/>
      <c r="S286" s="623"/>
      <c r="T286" s="623"/>
      <c r="U286" s="623"/>
      <c r="V286" s="623"/>
      <c r="W286" s="623"/>
      <c r="X286" s="623"/>
      <c r="Y286" s="623"/>
      <c r="Z286" s="623"/>
      <c r="AA286" s="623"/>
      <c r="AB286" s="623"/>
      <c r="AC286" s="623"/>
    </row>
    <row r="287" spans="1:29">
      <c r="A287" s="15"/>
      <c r="B287" s="410" t="s">
        <v>164</v>
      </c>
      <c r="C287" s="503" t="s">
        <v>19</v>
      </c>
      <c r="E287" s="150" t="s">
        <v>200</v>
      </c>
      <c r="H287" s="533">
        <v>0</v>
      </c>
      <c r="I287" s="193" t="s">
        <v>530</v>
      </c>
      <c r="J287" s="193" t="s">
        <v>531</v>
      </c>
      <c r="K287" s="193" t="s">
        <v>532</v>
      </c>
    </row>
    <row r="288" spans="1:29">
      <c r="A288" s="15"/>
      <c r="B288" s="375" t="s">
        <v>165</v>
      </c>
      <c r="C288" s="503"/>
      <c r="E288" t="s">
        <v>201</v>
      </c>
      <c r="H288" s="534">
        <v>1</v>
      </c>
      <c r="I288" s="479">
        <v>0.9</v>
      </c>
      <c r="J288" s="778">
        <v>1</v>
      </c>
      <c r="K288" s="479">
        <v>1.05</v>
      </c>
    </row>
    <row r="289" spans="1:29">
      <c r="A289" s="15"/>
      <c r="B289" s="375" t="s">
        <v>166</v>
      </c>
      <c r="C289" s="503"/>
      <c r="E289" s="150" t="s">
        <v>202</v>
      </c>
      <c r="H289" s="476">
        <f>+H287*H288</f>
        <v>0</v>
      </c>
    </row>
    <row r="290" spans="1:29">
      <c r="A290" s="15"/>
      <c r="B290" s="375" t="s">
        <v>167</v>
      </c>
      <c r="C290" s="503"/>
      <c r="E290" s="150" t="s">
        <v>203</v>
      </c>
      <c r="H290" s="535">
        <v>3</v>
      </c>
      <c r="I290" s="693">
        <v>0</v>
      </c>
      <c r="J290" s="693">
        <v>0</v>
      </c>
      <c r="K290" s="693">
        <v>0</v>
      </c>
      <c r="L290" s="693">
        <v>0</v>
      </c>
      <c r="M290" s="693">
        <v>0</v>
      </c>
      <c r="N290" s="693">
        <v>0</v>
      </c>
      <c r="O290" s="693">
        <v>0</v>
      </c>
      <c r="P290" s="693">
        <v>0</v>
      </c>
      <c r="Q290" s="693">
        <v>0</v>
      </c>
      <c r="R290" s="693">
        <v>0</v>
      </c>
      <c r="S290" s="693">
        <v>0</v>
      </c>
      <c r="T290" s="693">
        <v>0</v>
      </c>
      <c r="U290" s="693">
        <v>0</v>
      </c>
      <c r="V290" s="693">
        <v>0</v>
      </c>
      <c r="W290" s="693">
        <v>0</v>
      </c>
      <c r="X290" s="693">
        <v>0</v>
      </c>
      <c r="Y290" s="693">
        <v>0</v>
      </c>
      <c r="Z290" s="693">
        <v>0</v>
      </c>
      <c r="AA290" s="693">
        <v>0</v>
      </c>
      <c r="AB290" s="693">
        <v>0</v>
      </c>
      <c r="AC290" s="693">
        <v>0</v>
      </c>
    </row>
    <row r="291" spans="1:29">
      <c r="A291" s="15"/>
      <c r="B291" s="411" t="s">
        <v>204</v>
      </c>
      <c r="E291" s="476"/>
      <c r="F291" s="476"/>
      <c r="G291" s="476"/>
      <c r="H291" s="476"/>
      <c r="I291" s="476">
        <f>I290*$J$288*$H$288</f>
        <v>0</v>
      </c>
      <c r="J291" s="476">
        <f t="shared" ref="J291:Y291" si="128">J290*$J$288*$H$288</f>
        <v>0</v>
      </c>
      <c r="K291" s="476">
        <f t="shared" si="128"/>
        <v>0</v>
      </c>
      <c r="L291" s="476">
        <f t="shared" si="128"/>
        <v>0</v>
      </c>
      <c r="M291" s="476">
        <f t="shared" si="128"/>
        <v>0</v>
      </c>
      <c r="N291" s="476">
        <f t="shared" si="128"/>
        <v>0</v>
      </c>
      <c r="O291" s="476">
        <f t="shared" si="128"/>
        <v>0</v>
      </c>
      <c r="P291" s="476">
        <f t="shared" si="128"/>
        <v>0</v>
      </c>
      <c r="Q291" s="476">
        <f t="shared" si="128"/>
        <v>0</v>
      </c>
      <c r="R291" s="476">
        <f t="shared" si="128"/>
        <v>0</v>
      </c>
      <c r="S291" s="476">
        <f t="shared" si="128"/>
        <v>0</v>
      </c>
      <c r="T291" s="476">
        <f t="shared" si="128"/>
        <v>0</v>
      </c>
      <c r="U291" s="476">
        <f t="shared" si="128"/>
        <v>0</v>
      </c>
      <c r="V291" s="476">
        <f t="shared" si="128"/>
        <v>0</v>
      </c>
      <c r="W291" s="476">
        <f t="shared" si="128"/>
        <v>0</v>
      </c>
      <c r="X291" s="476">
        <f t="shared" si="128"/>
        <v>0</v>
      </c>
      <c r="Y291" s="476">
        <f t="shared" si="128"/>
        <v>0</v>
      </c>
      <c r="Z291" s="476">
        <f>Z290*$J$288*$H$288</f>
        <v>0</v>
      </c>
      <c r="AA291" s="476">
        <f>AA290*$J$288*$H$288</f>
        <v>0</v>
      </c>
      <c r="AB291" s="476">
        <f>AB290*$J$288*$H$288</f>
        <v>0</v>
      </c>
      <c r="AC291" s="476">
        <f>AC290*$J$288*$H$288</f>
        <v>0</v>
      </c>
    </row>
    <row r="292" spans="1:29">
      <c r="A292" s="15"/>
      <c r="B292" s="411"/>
      <c r="E292" s="476"/>
      <c r="F292" s="476"/>
      <c r="G292" s="476"/>
      <c r="H292" s="476"/>
      <c r="I292" s="476"/>
      <c r="J292" s="476"/>
      <c r="K292" s="476"/>
      <c r="L292" s="476"/>
      <c r="M292" s="476"/>
      <c r="N292" s="476"/>
      <c r="O292" s="476"/>
      <c r="P292" s="476"/>
      <c r="Q292" s="476"/>
      <c r="R292" s="476"/>
      <c r="S292" s="476"/>
      <c r="T292" s="476"/>
      <c r="U292" s="476"/>
      <c r="V292" s="476"/>
      <c r="W292" s="476"/>
      <c r="X292" s="476"/>
      <c r="Y292" s="476"/>
      <c r="Z292" s="476"/>
      <c r="AA292" s="476"/>
      <c r="AB292" s="476"/>
      <c r="AC292" s="476"/>
    </row>
    <row r="293" spans="1:29">
      <c r="A293" s="15"/>
      <c r="B293" s="411" t="s">
        <v>205</v>
      </c>
      <c r="E293" s="476" t="s">
        <v>533</v>
      </c>
      <c r="F293" s="476"/>
      <c r="G293" s="476"/>
      <c r="H293" s="673">
        <v>9.1999999999999998E-2</v>
      </c>
      <c r="I293" s="476">
        <f t="shared" ref="I293:Z293" si="129">+$H293*I281</f>
        <v>-46.338106051144841</v>
      </c>
      <c r="J293" s="476">
        <f t="shared" ca="1" si="129"/>
        <v>548.26176288310103</v>
      </c>
      <c r="K293" s="476">
        <f t="shared" ca="1" si="129"/>
        <v>398.39393252481534</v>
      </c>
      <c r="L293" s="476">
        <f t="shared" ca="1" si="129"/>
        <v>326.46949992873766</v>
      </c>
      <c r="M293" s="476">
        <f t="shared" ca="1" si="129"/>
        <v>271.48038896659267</v>
      </c>
      <c r="N293" s="476">
        <f t="shared" ca="1" si="129"/>
        <v>227.53814880883911</v>
      </c>
      <c r="O293" s="476">
        <f t="shared" ca="1" si="129"/>
        <v>191.5575707977267</v>
      </c>
      <c r="P293" s="476">
        <f t="shared" ca="1" si="129"/>
        <v>162.11543201190852</v>
      </c>
      <c r="Q293" s="476">
        <f t="shared" ca="1" si="129"/>
        <v>138.04690631549261</v>
      </c>
      <c r="R293" s="476">
        <f t="shared" ca="1" si="129"/>
        <v>118.56787101424797</v>
      </c>
      <c r="S293" s="476">
        <f t="shared" ca="1" si="129"/>
        <v>102.88776182746558</v>
      </c>
      <c r="T293" s="476">
        <f t="shared" ca="1" si="129"/>
        <v>90.160397837777722</v>
      </c>
      <c r="U293" s="476">
        <f t="shared" ca="1" si="129"/>
        <v>79.737677367742094</v>
      </c>
      <c r="V293" s="476">
        <f t="shared" ca="1" si="129"/>
        <v>70.947204425088188</v>
      </c>
      <c r="W293" s="476">
        <f t="shared" ca="1" si="129"/>
        <v>63.363688668642027</v>
      </c>
      <c r="X293" s="476">
        <f t="shared" ca="1" si="129"/>
        <v>56.892997437055399</v>
      </c>
      <c r="Y293" s="476">
        <f t="shared" ca="1" si="129"/>
        <v>51.194474279040776</v>
      </c>
      <c r="Z293" s="476">
        <f t="shared" ca="1" si="129"/>
        <v>46.107055571668823</v>
      </c>
      <c r="AA293" s="476">
        <f ca="1">+$H293*AA281</f>
        <v>41.599913209180841</v>
      </c>
      <c r="AB293" s="476">
        <f ca="1">+$H293*AB281</f>
        <v>37.587206803111762</v>
      </c>
      <c r="AC293" s="476">
        <f ca="1">+$H293*AC281</f>
        <v>33.989775672394025</v>
      </c>
    </row>
    <row r="294" spans="1:29">
      <c r="A294" s="15"/>
      <c r="B294" s="411"/>
      <c r="E294" s="476"/>
      <c r="F294" s="476"/>
      <c r="G294" s="476"/>
      <c r="H294" s="476"/>
      <c r="I294" s="476"/>
      <c r="J294" s="476"/>
      <c r="K294" s="476"/>
      <c r="L294" s="476"/>
      <c r="M294" s="476"/>
      <c r="N294" s="476"/>
      <c r="O294" s="476"/>
      <c r="P294" s="476"/>
      <c r="Q294" s="476"/>
      <c r="R294" s="476"/>
      <c r="S294" s="476"/>
      <c r="T294" s="476"/>
      <c r="U294" s="476"/>
      <c r="V294" s="476"/>
      <c r="W294" s="476"/>
      <c r="X294" s="476"/>
      <c r="Y294" s="476"/>
      <c r="Z294" s="476"/>
      <c r="AA294" s="476"/>
      <c r="AB294" s="476"/>
      <c r="AC294" s="476"/>
    </row>
    <row r="295" spans="1:29">
      <c r="A295" s="15"/>
      <c r="B295" s="346" t="s">
        <v>207</v>
      </c>
      <c r="E295" s="476"/>
      <c r="F295" s="476"/>
      <c r="G295" s="476"/>
      <c r="H295" s="476"/>
      <c r="I295" s="476"/>
      <c r="J295" s="476"/>
      <c r="K295" s="476"/>
      <c r="L295" s="476"/>
      <c r="M295" s="476"/>
      <c r="N295" s="476"/>
      <c r="O295" s="476"/>
      <c r="P295" s="476"/>
      <c r="Q295" s="476"/>
      <c r="R295" s="476"/>
      <c r="S295" s="476"/>
      <c r="T295" s="476"/>
      <c r="U295" s="476"/>
      <c r="V295" s="476"/>
      <c r="W295" s="476"/>
      <c r="X295" s="476"/>
      <c r="Y295" s="476"/>
      <c r="Z295" s="476"/>
      <c r="AA295" s="476"/>
      <c r="AB295" s="476"/>
      <c r="AC295" s="476"/>
    </row>
    <row r="296" spans="1:29">
      <c r="A296" s="15"/>
      <c r="B296" s="410" t="s">
        <v>164</v>
      </c>
      <c r="C296" s="503" t="s">
        <v>19</v>
      </c>
      <c r="E296" s="150" t="s">
        <v>208</v>
      </c>
      <c r="H296" s="535">
        <v>0</v>
      </c>
      <c r="I296" s="334"/>
      <c r="J296" s="334"/>
      <c r="K296" s="334"/>
      <c r="L296" s="334"/>
      <c r="M296" s="334"/>
      <c r="N296" s="334"/>
      <c r="O296" s="334"/>
      <c r="P296" s="334"/>
      <c r="Q296" s="334"/>
      <c r="R296" s="334"/>
      <c r="S296" s="334"/>
      <c r="T296" s="334"/>
      <c r="U296" s="334"/>
      <c r="V296" s="334"/>
      <c r="W296" s="334"/>
      <c r="X296" s="334"/>
      <c r="Y296" s="334"/>
      <c r="Z296" s="334"/>
      <c r="AA296" s="334"/>
      <c r="AB296" s="334"/>
      <c r="AC296" s="334"/>
    </row>
    <row r="297" spans="1:29">
      <c r="A297" s="15"/>
      <c r="B297" s="375" t="s">
        <v>165</v>
      </c>
      <c r="C297" s="503"/>
      <c r="E297" t="s">
        <v>201</v>
      </c>
      <c r="H297" s="534">
        <v>1</v>
      </c>
      <c r="I297" s="208"/>
      <c r="J297" s="208"/>
      <c r="K297" s="208"/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</row>
    <row r="298" spans="1:29">
      <c r="A298" s="15"/>
      <c r="B298" s="375" t="s">
        <v>166</v>
      </c>
      <c r="C298" s="503"/>
      <c r="E298" s="150" t="s">
        <v>202</v>
      </c>
      <c r="H298" s="476">
        <f>+H296*H297</f>
        <v>0</v>
      </c>
    </row>
    <row r="299" spans="1:29">
      <c r="A299" s="15"/>
      <c r="B299" s="375" t="s">
        <v>167</v>
      </c>
      <c r="C299" s="503"/>
      <c r="E299" s="150" t="s">
        <v>203</v>
      </c>
      <c r="H299" s="535">
        <v>1</v>
      </c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  <c r="AA299" s="335"/>
      <c r="AB299" s="335"/>
      <c r="AC299" s="335"/>
    </row>
    <row r="300" spans="1:29">
      <c r="A300" s="15"/>
      <c r="B300" s="411" t="s">
        <v>209</v>
      </c>
      <c r="E300" s="476"/>
      <c r="F300" s="476"/>
      <c r="G300" s="476"/>
      <c r="H300" s="476"/>
      <c r="I300" s="476">
        <f ca="1">($H298)*(IF($H299=1,I$185,IF($H299=2,I$188,IF($H299=3,I$191,0))))*(stub)</f>
        <v>0</v>
      </c>
      <c r="J300" s="476">
        <f ca="1">($H298)*(IF($H299=1,J$185,IF($H299=2,J$188,IF($H299=3,J$191,0))))</f>
        <v>0</v>
      </c>
      <c r="K300" s="476">
        <f t="shared" ref="K300:Z300" ca="1" si="130">($H298)*(IF($H299=1,K$185,IF($H299=2,K$188,IF($H299=3,K$191,0))))</f>
        <v>0</v>
      </c>
      <c r="L300" s="476">
        <f t="shared" ca="1" si="130"/>
        <v>0</v>
      </c>
      <c r="M300" s="476">
        <f t="shared" ca="1" si="130"/>
        <v>0</v>
      </c>
      <c r="N300" s="476">
        <f t="shared" ca="1" si="130"/>
        <v>0</v>
      </c>
      <c r="O300" s="476">
        <f t="shared" ca="1" si="130"/>
        <v>0</v>
      </c>
      <c r="P300" s="476">
        <f t="shared" ca="1" si="130"/>
        <v>0</v>
      </c>
      <c r="Q300" s="476">
        <f t="shared" ca="1" si="130"/>
        <v>0</v>
      </c>
      <c r="R300" s="476">
        <f t="shared" ca="1" si="130"/>
        <v>0</v>
      </c>
      <c r="S300" s="476">
        <f t="shared" ca="1" si="130"/>
        <v>0</v>
      </c>
      <c r="T300" s="476">
        <f t="shared" ca="1" si="130"/>
        <v>0</v>
      </c>
      <c r="U300" s="476">
        <f t="shared" ca="1" si="130"/>
        <v>0</v>
      </c>
      <c r="V300" s="476">
        <f t="shared" ca="1" si="130"/>
        <v>0</v>
      </c>
      <c r="W300" s="476">
        <f t="shared" ca="1" si="130"/>
        <v>0</v>
      </c>
      <c r="X300" s="476">
        <f t="shared" ca="1" si="130"/>
        <v>0</v>
      </c>
      <c r="Y300" s="476">
        <f t="shared" ca="1" si="130"/>
        <v>0</v>
      </c>
      <c r="Z300" s="476">
        <f t="shared" ca="1" si="130"/>
        <v>0</v>
      </c>
      <c r="AA300" s="476">
        <f ca="1">($H298)*(IF($H299=1,AA$185,IF($H299=2,AA$188,IF($H299=3,AA$191,0))))</f>
        <v>0</v>
      </c>
      <c r="AB300" s="476">
        <f ca="1">($H298)*(IF($H299=1,AB$185,IF($H299=2,AB$188,IF($H299=3,AB$191,0))))</f>
        <v>0</v>
      </c>
      <c r="AC300" s="476">
        <f ca="1">($H298)*(IF($H299=1,AC$185,IF($H299=2,AC$188,IF($H299=3,AC$191,0))))</f>
        <v>0</v>
      </c>
    </row>
    <row r="301" spans="1:29">
      <c r="A301" s="15"/>
      <c r="B301" s="411"/>
      <c r="E301" s="476"/>
      <c r="F301" s="476"/>
      <c r="G301" s="476"/>
      <c r="H301" s="476"/>
      <c r="I301" s="476"/>
      <c r="J301" s="476"/>
      <c r="K301" s="476"/>
      <c r="L301" s="476"/>
      <c r="M301" s="476"/>
      <c r="N301" s="476"/>
      <c r="O301" s="476"/>
      <c r="P301" s="476"/>
      <c r="Q301" s="476"/>
      <c r="R301" s="476"/>
      <c r="S301" s="476"/>
      <c r="T301" s="476"/>
      <c r="U301" s="476"/>
      <c r="V301" s="476"/>
      <c r="W301" s="476"/>
      <c r="X301" s="476"/>
      <c r="Y301" s="476"/>
      <c r="Z301" s="476"/>
      <c r="AA301" s="476"/>
      <c r="AB301" s="476"/>
      <c r="AC301" s="476"/>
    </row>
    <row r="302" spans="1:29">
      <c r="A302" s="15"/>
      <c r="B302" s="411" t="s">
        <v>210</v>
      </c>
      <c r="E302" s="476"/>
      <c r="F302" s="476"/>
      <c r="G302" s="476"/>
      <c r="H302" s="476"/>
      <c r="I302" s="536">
        <v>0</v>
      </c>
      <c r="J302" s="536">
        <v>0</v>
      </c>
      <c r="K302" s="536">
        <v>0</v>
      </c>
      <c r="L302" s="536">
        <v>0</v>
      </c>
      <c r="M302" s="536">
        <v>0</v>
      </c>
      <c r="N302" s="536">
        <v>0</v>
      </c>
      <c r="O302" s="536">
        <v>0</v>
      </c>
      <c r="P302" s="536">
        <v>0</v>
      </c>
      <c r="Q302" s="536">
        <v>0</v>
      </c>
      <c r="R302" s="536">
        <v>0</v>
      </c>
      <c r="S302" s="536">
        <v>0</v>
      </c>
      <c r="T302" s="536">
        <v>0</v>
      </c>
      <c r="U302" s="536">
        <v>0</v>
      </c>
      <c r="V302" s="536">
        <v>0</v>
      </c>
      <c r="W302" s="536">
        <v>0</v>
      </c>
      <c r="X302" s="536">
        <v>0</v>
      </c>
      <c r="Y302" s="536">
        <v>0</v>
      </c>
      <c r="Z302" s="536">
        <v>0</v>
      </c>
      <c r="AA302" s="536">
        <v>0</v>
      </c>
      <c r="AB302" s="536">
        <v>0</v>
      </c>
      <c r="AC302" s="536">
        <v>0</v>
      </c>
    </row>
    <row r="303" spans="1:29">
      <c r="A303" s="417" t="str">
        <f>"Total Production Costs - "&amp;C10</f>
        <v>Total Production Costs - PDP</v>
      </c>
      <c r="E303" s="537">
        <v>0</v>
      </c>
      <c r="F303" s="537">
        <v>0</v>
      </c>
      <c r="G303" s="537">
        <v>0</v>
      </c>
      <c r="H303" s="537">
        <v>0</v>
      </c>
      <c r="I303" s="620">
        <f ca="1">+I300+I291+I293+I302</f>
        <v>-46.338106051144841</v>
      </c>
      <c r="J303" s="620">
        <f t="shared" ref="J303:Y303" ca="1" si="131">+J300+J291+J293+J302</f>
        <v>548.26176288310103</v>
      </c>
      <c r="K303" s="620">
        <f t="shared" ca="1" si="131"/>
        <v>398.39393252481534</v>
      </c>
      <c r="L303" s="620">
        <f t="shared" ca="1" si="131"/>
        <v>326.46949992873766</v>
      </c>
      <c r="M303" s="620">
        <f t="shared" ca="1" si="131"/>
        <v>271.48038896659267</v>
      </c>
      <c r="N303" s="620">
        <f t="shared" ca="1" si="131"/>
        <v>227.53814880883911</v>
      </c>
      <c r="O303" s="620">
        <f t="shared" ca="1" si="131"/>
        <v>191.5575707977267</v>
      </c>
      <c r="P303" s="620">
        <f t="shared" ca="1" si="131"/>
        <v>162.11543201190852</v>
      </c>
      <c r="Q303" s="620">
        <f t="shared" ca="1" si="131"/>
        <v>138.04690631549261</v>
      </c>
      <c r="R303" s="620">
        <f t="shared" ca="1" si="131"/>
        <v>118.56787101424797</v>
      </c>
      <c r="S303" s="620">
        <f t="shared" ca="1" si="131"/>
        <v>102.88776182746558</v>
      </c>
      <c r="T303" s="620">
        <f t="shared" ca="1" si="131"/>
        <v>90.160397837777722</v>
      </c>
      <c r="U303" s="620">
        <f t="shared" ca="1" si="131"/>
        <v>79.737677367742094</v>
      </c>
      <c r="V303" s="620">
        <f t="shared" ca="1" si="131"/>
        <v>70.947204425088188</v>
      </c>
      <c r="W303" s="620">
        <f t="shared" ca="1" si="131"/>
        <v>63.363688668642027</v>
      </c>
      <c r="X303" s="620">
        <f t="shared" ca="1" si="131"/>
        <v>56.892997437055399</v>
      </c>
      <c r="Y303" s="620">
        <f t="shared" ca="1" si="131"/>
        <v>51.194474279040776</v>
      </c>
      <c r="Z303" s="620">
        <f ca="1">+Z300+Z291+Z293+Z302</f>
        <v>46.107055571668823</v>
      </c>
      <c r="AA303" s="620">
        <f ca="1">+AA300+AA291+AA293+AA302</f>
        <v>41.599913209180841</v>
      </c>
      <c r="AB303" s="620">
        <f ca="1">+AB300+AB291+AB293+AB302</f>
        <v>37.587206803111762</v>
      </c>
      <c r="AC303" s="620">
        <f ca="1">+AC300+AC291+AC293+AC302</f>
        <v>33.989775672394025</v>
      </c>
    </row>
    <row r="304" spans="1:29">
      <c r="A304" s="15" t="str">
        <f>"Net Oil &amp; Gas Income - "&amp;C10</f>
        <v>Net Oil &amp; Gas Income - PDP</v>
      </c>
      <c r="D304" s="5"/>
      <c r="E304" s="615">
        <f>E281-E303</f>
        <v>0</v>
      </c>
      <c r="F304" s="615">
        <f t="shared" ref="F304:U304" si="132">F281-F303</f>
        <v>0</v>
      </c>
      <c r="G304" s="615">
        <f t="shared" si="132"/>
        <v>0</v>
      </c>
      <c r="H304" s="615">
        <f t="shared" si="132"/>
        <v>0</v>
      </c>
      <c r="I304" s="615">
        <f t="shared" ca="1" si="132"/>
        <v>-457.33695972216867</v>
      </c>
      <c r="J304" s="615">
        <f t="shared" ca="1" si="132"/>
        <v>5411.1052249766926</v>
      </c>
      <c r="K304" s="615">
        <f t="shared" ca="1" si="132"/>
        <v>3931.9748992666559</v>
      </c>
      <c r="L304" s="615">
        <f t="shared" ca="1" si="132"/>
        <v>3222.1120210358022</v>
      </c>
      <c r="M304" s="615">
        <f t="shared" ca="1" si="132"/>
        <v>2679.393404148545</v>
      </c>
      <c r="N304" s="615">
        <f t="shared" ca="1" si="132"/>
        <v>2245.702599113325</v>
      </c>
      <c r="O304" s="615">
        <f t="shared" ca="1" si="132"/>
        <v>1890.5899378732158</v>
      </c>
      <c r="P304" s="615">
        <f t="shared" ca="1" si="132"/>
        <v>1600.0088289870973</v>
      </c>
      <c r="Q304" s="615">
        <f t="shared" ca="1" si="132"/>
        <v>1362.4629449398619</v>
      </c>
      <c r="R304" s="615">
        <f t="shared" ca="1" si="132"/>
        <v>1170.2133356623606</v>
      </c>
      <c r="S304" s="615">
        <f t="shared" ca="1" si="132"/>
        <v>1015.4574754275951</v>
      </c>
      <c r="T304" s="615">
        <f t="shared" ca="1" si="132"/>
        <v>889.84392648589312</v>
      </c>
      <c r="U304" s="615">
        <f t="shared" ca="1" si="132"/>
        <v>786.9762070642372</v>
      </c>
      <c r="V304" s="615">
        <f t="shared" ref="V304:AC304" ca="1" si="133">V281-V303</f>
        <v>700.21806106500082</v>
      </c>
      <c r="W304" s="615">
        <f t="shared" ca="1" si="133"/>
        <v>625.37205772964091</v>
      </c>
      <c r="X304" s="615">
        <f t="shared" ca="1" si="133"/>
        <v>561.50914861789454</v>
      </c>
      <c r="Y304" s="615">
        <f t="shared" ca="1" si="133"/>
        <v>505.26720266705462</v>
      </c>
      <c r="Z304" s="615">
        <f t="shared" ca="1" si="133"/>
        <v>455.05659194647058</v>
      </c>
      <c r="AA304" s="615">
        <f t="shared" ca="1" si="133"/>
        <v>410.57305645582829</v>
      </c>
      <c r="AB304" s="615">
        <f t="shared" ca="1" si="133"/>
        <v>370.96938888288565</v>
      </c>
      <c r="AC304" s="615">
        <f t="shared" ca="1" si="133"/>
        <v>335.4643077231932</v>
      </c>
    </row>
    <row r="305" spans="1:30">
      <c r="A305" s="15"/>
      <c r="P305" s="623"/>
      <c r="Q305" s="623"/>
      <c r="R305" s="623"/>
      <c r="S305" s="623"/>
      <c r="T305" s="623"/>
      <c r="U305" s="623"/>
      <c r="V305" s="623"/>
      <c r="W305" s="623"/>
      <c r="X305" s="623"/>
      <c r="Y305" s="624"/>
      <c r="Z305" s="624"/>
      <c r="AA305" s="624"/>
      <c r="AB305" s="624"/>
      <c r="AC305" s="624"/>
    </row>
    <row r="306" spans="1:30">
      <c r="A306" s="15"/>
      <c r="B306" s="5" t="s">
        <v>534</v>
      </c>
      <c r="D306" s="5"/>
      <c r="E306" s="517">
        <v>0</v>
      </c>
      <c r="F306" s="517">
        <v>0</v>
      </c>
      <c r="G306" s="517">
        <v>0</v>
      </c>
      <c r="H306" s="517">
        <v>0</v>
      </c>
      <c r="I306" s="517">
        <v>0</v>
      </c>
      <c r="J306" s="517">
        <v>0</v>
      </c>
      <c r="K306" s="517">
        <v>0</v>
      </c>
      <c r="L306" s="517">
        <v>0</v>
      </c>
      <c r="M306" s="517">
        <v>0</v>
      </c>
      <c r="N306" s="517">
        <v>0</v>
      </c>
      <c r="O306" s="517">
        <v>0</v>
      </c>
      <c r="P306" s="517">
        <v>0</v>
      </c>
      <c r="Q306" s="517">
        <v>0</v>
      </c>
      <c r="R306" s="517">
        <v>0</v>
      </c>
      <c r="S306" s="517">
        <v>0</v>
      </c>
      <c r="T306" s="517">
        <v>0</v>
      </c>
      <c r="U306" s="517">
        <v>0</v>
      </c>
      <c r="V306" s="517">
        <v>0</v>
      </c>
      <c r="W306" s="517">
        <v>0</v>
      </c>
      <c r="X306" s="517">
        <v>0</v>
      </c>
      <c r="Y306" s="538">
        <v>0</v>
      </c>
      <c r="Z306" s="538">
        <v>0</v>
      </c>
      <c r="AA306" s="538">
        <v>0</v>
      </c>
      <c r="AB306" s="538">
        <v>0</v>
      </c>
      <c r="AC306" s="538">
        <v>0</v>
      </c>
    </row>
    <row r="307" spans="1:30">
      <c r="A307" s="15"/>
      <c r="B307" s="5"/>
      <c r="C307" s="5"/>
      <c r="D307" s="5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539"/>
      <c r="Z307" s="539"/>
      <c r="AA307" s="539"/>
      <c r="AB307" s="539"/>
      <c r="AC307" s="539"/>
    </row>
    <row r="308" spans="1:30" ht="12" thickBot="1">
      <c r="A308" s="15"/>
      <c r="B308" s="5"/>
      <c r="C308" s="5"/>
      <c r="D308" s="5"/>
      <c r="E308" s="141"/>
      <c r="F308" s="141"/>
      <c r="G308" s="141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1"/>
      <c r="U308" s="141"/>
      <c r="V308" s="141"/>
      <c r="W308" s="141"/>
      <c r="X308" s="141"/>
      <c r="Y308" s="167"/>
      <c r="Z308" s="167"/>
      <c r="AA308" s="167"/>
      <c r="AB308" s="167"/>
      <c r="AC308" s="167"/>
    </row>
    <row r="309" spans="1:30" ht="12.75" thickTop="1" thickBot="1">
      <c r="A309" s="15" t="s">
        <v>178</v>
      </c>
      <c r="B309" s="5"/>
      <c r="C309" s="5"/>
      <c r="D309" s="5"/>
      <c r="E309" s="166" t="str">
        <f>+E$3</f>
        <v xml:space="preserve">1996 </v>
      </c>
      <c r="F309" s="166" t="str">
        <f>+F$3</f>
        <v xml:space="preserve">1997 </v>
      </c>
      <c r="G309" s="166" t="str">
        <f>+G$3</f>
        <v xml:space="preserve">1998 </v>
      </c>
      <c r="H309" s="166" t="str">
        <f ca="1">+H$3</f>
        <v xml:space="preserve">6 M/1999 </v>
      </c>
      <c r="I309" s="166" t="str">
        <f ca="1">+I$3</f>
        <v xml:space="preserve">6 M/1999 </v>
      </c>
      <c r="J309" s="166">
        <f t="shared" ref="J309:Z309" si="134">+J$3</f>
        <v>2000</v>
      </c>
      <c r="K309" s="166">
        <f t="shared" si="134"/>
        <v>2001</v>
      </c>
      <c r="L309" s="166">
        <f t="shared" si="134"/>
        <v>2002</v>
      </c>
      <c r="M309" s="166">
        <f t="shared" si="134"/>
        <v>2003</v>
      </c>
      <c r="N309" s="166">
        <f t="shared" si="134"/>
        <v>2004</v>
      </c>
      <c r="O309" s="166">
        <f t="shared" si="134"/>
        <v>2005</v>
      </c>
      <c r="P309" s="166">
        <f t="shared" si="134"/>
        <v>2006</v>
      </c>
      <c r="Q309" s="166">
        <f t="shared" si="134"/>
        <v>2007</v>
      </c>
      <c r="R309" s="166">
        <f t="shared" si="134"/>
        <v>2008</v>
      </c>
      <c r="S309" s="166">
        <f t="shared" si="134"/>
        <v>2009</v>
      </c>
      <c r="T309" s="166">
        <f t="shared" si="134"/>
        <v>2010</v>
      </c>
      <c r="U309" s="166">
        <f t="shared" si="134"/>
        <v>2011</v>
      </c>
      <c r="V309" s="166">
        <f t="shared" si="134"/>
        <v>2012</v>
      </c>
      <c r="W309" s="166">
        <f t="shared" si="134"/>
        <v>2013</v>
      </c>
      <c r="X309" s="166">
        <f t="shared" si="134"/>
        <v>2014</v>
      </c>
      <c r="Y309" s="166">
        <f t="shared" si="134"/>
        <v>2015</v>
      </c>
      <c r="Z309" s="166">
        <f t="shared" si="134"/>
        <v>2016</v>
      </c>
      <c r="AA309" s="166">
        <f>+AA$3</f>
        <v>2017</v>
      </c>
      <c r="AB309" s="166">
        <f>+AB$3</f>
        <v>2018</v>
      </c>
      <c r="AC309" s="166">
        <f>+AC$3</f>
        <v>2019</v>
      </c>
    </row>
    <row r="310" spans="1:30" ht="13.5" thickTop="1">
      <c r="A310" s="506" t="str">
        <f>+C12</f>
        <v>PDNP</v>
      </c>
      <c r="B310" s="5"/>
      <c r="C310" s="5"/>
      <c r="D310" s="5"/>
      <c r="E310" s="281" t="s">
        <v>392</v>
      </c>
      <c r="F310" s="281" t="s">
        <v>535</v>
      </c>
      <c r="G310" s="281" t="s">
        <v>394</v>
      </c>
      <c r="H310" s="540"/>
      <c r="I310" s="540"/>
      <c r="J310" s="540"/>
      <c r="K310" s="540"/>
      <c r="L310" s="540"/>
      <c r="M310" s="540"/>
      <c r="N310" s="540"/>
      <c r="O310" s="540"/>
      <c r="P310" s="540"/>
      <c r="Q310" s="540"/>
      <c r="R310" s="540"/>
      <c r="S310" s="540"/>
      <c r="T310" s="540"/>
      <c r="U310" s="540"/>
      <c r="V310" s="540"/>
      <c r="W310" s="540"/>
      <c r="X310" s="540"/>
      <c r="Y310" s="540"/>
      <c r="Z310" s="540"/>
      <c r="AA310" s="540"/>
      <c r="AB310" s="540"/>
      <c r="AC310" s="540"/>
    </row>
    <row r="311" spans="1:30" ht="12.75">
      <c r="A311" s="506"/>
      <c r="B311" s="5"/>
      <c r="C311" s="5"/>
      <c r="D311" s="5"/>
      <c r="E311" s="690">
        <v>0.8</v>
      </c>
      <c r="F311" s="777">
        <v>1</v>
      </c>
      <c r="G311" s="690">
        <v>1.1000000000000001</v>
      </c>
      <c r="H311" s="540"/>
      <c r="I311" s="540"/>
      <c r="J311" s="540"/>
      <c r="K311" s="540"/>
      <c r="L311" s="540"/>
      <c r="M311" s="540"/>
      <c r="N311" s="540"/>
      <c r="O311" s="540"/>
      <c r="P311" s="540"/>
      <c r="Q311" s="540"/>
      <c r="R311" s="540"/>
      <c r="S311" s="540"/>
      <c r="T311" s="540"/>
      <c r="U311" s="540"/>
      <c r="V311" s="540"/>
      <c r="W311" s="540"/>
      <c r="X311" s="540"/>
      <c r="Y311" s="540"/>
      <c r="Z311" s="540"/>
      <c r="AA311" s="540"/>
      <c r="AB311" s="540"/>
      <c r="AC311" s="540"/>
    </row>
    <row r="312" spans="1:30" ht="12.75">
      <c r="A312" s="506"/>
      <c r="B312" s="5"/>
      <c r="C312" s="5"/>
      <c r="D312" s="5"/>
      <c r="E312" s="281"/>
      <c r="F312" s="281"/>
      <c r="G312" s="281"/>
      <c r="H312" s="540"/>
      <c r="I312" s="540">
        <v>2.589</v>
      </c>
      <c r="J312" s="540">
        <v>8.1449999999999996</v>
      </c>
      <c r="K312" s="540">
        <v>4.9850000000000003</v>
      </c>
      <c r="L312" s="540">
        <v>7.39</v>
      </c>
      <c r="M312" s="540">
        <v>14.324</v>
      </c>
      <c r="N312" s="540">
        <v>7.6879999999999997</v>
      </c>
      <c r="O312" s="540">
        <v>4.8040000000000003</v>
      </c>
      <c r="P312" s="540">
        <v>1.2929999999999999</v>
      </c>
      <c r="Q312" s="540">
        <v>1.099</v>
      </c>
      <c r="R312" s="540">
        <v>0.93400000000000005</v>
      </c>
      <c r="S312" s="540">
        <v>0.79400000000000004</v>
      </c>
      <c r="T312" s="540">
        <v>0.67500000000000004</v>
      </c>
      <c r="U312" s="540">
        <v>0.57399999999999995</v>
      </c>
      <c r="V312" s="540">
        <v>0.48799999999999999</v>
      </c>
      <c r="W312" s="540">
        <v>0.41399999999999998</v>
      </c>
      <c r="X312" s="540">
        <v>0.35199999999999998</v>
      </c>
      <c r="Y312" s="540">
        <v>0.29899999999999999</v>
      </c>
      <c r="Z312" s="540"/>
      <c r="AA312" s="540"/>
      <c r="AB312" s="540"/>
      <c r="AC312" s="540"/>
    </row>
    <row r="313" spans="1:30">
      <c r="A313" s="455" t="s">
        <v>15</v>
      </c>
      <c r="B313" s="83" t="s">
        <v>515</v>
      </c>
      <c r="C313" s="5"/>
      <c r="D313" s="5"/>
      <c r="E313" s="281"/>
      <c r="F313" s="281"/>
      <c r="G313" s="281"/>
      <c r="H313" s="540"/>
      <c r="I313" s="517">
        <f>I312*$F$311</f>
        <v>2.589</v>
      </c>
      <c r="J313" s="517">
        <f t="shared" ref="J313:Y313" si="135">J312*$F$311</f>
        <v>8.1449999999999996</v>
      </c>
      <c r="K313" s="517">
        <f t="shared" si="135"/>
        <v>4.9850000000000003</v>
      </c>
      <c r="L313" s="517">
        <f t="shared" si="135"/>
        <v>7.39</v>
      </c>
      <c r="M313" s="517">
        <f t="shared" si="135"/>
        <v>14.324</v>
      </c>
      <c r="N313" s="517">
        <f t="shared" si="135"/>
        <v>7.6879999999999997</v>
      </c>
      <c r="O313" s="517">
        <f t="shared" si="135"/>
        <v>4.8040000000000003</v>
      </c>
      <c r="P313" s="517">
        <f t="shared" si="135"/>
        <v>1.2929999999999999</v>
      </c>
      <c r="Q313" s="517">
        <f t="shared" si="135"/>
        <v>1.099</v>
      </c>
      <c r="R313" s="517">
        <f t="shared" si="135"/>
        <v>0.93400000000000005</v>
      </c>
      <c r="S313" s="517">
        <f t="shared" si="135"/>
        <v>0.79400000000000004</v>
      </c>
      <c r="T313" s="517">
        <f t="shared" si="135"/>
        <v>0.67500000000000004</v>
      </c>
      <c r="U313" s="517">
        <f t="shared" si="135"/>
        <v>0.57399999999999995</v>
      </c>
      <c r="V313" s="517">
        <f t="shared" si="135"/>
        <v>0.48799999999999999</v>
      </c>
      <c r="W313" s="517">
        <f t="shared" si="135"/>
        <v>0.41399999999999998</v>
      </c>
      <c r="X313" s="517">
        <f t="shared" si="135"/>
        <v>0.35199999999999998</v>
      </c>
      <c r="Y313" s="517">
        <f t="shared" si="135"/>
        <v>0.29899999999999999</v>
      </c>
      <c r="Z313" s="517">
        <f>Z312*$F$311</f>
        <v>0</v>
      </c>
      <c r="AA313" s="517">
        <f>AA312*$F$311</f>
        <v>0</v>
      </c>
      <c r="AB313" s="517">
        <f>AB312*$F$311</f>
        <v>0</v>
      </c>
      <c r="AC313" s="517">
        <f>AC312*$F$311</f>
        <v>0</v>
      </c>
      <c r="AD313" s="517">
        <v>0</v>
      </c>
    </row>
    <row r="314" spans="1:30" ht="12.75">
      <c r="A314" s="506"/>
      <c r="B314" s="83" t="s">
        <v>517</v>
      </c>
      <c r="C314" s="5"/>
      <c r="D314" s="5"/>
      <c r="E314" s="281"/>
      <c r="F314" s="281"/>
      <c r="G314" s="281"/>
      <c r="H314" s="540"/>
      <c r="I314" s="667">
        <v>1</v>
      </c>
      <c r="J314" s="667">
        <f t="shared" ref="J314:AC314" si="136">I314</f>
        <v>1</v>
      </c>
      <c r="K314" s="667">
        <f t="shared" si="136"/>
        <v>1</v>
      </c>
      <c r="L314" s="667">
        <f t="shared" si="136"/>
        <v>1</v>
      </c>
      <c r="M314" s="667">
        <f t="shared" si="136"/>
        <v>1</v>
      </c>
      <c r="N314" s="667">
        <f t="shared" si="136"/>
        <v>1</v>
      </c>
      <c r="O314" s="667">
        <f t="shared" si="136"/>
        <v>1</v>
      </c>
      <c r="P314" s="667">
        <f t="shared" si="136"/>
        <v>1</v>
      </c>
      <c r="Q314" s="667">
        <f t="shared" si="136"/>
        <v>1</v>
      </c>
      <c r="R314" s="667">
        <f t="shared" si="136"/>
        <v>1</v>
      </c>
      <c r="S314" s="667">
        <f t="shared" si="136"/>
        <v>1</v>
      </c>
      <c r="T314" s="667">
        <f t="shared" si="136"/>
        <v>1</v>
      </c>
      <c r="U314" s="667">
        <f t="shared" si="136"/>
        <v>1</v>
      </c>
      <c r="V314" s="667">
        <f t="shared" si="136"/>
        <v>1</v>
      </c>
      <c r="W314" s="667">
        <f t="shared" si="136"/>
        <v>1</v>
      </c>
      <c r="X314" s="667">
        <f t="shared" si="136"/>
        <v>1</v>
      </c>
      <c r="Y314" s="667">
        <f t="shared" si="136"/>
        <v>1</v>
      </c>
      <c r="Z314" s="667">
        <f t="shared" si="136"/>
        <v>1</v>
      </c>
      <c r="AA314" s="667">
        <f t="shared" si="136"/>
        <v>1</v>
      </c>
      <c r="AB314" s="667">
        <f t="shared" si="136"/>
        <v>1</v>
      </c>
      <c r="AC314" s="667">
        <f t="shared" si="136"/>
        <v>1</v>
      </c>
    </row>
    <row r="315" spans="1:30">
      <c r="B315" s="83" t="s">
        <v>518</v>
      </c>
      <c r="C315" s="5"/>
      <c r="D315" s="5"/>
      <c r="E315" s="281"/>
      <c r="F315" s="281"/>
      <c r="G315" s="281"/>
      <c r="H315" s="540"/>
      <c r="I315" s="666">
        <f>+I313*I314</f>
        <v>2.589</v>
      </c>
      <c r="J315" s="666">
        <f t="shared" ref="J315:Y315" si="137">+J313*J314</f>
        <v>8.1449999999999996</v>
      </c>
      <c r="K315" s="666">
        <f t="shared" si="137"/>
        <v>4.9850000000000003</v>
      </c>
      <c r="L315" s="666">
        <f t="shared" si="137"/>
        <v>7.39</v>
      </c>
      <c r="M315" s="666">
        <f t="shared" si="137"/>
        <v>14.324</v>
      </c>
      <c r="N315" s="666">
        <f t="shared" si="137"/>
        <v>7.6879999999999997</v>
      </c>
      <c r="O315" s="666">
        <f t="shared" si="137"/>
        <v>4.8040000000000003</v>
      </c>
      <c r="P315" s="666">
        <f t="shared" si="137"/>
        <v>1.2929999999999999</v>
      </c>
      <c r="Q315" s="666">
        <f t="shared" si="137"/>
        <v>1.099</v>
      </c>
      <c r="R315" s="666">
        <f t="shared" si="137"/>
        <v>0.93400000000000005</v>
      </c>
      <c r="S315" s="666">
        <f t="shared" si="137"/>
        <v>0.79400000000000004</v>
      </c>
      <c r="T315" s="666">
        <f t="shared" si="137"/>
        <v>0.67500000000000004</v>
      </c>
      <c r="U315" s="666">
        <f t="shared" si="137"/>
        <v>0.57399999999999995</v>
      </c>
      <c r="V315" s="666">
        <f t="shared" si="137"/>
        <v>0.48799999999999999</v>
      </c>
      <c r="W315" s="666">
        <f t="shared" si="137"/>
        <v>0.41399999999999998</v>
      </c>
      <c r="X315" s="666">
        <f t="shared" si="137"/>
        <v>0.35199999999999998</v>
      </c>
      <c r="Y315" s="666">
        <f t="shared" si="137"/>
        <v>0.29899999999999999</v>
      </c>
      <c r="Z315" s="666">
        <f>+Z313*Z314</f>
        <v>0</v>
      </c>
      <c r="AA315" s="666">
        <f>+AA313*AA314</f>
        <v>0</v>
      </c>
      <c r="AB315" s="666">
        <f>+AB313*AB314</f>
        <v>0</v>
      </c>
      <c r="AC315" s="666">
        <f>+AC313*AC314</f>
        <v>0</v>
      </c>
    </row>
    <row r="316" spans="1:30" ht="12.75">
      <c r="A316" s="506"/>
      <c r="B316" s="5" t="s">
        <v>181</v>
      </c>
      <c r="C316" s="5"/>
      <c r="D316" s="5"/>
      <c r="E316" s="281"/>
      <c r="F316" s="281"/>
      <c r="G316" s="281"/>
      <c r="H316" s="540"/>
      <c r="I316" s="667">
        <v>1</v>
      </c>
      <c r="J316" s="667">
        <f t="shared" ref="J316:AC316" si="138">I316</f>
        <v>1</v>
      </c>
      <c r="K316" s="667">
        <f t="shared" si="138"/>
        <v>1</v>
      </c>
      <c r="L316" s="667">
        <f t="shared" si="138"/>
        <v>1</v>
      </c>
      <c r="M316" s="667">
        <f t="shared" si="138"/>
        <v>1</v>
      </c>
      <c r="N316" s="667">
        <f t="shared" si="138"/>
        <v>1</v>
      </c>
      <c r="O316" s="667">
        <f t="shared" si="138"/>
        <v>1</v>
      </c>
      <c r="P316" s="667">
        <f t="shared" si="138"/>
        <v>1</v>
      </c>
      <c r="Q316" s="667">
        <f t="shared" si="138"/>
        <v>1</v>
      </c>
      <c r="R316" s="667">
        <f t="shared" si="138"/>
        <v>1</v>
      </c>
      <c r="S316" s="667">
        <f t="shared" si="138"/>
        <v>1</v>
      </c>
      <c r="T316" s="667">
        <f t="shared" si="138"/>
        <v>1</v>
      </c>
      <c r="U316" s="667">
        <f t="shared" si="138"/>
        <v>1</v>
      </c>
      <c r="V316" s="667">
        <f t="shared" si="138"/>
        <v>1</v>
      </c>
      <c r="W316" s="667">
        <f t="shared" si="138"/>
        <v>1</v>
      </c>
      <c r="X316" s="667">
        <f t="shared" si="138"/>
        <v>1</v>
      </c>
      <c r="Y316" s="667">
        <f t="shared" si="138"/>
        <v>1</v>
      </c>
      <c r="Z316" s="667">
        <f t="shared" si="138"/>
        <v>1</v>
      </c>
      <c r="AA316" s="667">
        <f t="shared" si="138"/>
        <v>1</v>
      </c>
      <c r="AB316" s="667">
        <f t="shared" si="138"/>
        <v>1</v>
      </c>
      <c r="AC316" s="667">
        <f t="shared" si="138"/>
        <v>1</v>
      </c>
    </row>
    <row r="317" spans="1:30">
      <c r="B317" s="83" t="s">
        <v>519</v>
      </c>
      <c r="D317" s="5"/>
      <c r="E317" s="141"/>
      <c r="F317" s="141"/>
      <c r="H317" s="623"/>
      <c r="I317" s="666">
        <f>+I315*I316</f>
        <v>2.589</v>
      </c>
      <c r="J317" s="666">
        <f t="shared" ref="J317:Y317" si="139">+J315*J316</f>
        <v>8.1449999999999996</v>
      </c>
      <c r="K317" s="666">
        <f t="shared" si="139"/>
        <v>4.9850000000000003</v>
      </c>
      <c r="L317" s="666">
        <f t="shared" si="139"/>
        <v>7.39</v>
      </c>
      <c r="M317" s="666">
        <f t="shared" si="139"/>
        <v>14.324</v>
      </c>
      <c r="N317" s="666">
        <f t="shared" si="139"/>
        <v>7.6879999999999997</v>
      </c>
      <c r="O317" s="666">
        <f t="shared" si="139"/>
        <v>4.8040000000000003</v>
      </c>
      <c r="P317" s="666">
        <f t="shared" si="139"/>
        <v>1.2929999999999999</v>
      </c>
      <c r="Q317" s="666">
        <f t="shared" si="139"/>
        <v>1.099</v>
      </c>
      <c r="R317" s="666">
        <f t="shared" si="139"/>
        <v>0.93400000000000005</v>
      </c>
      <c r="S317" s="666">
        <f t="shared" si="139"/>
        <v>0.79400000000000004</v>
      </c>
      <c r="T317" s="666">
        <f t="shared" si="139"/>
        <v>0.67500000000000004</v>
      </c>
      <c r="U317" s="666">
        <f t="shared" si="139"/>
        <v>0.57399999999999995</v>
      </c>
      <c r="V317" s="666">
        <f t="shared" si="139"/>
        <v>0.48799999999999999</v>
      </c>
      <c r="W317" s="666">
        <f t="shared" si="139"/>
        <v>0.41399999999999998</v>
      </c>
      <c r="X317" s="666">
        <f t="shared" si="139"/>
        <v>0.35199999999999998</v>
      </c>
      <c r="Y317" s="666">
        <f t="shared" si="139"/>
        <v>0.29899999999999999</v>
      </c>
      <c r="Z317" s="666">
        <f>+Z315*Z316</f>
        <v>0</v>
      </c>
      <c r="AA317" s="666">
        <f>+AA315*AA316</f>
        <v>0</v>
      </c>
      <c r="AB317" s="666">
        <f>+AB315*AB316</f>
        <v>0</v>
      </c>
      <c r="AC317" s="666">
        <f>+AC315*AC316</f>
        <v>0</v>
      </c>
      <c r="AD317">
        <f>SUM(E317:AC317)</f>
        <v>56.846999999999987</v>
      </c>
    </row>
    <row r="318" spans="1:30">
      <c r="D318" s="5"/>
      <c r="E318" s="141"/>
      <c r="F318" s="141"/>
      <c r="H318" s="623"/>
    </row>
    <row r="319" spans="1:30">
      <c r="A319" s="455"/>
      <c r="B319" s="83" t="s">
        <v>520</v>
      </c>
      <c r="D319" s="219">
        <v>5</v>
      </c>
      <c r="I319" s="518">
        <f t="shared" ref="I319:AC319" si="140">IF($D319=1,I$212,IF($D319=2,I$215,IF($D319=3,I$217,IF($D319=4,I$219,IF($D319=5,I$221,IF($D319=5,I$223,I$212))))))</f>
        <v>0</v>
      </c>
      <c r="J319" s="518">
        <f t="shared" ca="1" si="140"/>
        <v>21.515888888888885</v>
      </c>
      <c r="K319" s="518">
        <f t="shared" ca="1" si="140"/>
        <v>18.986666666666665</v>
      </c>
      <c r="L319" s="518">
        <f t="shared" ca="1" si="140"/>
        <v>18.343166666666665</v>
      </c>
      <c r="M319" s="518">
        <f t="shared" ca="1" si="140"/>
        <v>18.421749999999999</v>
      </c>
      <c r="N319" s="518">
        <f t="shared" ca="1" si="140"/>
        <v>18.575749999999999</v>
      </c>
      <c r="O319" s="518">
        <f t="shared" ca="1" si="140"/>
        <v>18.731416666666668</v>
      </c>
      <c r="P319" s="518">
        <f t="shared" ca="1" si="140"/>
        <v>18.906166666666667</v>
      </c>
      <c r="Q319" s="518">
        <f t="shared" ca="1" si="140"/>
        <v>19.098166666666668</v>
      </c>
      <c r="R319" s="518">
        <f t="shared" ca="1" si="140"/>
        <v>19.300749999999997</v>
      </c>
      <c r="S319" s="518">
        <f t="shared" ca="1" si="140"/>
        <v>19.5105</v>
      </c>
      <c r="T319" s="518">
        <f t="shared" ca="1" si="140"/>
        <v>19.720083333333339</v>
      </c>
      <c r="U319" s="518">
        <f t="shared" ca="1" si="140"/>
        <v>19.930416666666662</v>
      </c>
      <c r="V319" s="518">
        <f t="shared" ca="1" si="140"/>
        <v>20.140416666666663</v>
      </c>
      <c r="W319" s="518">
        <f t="shared" ca="1" si="140"/>
        <v>20.350249999999999</v>
      </c>
      <c r="X319" s="518">
        <f t="shared" ca="1" si="140"/>
        <v>20.843916666666669</v>
      </c>
      <c r="Y319" s="518">
        <f t="shared" ca="1" si="140"/>
        <v>21.326833333333337</v>
      </c>
      <c r="Z319" s="518">
        <f t="shared" ca="1" si="140"/>
        <v>21.627249999999993</v>
      </c>
      <c r="AA319" s="518">
        <f t="shared" ca="1" si="140"/>
        <v>21.926999999999996</v>
      </c>
      <c r="AB319" s="518">
        <f t="shared" ca="1" si="140"/>
        <v>22.22666666666667</v>
      </c>
      <c r="AC319" s="518">
        <f t="shared" ca="1" si="140"/>
        <v>22.451999999999998</v>
      </c>
    </row>
    <row r="320" spans="1:30">
      <c r="A320" s="455"/>
      <c r="B320" s="83" t="s">
        <v>184</v>
      </c>
      <c r="D320" s="5"/>
      <c r="I320" s="519">
        <v>-2.375</v>
      </c>
      <c r="J320" s="519">
        <f t="shared" ref="J320:AC320" si="141">I320</f>
        <v>-2.375</v>
      </c>
      <c r="K320" s="519">
        <f t="shared" si="141"/>
        <v>-2.375</v>
      </c>
      <c r="L320" s="519">
        <f t="shared" si="141"/>
        <v>-2.375</v>
      </c>
      <c r="M320" s="519">
        <f t="shared" si="141"/>
        <v>-2.375</v>
      </c>
      <c r="N320" s="519">
        <f t="shared" si="141"/>
        <v>-2.375</v>
      </c>
      <c r="O320" s="519">
        <f t="shared" si="141"/>
        <v>-2.375</v>
      </c>
      <c r="P320" s="519">
        <f t="shared" si="141"/>
        <v>-2.375</v>
      </c>
      <c r="Q320" s="519">
        <f t="shared" si="141"/>
        <v>-2.375</v>
      </c>
      <c r="R320" s="519">
        <f t="shared" si="141"/>
        <v>-2.375</v>
      </c>
      <c r="S320" s="519">
        <f t="shared" si="141"/>
        <v>-2.375</v>
      </c>
      <c r="T320" s="519">
        <f t="shared" si="141"/>
        <v>-2.375</v>
      </c>
      <c r="U320" s="519">
        <f t="shared" si="141"/>
        <v>-2.375</v>
      </c>
      <c r="V320" s="519">
        <f t="shared" si="141"/>
        <v>-2.375</v>
      </c>
      <c r="W320" s="519">
        <f t="shared" si="141"/>
        <v>-2.375</v>
      </c>
      <c r="X320" s="519">
        <f t="shared" si="141"/>
        <v>-2.375</v>
      </c>
      <c r="Y320" s="519">
        <f t="shared" si="141"/>
        <v>-2.375</v>
      </c>
      <c r="Z320" s="519">
        <f t="shared" si="141"/>
        <v>-2.375</v>
      </c>
      <c r="AA320" s="519">
        <f t="shared" si="141"/>
        <v>-2.375</v>
      </c>
      <c r="AB320" s="519">
        <f t="shared" si="141"/>
        <v>-2.375</v>
      </c>
      <c r="AC320" s="519">
        <f t="shared" si="141"/>
        <v>-2.375</v>
      </c>
    </row>
    <row r="321" spans="1:30">
      <c r="A321" s="455"/>
      <c r="B321" s="83" t="s">
        <v>185</v>
      </c>
      <c r="D321" s="5"/>
      <c r="I321" s="520">
        <f>+I319+I320</f>
        <v>-2.375</v>
      </c>
      <c r="J321" s="520">
        <f t="shared" ref="J321:Y321" ca="1" si="142">+J319+J320</f>
        <v>19.140888888888885</v>
      </c>
      <c r="K321" s="520">
        <f t="shared" ca="1" si="142"/>
        <v>16.611666666666665</v>
      </c>
      <c r="L321" s="520">
        <f t="shared" ca="1" si="142"/>
        <v>15.968166666666665</v>
      </c>
      <c r="M321" s="520">
        <f t="shared" ca="1" si="142"/>
        <v>16.046749999999999</v>
      </c>
      <c r="N321" s="520">
        <f t="shared" ca="1" si="142"/>
        <v>16.200749999999999</v>
      </c>
      <c r="O321" s="520">
        <f t="shared" ca="1" si="142"/>
        <v>16.356416666666668</v>
      </c>
      <c r="P321" s="520">
        <f t="shared" ca="1" si="142"/>
        <v>16.531166666666667</v>
      </c>
      <c r="Q321" s="520">
        <f t="shared" ca="1" si="142"/>
        <v>16.723166666666668</v>
      </c>
      <c r="R321" s="520">
        <f t="shared" ca="1" si="142"/>
        <v>16.925749999999997</v>
      </c>
      <c r="S321" s="520">
        <f t="shared" ca="1" si="142"/>
        <v>17.1355</v>
      </c>
      <c r="T321" s="520">
        <f t="shared" ca="1" si="142"/>
        <v>17.345083333333339</v>
      </c>
      <c r="U321" s="520">
        <f t="shared" ca="1" si="142"/>
        <v>17.555416666666662</v>
      </c>
      <c r="V321" s="520">
        <f t="shared" ca="1" si="142"/>
        <v>17.765416666666663</v>
      </c>
      <c r="W321" s="520">
        <f t="shared" ca="1" si="142"/>
        <v>17.975249999999999</v>
      </c>
      <c r="X321" s="520">
        <f t="shared" ca="1" si="142"/>
        <v>18.468916666666669</v>
      </c>
      <c r="Y321" s="520">
        <f t="shared" ca="1" si="142"/>
        <v>18.951833333333337</v>
      </c>
      <c r="Z321" s="520">
        <f ca="1">+Z319+Z320</f>
        <v>19.252249999999993</v>
      </c>
      <c r="AA321" s="520">
        <f ca="1">+AA319+AA320</f>
        <v>19.551999999999996</v>
      </c>
      <c r="AB321" s="520">
        <f ca="1">+AB319+AB320</f>
        <v>19.85166666666667</v>
      </c>
      <c r="AC321" s="520">
        <f ca="1">+AC319+AC320</f>
        <v>20.076999999999998</v>
      </c>
    </row>
    <row r="322" spans="1:30">
      <c r="A322" s="230"/>
      <c r="B322" s="5" t="str">
        <f>+"Oil Revenue ($"&amp;$F$5</f>
        <v>Oil Revenue ($Thousands)</v>
      </c>
      <c r="D322" s="5"/>
      <c r="E322" s="141"/>
      <c r="F322" s="141"/>
      <c r="G322" s="141"/>
      <c r="H322" s="623"/>
      <c r="I322" s="615">
        <f t="shared" ref="I322:X322" si="143">I317*I321*1000/unit</f>
        <v>-6.1488750000000003</v>
      </c>
      <c r="J322" s="615">
        <f t="shared" ca="1" si="143"/>
        <v>155.90253999999996</v>
      </c>
      <c r="K322" s="615">
        <f t="shared" ca="1" si="143"/>
        <v>82.809158333333329</v>
      </c>
      <c r="L322" s="615">
        <f t="shared" ca="1" si="143"/>
        <v>118.00475166666665</v>
      </c>
      <c r="M322" s="615">
        <f t="shared" ca="1" si="143"/>
        <v>229.853647</v>
      </c>
      <c r="N322" s="615">
        <f t="shared" ca="1" si="143"/>
        <v>124.551366</v>
      </c>
      <c r="O322" s="615">
        <f t="shared" ca="1" si="143"/>
        <v>78.576225666666673</v>
      </c>
      <c r="P322" s="615">
        <f t="shared" ca="1" si="143"/>
        <v>21.374798500000001</v>
      </c>
      <c r="Q322" s="615">
        <f t="shared" ca="1" si="143"/>
        <v>18.378760166666666</v>
      </c>
      <c r="R322" s="615">
        <f t="shared" ca="1" si="143"/>
        <v>15.808650500000001</v>
      </c>
      <c r="S322" s="615">
        <f t="shared" ca="1" si="143"/>
        <v>13.605587000000002</v>
      </c>
      <c r="T322" s="615">
        <f t="shared" ca="1" si="143"/>
        <v>11.707931250000005</v>
      </c>
      <c r="U322" s="615">
        <f t="shared" ca="1" si="143"/>
        <v>10.076809166666663</v>
      </c>
      <c r="V322" s="615">
        <f t="shared" ca="1" si="143"/>
        <v>8.6695233333333324</v>
      </c>
      <c r="W322" s="615">
        <f t="shared" ca="1" si="143"/>
        <v>7.441753499999999</v>
      </c>
      <c r="X322" s="615">
        <f t="shared" ca="1" si="143"/>
        <v>6.5010586666666672</v>
      </c>
      <c r="Y322" s="615">
        <f ca="1">Y317*Y321*1000/unit</f>
        <v>5.6665981666666676</v>
      </c>
      <c r="Z322" s="615">
        <f ca="1">Z317*Z321*1000/unit</f>
        <v>0</v>
      </c>
      <c r="AA322" s="615">
        <f ca="1">AA317*AA321*1000/unit</f>
        <v>0</v>
      </c>
      <c r="AB322" s="615">
        <f ca="1">AB317*AB321*1000/unit</f>
        <v>0</v>
      </c>
      <c r="AC322" s="615">
        <f ca="1">AC317*AC321*1000/unit</f>
        <v>0</v>
      </c>
    </row>
    <row r="323" spans="1:30">
      <c r="A323" s="455"/>
      <c r="B323" s="5"/>
      <c r="D323" s="5"/>
      <c r="E323" s="281" t="s">
        <v>392</v>
      </c>
      <c r="F323" s="281" t="s">
        <v>535</v>
      </c>
      <c r="G323" s="281" t="s">
        <v>394</v>
      </c>
      <c r="H323" s="623"/>
      <c r="I323" s="623"/>
      <c r="J323" s="623"/>
      <c r="K323" s="623"/>
      <c r="L323" s="623"/>
      <c r="M323" s="623"/>
      <c r="N323" s="623"/>
      <c r="O323" s="623"/>
      <c r="P323" s="623"/>
      <c r="Q323" s="623"/>
      <c r="R323" s="623"/>
      <c r="S323" s="623"/>
      <c r="T323" s="623"/>
      <c r="U323" s="623"/>
      <c r="V323" s="623"/>
      <c r="W323" s="623"/>
      <c r="X323" s="623"/>
      <c r="Y323" s="622"/>
      <c r="Z323" s="622"/>
      <c r="AA323" s="622"/>
      <c r="AB323" s="622"/>
      <c r="AC323" s="622"/>
    </row>
    <row r="324" spans="1:30">
      <c r="A324" s="455"/>
      <c r="B324" s="5"/>
      <c r="D324" s="5"/>
      <c r="E324" s="690">
        <v>0.8</v>
      </c>
      <c r="F324" s="777">
        <v>1</v>
      </c>
      <c r="G324" s="690">
        <v>1.1000000000000001</v>
      </c>
      <c r="H324" s="623"/>
      <c r="I324" s="623"/>
      <c r="J324" s="623"/>
      <c r="K324" s="623"/>
      <c r="L324" s="623"/>
      <c r="M324" s="623"/>
      <c r="N324" s="623"/>
      <c r="O324" s="623"/>
      <c r="P324" s="623"/>
      <c r="Q324" s="623"/>
      <c r="R324" s="623"/>
      <c r="S324" s="623"/>
      <c r="T324" s="623"/>
      <c r="U324" s="623"/>
      <c r="V324" s="623"/>
      <c r="W324" s="623"/>
      <c r="X324" s="623"/>
      <c r="Y324" s="622"/>
      <c r="Z324" s="622"/>
      <c r="AA324" s="622"/>
      <c r="AB324" s="622"/>
      <c r="AC324" s="622"/>
    </row>
    <row r="325" spans="1:30">
      <c r="A325" s="455"/>
      <c r="B325" s="5"/>
      <c r="D325" s="5"/>
      <c r="E325" s="141"/>
      <c r="F325" s="141"/>
      <c r="G325" s="141"/>
      <c r="H325" s="623"/>
      <c r="I325" s="623">
        <v>0</v>
      </c>
      <c r="J325" s="623">
        <v>0</v>
      </c>
      <c r="K325" s="623">
        <v>0</v>
      </c>
      <c r="L325" s="623">
        <v>0</v>
      </c>
      <c r="M325" s="623">
        <v>0</v>
      </c>
      <c r="N325" s="623">
        <v>0</v>
      </c>
      <c r="O325" s="623">
        <v>0</v>
      </c>
      <c r="P325" s="623">
        <v>0</v>
      </c>
      <c r="Q325" s="623">
        <v>0</v>
      </c>
      <c r="R325" s="623">
        <v>0</v>
      </c>
      <c r="S325" s="623">
        <v>0</v>
      </c>
      <c r="T325" s="623">
        <v>0</v>
      </c>
      <c r="U325" s="623">
        <v>0</v>
      </c>
      <c r="V325" s="623">
        <v>0</v>
      </c>
      <c r="W325" s="623">
        <v>0</v>
      </c>
      <c r="X325" s="623">
        <v>0</v>
      </c>
      <c r="Y325" s="622">
        <v>0</v>
      </c>
      <c r="Z325" s="622"/>
      <c r="AA325" s="622"/>
      <c r="AB325" s="622"/>
      <c r="AC325" s="622"/>
    </row>
    <row r="326" spans="1:30">
      <c r="A326" s="455" t="s">
        <v>14</v>
      </c>
      <c r="B326" s="83" t="s">
        <v>521</v>
      </c>
      <c r="D326" s="5"/>
      <c r="E326" s="141"/>
      <c r="F326" s="141"/>
      <c r="G326" s="141"/>
      <c r="H326" s="623"/>
      <c r="I326" s="517">
        <f>I325*$F$324</f>
        <v>0</v>
      </c>
      <c r="J326" s="517">
        <f t="shared" ref="J326:Y326" si="144">J325*$F$324</f>
        <v>0</v>
      </c>
      <c r="K326" s="517">
        <f t="shared" si="144"/>
        <v>0</v>
      </c>
      <c r="L326" s="517">
        <f t="shared" si="144"/>
        <v>0</v>
      </c>
      <c r="M326" s="517">
        <f t="shared" si="144"/>
        <v>0</v>
      </c>
      <c r="N326" s="517">
        <f t="shared" si="144"/>
        <v>0</v>
      </c>
      <c r="O326" s="517">
        <f t="shared" si="144"/>
        <v>0</v>
      </c>
      <c r="P326" s="517">
        <f t="shared" si="144"/>
        <v>0</v>
      </c>
      <c r="Q326" s="517">
        <f t="shared" si="144"/>
        <v>0</v>
      </c>
      <c r="R326" s="517">
        <f t="shared" si="144"/>
        <v>0</v>
      </c>
      <c r="S326" s="517">
        <f t="shared" si="144"/>
        <v>0</v>
      </c>
      <c r="T326" s="517">
        <f t="shared" si="144"/>
        <v>0</v>
      </c>
      <c r="U326" s="517">
        <f t="shared" si="144"/>
        <v>0</v>
      </c>
      <c r="V326" s="517">
        <f t="shared" si="144"/>
        <v>0</v>
      </c>
      <c r="W326" s="517">
        <f t="shared" si="144"/>
        <v>0</v>
      </c>
      <c r="X326" s="517">
        <f t="shared" si="144"/>
        <v>0</v>
      </c>
      <c r="Y326" s="517">
        <f t="shared" si="144"/>
        <v>0</v>
      </c>
      <c r="Z326" s="517">
        <f>Z325*$F$324</f>
        <v>0</v>
      </c>
      <c r="AA326" s="517">
        <f>AA325*$F$324</f>
        <v>0</v>
      </c>
      <c r="AB326" s="517">
        <f>AB325*$F$324</f>
        <v>0</v>
      </c>
      <c r="AC326" s="517">
        <f>AC325*$F$324</f>
        <v>0</v>
      </c>
      <c r="AD326" s="517">
        <v>0</v>
      </c>
    </row>
    <row r="327" spans="1:30">
      <c r="A327" s="455"/>
      <c r="B327" s="83" t="s">
        <v>517</v>
      </c>
      <c r="D327" s="5"/>
      <c r="E327" s="141"/>
      <c r="F327" s="141"/>
      <c r="G327" s="141"/>
      <c r="H327" s="623"/>
      <c r="I327" s="667">
        <v>1</v>
      </c>
      <c r="J327" s="667">
        <f t="shared" ref="J327:AC327" si="145">I327</f>
        <v>1</v>
      </c>
      <c r="K327" s="667">
        <f t="shared" si="145"/>
        <v>1</v>
      </c>
      <c r="L327" s="667">
        <f t="shared" si="145"/>
        <v>1</v>
      </c>
      <c r="M327" s="667">
        <f t="shared" si="145"/>
        <v>1</v>
      </c>
      <c r="N327" s="667">
        <f t="shared" si="145"/>
        <v>1</v>
      </c>
      <c r="O327" s="667">
        <f t="shared" si="145"/>
        <v>1</v>
      </c>
      <c r="P327" s="667">
        <f t="shared" si="145"/>
        <v>1</v>
      </c>
      <c r="Q327" s="667">
        <f t="shared" si="145"/>
        <v>1</v>
      </c>
      <c r="R327" s="667">
        <f t="shared" si="145"/>
        <v>1</v>
      </c>
      <c r="S327" s="667">
        <f t="shared" si="145"/>
        <v>1</v>
      </c>
      <c r="T327" s="667">
        <f t="shared" si="145"/>
        <v>1</v>
      </c>
      <c r="U327" s="667">
        <f t="shared" si="145"/>
        <v>1</v>
      </c>
      <c r="V327" s="667">
        <f t="shared" si="145"/>
        <v>1</v>
      </c>
      <c r="W327" s="667">
        <f t="shared" si="145"/>
        <v>1</v>
      </c>
      <c r="X327" s="667">
        <f t="shared" si="145"/>
        <v>1</v>
      </c>
      <c r="Y327" s="667">
        <f t="shared" si="145"/>
        <v>1</v>
      </c>
      <c r="Z327" s="667">
        <f t="shared" si="145"/>
        <v>1</v>
      </c>
      <c r="AA327" s="667">
        <f t="shared" si="145"/>
        <v>1</v>
      </c>
      <c r="AB327" s="667">
        <f t="shared" si="145"/>
        <v>1</v>
      </c>
      <c r="AC327" s="667">
        <f t="shared" si="145"/>
        <v>1</v>
      </c>
    </row>
    <row r="328" spans="1:30">
      <c r="B328" s="83" t="s">
        <v>522</v>
      </c>
      <c r="D328" s="5"/>
      <c r="E328" s="141"/>
      <c r="F328" s="141"/>
      <c r="G328" s="141"/>
      <c r="H328" s="623"/>
      <c r="I328" s="666">
        <f>+I326*I327</f>
        <v>0</v>
      </c>
      <c r="J328" s="666">
        <f t="shared" ref="J328:Y328" si="146">+J326*J327</f>
        <v>0</v>
      </c>
      <c r="K328" s="666">
        <f t="shared" si="146"/>
        <v>0</v>
      </c>
      <c r="L328" s="666">
        <f t="shared" si="146"/>
        <v>0</v>
      </c>
      <c r="M328" s="666">
        <f t="shared" si="146"/>
        <v>0</v>
      </c>
      <c r="N328" s="666">
        <f t="shared" si="146"/>
        <v>0</v>
      </c>
      <c r="O328" s="666">
        <f t="shared" si="146"/>
        <v>0</v>
      </c>
      <c r="P328" s="666">
        <f t="shared" si="146"/>
        <v>0</v>
      </c>
      <c r="Q328" s="666">
        <f t="shared" si="146"/>
        <v>0</v>
      </c>
      <c r="R328" s="666">
        <f t="shared" si="146"/>
        <v>0</v>
      </c>
      <c r="S328" s="666">
        <f t="shared" si="146"/>
        <v>0</v>
      </c>
      <c r="T328" s="666">
        <f t="shared" si="146"/>
        <v>0</v>
      </c>
      <c r="U328" s="666">
        <f t="shared" si="146"/>
        <v>0</v>
      </c>
      <c r="V328" s="666">
        <f t="shared" si="146"/>
        <v>0</v>
      </c>
      <c r="W328" s="666">
        <f t="shared" si="146"/>
        <v>0</v>
      </c>
      <c r="X328" s="666">
        <f t="shared" si="146"/>
        <v>0</v>
      </c>
      <c r="Y328" s="666">
        <f t="shared" si="146"/>
        <v>0</v>
      </c>
      <c r="Z328" s="666">
        <f>+Z326*Z327</f>
        <v>0</v>
      </c>
      <c r="AA328" s="666">
        <f>+AA326*AA327</f>
        <v>0</v>
      </c>
      <c r="AB328" s="666">
        <f>+AB326*AB327</f>
        <v>0</v>
      </c>
      <c r="AC328" s="666">
        <f>+AC326*AC327</f>
        <v>0</v>
      </c>
    </row>
    <row r="329" spans="1:30">
      <c r="A329" s="455"/>
      <c r="B329" s="5" t="s">
        <v>181</v>
      </c>
      <c r="D329" s="5"/>
      <c r="E329" s="141"/>
      <c r="F329" s="141"/>
      <c r="G329" s="141"/>
      <c r="H329" s="623"/>
      <c r="I329" s="667">
        <v>1</v>
      </c>
      <c r="J329" s="667">
        <f t="shared" ref="J329:AC329" si="147">I329</f>
        <v>1</v>
      </c>
      <c r="K329" s="667">
        <f t="shared" si="147"/>
        <v>1</v>
      </c>
      <c r="L329" s="667">
        <f t="shared" si="147"/>
        <v>1</v>
      </c>
      <c r="M329" s="667">
        <f t="shared" si="147"/>
        <v>1</v>
      </c>
      <c r="N329" s="667">
        <f t="shared" si="147"/>
        <v>1</v>
      </c>
      <c r="O329" s="667">
        <f t="shared" si="147"/>
        <v>1</v>
      </c>
      <c r="P329" s="667">
        <f t="shared" si="147"/>
        <v>1</v>
      </c>
      <c r="Q329" s="667">
        <f t="shared" si="147"/>
        <v>1</v>
      </c>
      <c r="R329" s="667">
        <f t="shared" si="147"/>
        <v>1</v>
      </c>
      <c r="S329" s="667">
        <f t="shared" si="147"/>
        <v>1</v>
      </c>
      <c r="T329" s="667">
        <f t="shared" si="147"/>
        <v>1</v>
      </c>
      <c r="U329" s="667">
        <f t="shared" si="147"/>
        <v>1</v>
      </c>
      <c r="V329" s="667">
        <f t="shared" si="147"/>
        <v>1</v>
      </c>
      <c r="W329" s="667">
        <f t="shared" si="147"/>
        <v>1</v>
      </c>
      <c r="X329" s="667">
        <f t="shared" si="147"/>
        <v>1</v>
      </c>
      <c r="Y329" s="667">
        <f t="shared" si="147"/>
        <v>1</v>
      </c>
      <c r="Z329" s="667">
        <f t="shared" si="147"/>
        <v>1</v>
      </c>
      <c r="AA329" s="667">
        <f t="shared" si="147"/>
        <v>1</v>
      </c>
      <c r="AB329" s="667">
        <f t="shared" si="147"/>
        <v>1</v>
      </c>
      <c r="AC329" s="667">
        <f t="shared" si="147"/>
        <v>1</v>
      </c>
    </row>
    <row r="330" spans="1:30">
      <c r="B330" s="83" t="s">
        <v>187</v>
      </c>
      <c r="D330" s="5"/>
      <c r="E330" s="141"/>
      <c r="F330" s="141"/>
      <c r="G330" s="141"/>
      <c r="H330" s="623"/>
      <c r="I330" s="666">
        <f>+I328*I329</f>
        <v>0</v>
      </c>
      <c r="J330" s="666">
        <f t="shared" ref="J330:Y330" si="148">+J328*J329</f>
        <v>0</v>
      </c>
      <c r="K330" s="666">
        <f t="shared" si="148"/>
        <v>0</v>
      </c>
      <c r="L330" s="666">
        <f t="shared" si="148"/>
        <v>0</v>
      </c>
      <c r="M330" s="666">
        <f t="shared" si="148"/>
        <v>0</v>
      </c>
      <c r="N330" s="666">
        <f t="shared" si="148"/>
        <v>0</v>
      </c>
      <c r="O330" s="666">
        <f t="shared" si="148"/>
        <v>0</v>
      </c>
      <c r="P330" s="666">
        <f t="shared" si="148"/>
        <v>0</v>
      </c>
      <c r="Q330" s="666">
        <f t="shared" si="148"/>
        <v>0</v>
      </c>
      <c r="R330" s="666">
        <f t="shared" si="148"/>
        <v>0</v>
      </c>
      <c r="S330" s="666">
        <f t="shared" si="148"/>
        <v>0</v>
      </c>
      <c r="T330" s="666">
        <f t="shared" si="148"/>
        <v>0</v>
      </c>
      <c r="U330" s="666">
        <f t="shared" si="148"/>
        <v>0</v>
      </c>
      <c r="V330" s="666">
        <f t="shared" si="148"/>
        <v>0</v>
      </c>
      <c r="W330" s="666">
        <f t="shared" si="148"/>
        <v>0</v>
      </c>
      <c r="X330" s="666">
        <f t="shared" si="148"/>
        <v>0</v>
      </c>
      <c r="Y330" s="666">
        <f t="shared" si="148"/>
        <v>0</v>
      </c>
      <c r="Z330" s="666">
        <f>+Z328*Z329</f>
        <v>0</v>
      </c>
      <c r="AA330" s="666">
        <f>+AA328*AA329</f>
        <v>0</v>
      </c>
      <c r="AB330" s="666">
        <f>+AB328*AB329</f>
        <v>0</v>
      </c>
      <c r="AC330" s="666">
        <f>+AC328*AC329</f>
        <v>0</v>
      </c>
      <c r="AD330">
        <f>SUM(E330:AC330)</f>
        <v>0</v>
      </c>
    </row>
    <row r="331" spans="1:30">
      <c r="A331" s="455"/>
      <c r="B331" s="339" t="s">
        <v>191</v>
      </c>
      <c r="D331" s="457" t="s">
        <v>164</v>
      </c>
      <c r="E331" s="458" t="s">
        <v>188</v>
      </c>
      <c r="F331" s="459" t="s">
        <v>189</v>
      </c>
      <c r="G331" s="459" t="s">
        <v>190</v>
      </c>
      <c r="H331" s="623"/>
      <c r="I331" s="623"/>
      <c r="J331" s="623"/>
      <c r="K331" s="623"/>
      <c r="L331" s="623"/>
      <c r="M331" s="623"/>
      <c r="N331" s="623"/>
      <c r="O331" s="623"/>
      <c r="P331" s="623"/>
      <c r="Q331" s="623"/>
      <c r="R331" s="623"/>
      <c r="S331" s="623"/>
      <c r="T331" s="623"/>
      <c r="U331" s="623"/>
      <c r="V331" s="623"/>
      <c r="W331" s="623"/>
      <c r="X331" s="623"/>
      <c r="Y331" s="623"/>
      <c r="Z331" s="623"/>
      <c r="AA331" s="623"/>
      <c r="AB331" s="623"/>
      <c r="AC331" s="623"/>
    </row>
    <row r="332" spans="1:30">
      <c r="A332" s="455"/>
      <c r="D332" s="502" t="s">
        <v>19</v>
      </c>
      <c r="E332" s="581"/>
      <c r="F332" s="581"/>
      <c r="G332" s="581"/>
      <c r="H332" s="623"/>
      <c r="I332" s="526">
        <v>1</v>
      </c>
      <c r="J332" s="526">
        <v>1</v>
      </c>
      <c r="K332" s="526">
        <v>1</v>
      </c>
      <c r="L332" s="526">
        <v>1</v>
      </c>
      <c r="M332" s="526">
        <v>1</v>
      </c>
      <c r="N332" s="526">
        <v>1</v>
      </c>
      <c r="O332" s="526">
        <v>1</v>
      </c>
      <c r="P332" s="526">
        <v>1</v>
      </c>
      <c r="Q332" s="526">
        <v>1</v>
      </c>
      <c r="R332" s="526">
        <v>1</v>
      </c>
      <c r="S332" s="526">
        <v>1</v>
      </c>
      <c r="T332" s="526">
        <v>1</v>
      </c>
      <c r="U332" s="526">
        <v>1</v>
      </c>
      <c r="V332" s="526">
        <v>1</v>
      </c>
      <c r="W332" s="526">
        <v>1</v>
      </c>
      <c r="X332" s="526">
        <v>1</v>
      </c>
      <c r="Y332" s="526">
        <v>1</v>
      </c>
      <c r="Z332" s="526">
        <v>1</v>
      </c>
      <c r="AA332" s="526">
        <v>1</v>
      </c>
      <c r="AB332" s="526">
        <v>1</v>
      </c>
      <c r="AC332" s="526">
        <v>1</v>
      </c>
    </row>
    <row r="333" spans="1:30">
      <c r="A333" s="455"/>
      <c r="B333" s="83" t="s">
        <v>192</v>
      </c>
      <c r="D333" s="5"/>
      <c r="I333" s="615">
        <f>+I332*I330</f>
        <v>0</v>
      </c>
      <c r="J333" s="615">
        <f t="shared" ref="J333:Y333" si="149">+J332*J330</f>
        <v>0</v>
      </c>
      <c r="K333" s="615">
        <f t="shared" si="149"/>
        <v>0</v>
      </c>
      <c r="L333" s="615">
        <f t="shared" si="149"/>
        <v>0</v>
      </c>
      <c r="M333" s="615">
        <f t="shared" si="149"/>
        <v>0</v>
      </c>
      <c r="N333" s="615">
        <f t="shared" si="149"/>
        <v>0</v>
      </c>
      <c r="O333" s="615">
        <f t="shared" si="149"/>
        <v>0</v>
      </c>
      <c r="P333" s="615">
        <f t="shared" si="149"/>
        <v>0</v>
      </c>
      <c r="Q333" s="615">
        <f t="shared" si="149"/>
        <v>0</v>
      </c>
      <c r="R333" s="615">
        <f t="shared" si="149"/>
        <v>0</v>
      </c>
      <c r="S333" s="615">
        <f t="shared" si="149"/>
        <v>0</v>
      </c>
      <c r="T333" s="615">
        <f t="shared" si="149"/>
        <v>0</v>
      </c>
      <c r="U333" s="615">
        <f t="shared" si="149"/>
        <v>0</v>
      </c>
      <c r="V333" s="615">
        <f t="shared" si="149"/>
        <v>0</v>
      </c>
      <c r="W333" s="615">
        <f t="shared" si="149"/>
        <v>0</v>
      </c>
      <c r="X333" s="615">
        <f t="shared" si="149"/>
        <v>0</v>
      </c>
      <c r="Y333" s="615">
        <f t="shared" si="149"/>
        <v>0</v>
      </c>
      <c r="Z333" s="615">
        <f>+Z332*Z330</f>
        <v>0</v>
      </c>
      <c r="AA333" s="615">
        <f>+AA332*AA330</f>
        <v>0</v>
      </c>
      <c r="AB333" s="615">
        <f>+AB332*AB330</f>
        <v>0</v>
      </c>
      <c r="AC333" s="615">
        <f>+AC332*AC330</f>
        <v>0</v>
      </c>
    </row>
    <row r="334" spans="1:30">
      <c r="A334" s="455"/>
      <c r="B334" s="83"/>
      <c r="D334" s="5"/>
      <c r="I334" s="623"/>
      <c r="J334" s="623"/>
      <c r="K334" s="623"/>
      <c r="L334" s="623"/>
      <c r="M334" s="623"/>
      <c r="N334" s="623"/>
      <c r="O334" s="623"/>
      <c r="P334" s="623"/>
      <c r="Q334" s="623"/>
      <c r="R334" s="623"/>
      <c r="S334" s="623"/>
      <c r="T334" s="623"/>
      <c r="U334" s="623"/>
      <c r="V334" s="623"/>
      <c r="W334" s="623"/>
      <c r="X334" s="623"/>
      <c r="Y334" s="623"/>
      <c r="Z334" s="623"/>
      <c r="AA334" s="623"/>
      <c r="AB334" s="623"/>
      <c r="AC334" s="623"/>
    </row>
    <row r="335" spans="1:30">
      <c r="A335" s="455"/>
      <c r="B335" s="83" t="s">
        <v>523</v>
      </c>
      <c r="D335" s="219">
        <v>5</v>
      </c>
      <c r="I335" s="528">
        <f t="shared" ref="I335:AC335" si="150">IF($D335=1,I$197,IF($D335=2,I$200,IF($D335=3,I$202,IF($D335=4,I$204,IF($D335=5,I$206,IF($D335=5,I$208,I$197))))))</f>
        <v>0</v>
      </c>
      <c r="J335" s="528">
        <f t="shared" ca="1" si="150"/>
        <v>2.2389999999999999</v>
      </c>
      <c r="K335" s="528">
        <f t="shared" ca="1" si="150"/>
        <v>2.0167499999999996</v>
      </c>
      <c r="L335" s="528">
        <f t="shared" ca="1" si="150"/>
        <v>2.0158333333333331</v>
      </c>
      <c r="M335" s="528">
        <f t="shared" ca="1" si="150"/>
        <v>2.0045833333333336</v>
      </c>
      <c r="N335" s="528">
        <f t="shared" ca="1" si="150"/>
        <v>2.0054166666666666</v>
      </c>
      <c r="O335" s="528">
        <f t="shared" ca="1" si="150"/>
        <v>2.0133333333333332</v>
      </c>
      <c r="P335" s="528">
        <f t="shared" ca="1" si="150"/>
        <v>2.0291666666666663</v>
      </c>
      <c r="Q335" s="528">
        <f t="shared" ca="1" si="150"/>
        <v>2.0549999999999997</v>
      </c>
      <c r="R335" s="528">
        <f t="shared" ca="1" si="150"/>
        <v>2.0966666666666662</v>
      </c>
      <c r="S335" s="528">
        <f t="shared" ca="1" si="150"/>
        <v>2.1583333333333328</v>
      </c>
      <c r="T335" s="528">
        <f t="shared" ca="1" si="150"/>
        <v>2.2399999999999993</v>
      </c>
      <c r="U335" s="528">
        <f t="shared" ca="1" si="150"/>
        <v>2.3416666666666663</v>
      </c>
      <c r="V335" s="528">
        <f t="shared" ca="1" si="150"/>
        <v>2.4574999999999991</v>
      </c>
      <c r="W335" s="528">
        <f t="shared" ca="1" si="150"/>
        <v>2.5833333333333326</v>
      </c>
      <c r="X335" s="528">
        <f t="shared" ca="1" si="150"/>
        <v>2.7191666666666663</v>
      </c>
      <c r="Y335" s="528">
        <f t="shared" ca="1" si="150"/>
        <v>2.8649999999999998</v>
      </c>
      <c r="Z335" s="528">
        <f t="shared" ca="1" si="150"/>
        <v>3.0208333333333326</v>
      </c>
      <c r="AA335" s="528">
        <f t="shared" ca="1" si="150"/>
        <v>3.186666666666667</v>
      </c>
      <c r="AB335" s="528">
        <f t="shared" ca="1" si="150"/>
        <v>3.3625000000000003</v>
      </c>
      <c r="AC335" s="528">
        <f t="shared" ca="1" si="150"/>
        <v>3.5483333333333325</v>
      </c>
    </row>
    <row r="336" spans="1:30">
      <c r="A336" s="455"/>
      <c r="B336" s="83" t="s">
        <v>184</v>
      </c>
      <c r="D336" s="5"/>
      <c r="E336" s="444"/>
      <c r="F336" s="444"/>
      <c r="G336" s="444"/>
      <c r="H336" s="530"/>
      <c r="I336" s="526">
        <v>-0.375</v>
      </c>
      <c r="J336" s="526">
        <f t="shared" ref="J336:AC336" si="151">I336</f>
        <v>-0.375</v>
      </c>
      <c r="K336" s="526">
        <f t="shared" si="151"/>
        <v>-0.375</v>
      </c>
      <c r="L336" s="526">
        <f t="shared" si="151"/>
        <v>-0.375</v>
      </c>
      <c r="M336" s="526">
        <f t="shared" si="151"/>
        <v>-0.375</v>
      </c>
      <c r="N336" s="526">
        <f t="shared" si="151"/>
        <v>-0.375</v>
      </c>
      <c r="O336" s="526">
        <f t="shared" si="151"/>
        <v>-0.375</v>
      </c>
      <c r="P336" s="526">
        <f t="shared" si="151"/>
        <v>-0.375</v>
      </c>
      <c r="Q336" s="526">
        <f t="shared" si="151"/>
        <v>-0.375</v>
      </c>
      <c r="R336" s="526">
        <f t="shared" si="151"/>
        <v>-0.375</v>
      </c>
      <c r="S336" s="526">
        <f t="shared" si="151"/>
        <v>-0.375</v>
      </c>
      <c r="T336" s="526">
        <f t="shared" si="151"/>
        <v>-0.375</v>
      </c>
      <c r="U336" s="526">
        <f t="shared" si="151"/>
        <v>-0.375</v>
      </c>
      <c r="V336" s="526">
        <f t="shared" si="151"/>
        <v>-0.375</v>
      </c>
      <c r="W336" s="526">
        <f t="shared" si="151"/>
        <v>-0.375</v>
      </c>
      <c r="X336" s="526">
        <f t="shared" si="151"/>
        <v>-0.375</v>
      </c>
      <c r="Y336" s="526">
        <f t="shared" si="151"/>
        <v>-0.375</v>
      </c>
      <c r="Z336" s="526">
        <f t="shared" si="151"/>
        <v>-0.375</v>
      </c>
      <c r="AA336" s="526">
        <f t="shared" si="151"/>
        <v>-0.375</v>
      </c>
      <c r="AB336" s="526">
        <f t="shared" si="151"/>
        <v>-0.375</v>
      </c>
      <c r="AC336" s="526">
        <f t="shared" si="151"/>
        <v>-0.375</v>
      </c>
    </row>
    <row r="337" spans="1:29">
      <c r="A337" s="455"/>
      <c r="B337" s="83" t="s">
        <v>194</v>
      </c>
      <c r="D337" s="5"/>
      <c r="I337" s="532">
        <f>+I335+I336</f>
        <v>-0.375</v>
      </c>
      <c r="J337" s="532">
        <f t="shared" ref="J337:Y337" ca="1" si="152">+J335+J336</f>
        <v>1.8639999999999999</v>
      </c>
      <c r="K337" s="532">
        <f t="shared" ca="1" si="152"/>
        <v>1.6417499999999996</v>
      </c>
      <c r="L337" s="532">
        <f t="shared" ca="1" si="152"/>
        <v>1.6408333333333331</v>
      </c>
      <c r="M337" s="532">
        <f t="shared" ca="1" si="152"/>
        <v>1.6295833333333336</v>
      </c>
      <c r="N337" s="532">
        <f t="shared" ca="1" si="152"/>
        <v>1.6304166666666666</v>
      </c>
      <c r="O337" s="532">
        <f t="shared" ca="1" si="152"/>
        <v>1.6383333333333332</v>
      </c>
      <c r="P337" s="532">
        <f t="shared" ca="1" si="152"/>
        <v>1.6541666666666663</v>
      </c>
      <c r="Q337" s="532">
        <f t="shared" ca="1" si="152"/>
        <v>1.6799999999999997</v>
      </c>
      <c r="R337" s="532">
        <f t="shared" ca="1" si="152"/>
        <v>1.7216666666666662</v>
      </c>
      <c r="S337" s="532">
        <f t="shared" ca="1" si="152"/>
        <v>1.7833333333333328</v>
      </c>
      <c r="T337" s="532">
        <f t="shared" ca="1" si="152"/>
        <v>1.8649999999999993</v>
      </c>
      <c r="U337" s="532">
        <f t="shared" ca="1" si="152"/>
        <v>1.9666666666666663</v>
      </c>
      <c r="V337" s="532">
        <f t="shared" ca="1" si="152"/>
        <v>2.0824999999999991</v>
      </c>
      <c r="W337" s="532">
        <f t="shared" ca="1" si="152"/>
        <v>2.2083333333333326</v>
      </c>
      <c r="X337" s="532">
        <f t="shared" ca="1" si="152"/>
        <v>2.3441666666666663</v>
      </c>
      <c r="Y337" s="532">
        <f t="shared" ca="1" si="152"/>
        <v>2.4899999999999998</v>
      </c>
      <c r="Z337" s="532">
        <f ca="1">+Z335+Z336</f>
        <v>2.6458333333333326</v>
      </c>
      <c r="AA337" s="532">
        <f ca="1">+AA335+AA336</f>
        <v>2.811666666666667</v>
      </c>
      <c r="AB337" s="532">
        <f ca="1">+AB335+AB336</f>
        <v>2.9875000000000003</v>
      </c>
      <c r="AC337" s="532">
        <f ca="1">+AC335+AC336</f>
        <v>3.1733333333333325</v>
      </c>
    </row>
    <row r="338" spans="1:29">
      <c r="A338" s="455"/>
      <c r="B338" s="5" t="str">
        <f>+"Gas Revenues ($"&amp;$F$5</f>
        <v>Gas Revenues ($Thousands)</v>
      </c>
      <c r="D338" s="5"/>
      <c r="I338" s="615">
        <f>I333*1000*I337/unit</f>
        <v>0</v>
      </c>
      <c r="J338" s="615">
        <f t="shared" ref="J338:Y338" ca="1" si="153">J333*1000*J337/unit</f>
        <v>0</v>
      </c>
      <c r="K338" s="615">
        <f t="shared" ca="1" si="153"/>
        <v>0</v>
      </c>
      <c r="L338" s="615">
        <f t="shared" ca="1" si="153"/>
        <v>0</v>
      </c>
      <c r="M338" s="615">
        <f t="shared" ca="1" si="153"/>
        <v>0</v>
      </c>
      <c r="N338" s="615">
        <f t="shared" ca="1" si="153"/>
        <v>0</v>
      </c>
      <c r="O338" s="615">
        <f t="shared" ca="1" si="153"/>
        <v>0</v>
      </c>
      <c r="P338" s="615">
        <f t="shared" ca="1" si="153"/>
        <v>0</v>
      </c>
      <c r="Q338" s="615">
        <f t="shared" ca="1" si="153"/>
        <v>0</v>
      </c>
      <c r="R338" s="615">
        <f t="shared" ca="1" si="153"/>
        <v>0</v>
      </c>
      <c r="S338" s="615">
        <f t="shared" ca="1" si="153"/>
        <v>0</v>
      </c>
      <c r="T338" s="615">
        <f t="shared" ca="1" si="153"/>
        <v>0</v>
      </c>
      <c r="U338" s="615">
        <f t="shared" ca="1" si="153"/>
        <v>0</v>
      </c>
      <c r="V338" s="615">
        <f t="shared" ca="1" si="153"/>
        <v>0</v>
      </c>
      <c r="W338" s="615">
        <f t="shared" ca="1" si="153"/>
        <v>0</v>
      </c>
      <c r="X338" s="615">
        <f t="shared" ca="1" si="153"/>
        <v>0</v>
      </c>
      <c r="Y338" s="615">
        <f t="shared" ca="1" si="153"/>
        <v>0</v>
      </c>
      <c r="Z338" s="615">
        <f ca="1">Z333*1000*Z337/unit</f>
        <v>0</v>
      </c>
      <c r="AA338" s="615">
        <f ca="1">AA333*1000*AA337/unit</f>
        <v>0</v>
      </c>
      <c r="AB338" s="615">
        <f ca="1">AB333*1000*AB337/unit</f>
        <v>0</v>
      </c>
      <c r="AC338" s="615">
        <f ca="1">AC333*1000*AC337/unit</f>
        <v>0</v>
      </c>
    </row>
    <row r="339" spans="1:29">
      <c r="A339" s="455"/>
      <c r="B339" s="5"/>
      <c r="D339" s="5"/>
      <c r="E339" s="418"/>
      <c r="F339" s="418"/>
      <c r="G339" s="418"/>
      <c r="H339" s="623"/>
      <c r="I339" s="623"/>
      <c r="J339" s="623"/>
      <c r="K339" s="623"/>
      <c r="L339" s="623"/>
      <c r="M339" s="623"/>
      <c r="N339" s="623"/>
      <c r="O339" s="623"/>
      <c r="P339" s="623"/>
      <c r="Q339" s="623"/>
      <c r="R339" s="623"/>
      <c r="S339" s="623"/>
      <c r="T339" s="623"/>
      <c r="U339" s="623"/>
      <c r="V339" s="623"/>
      <c r="W339" s="623"/>
      <c r="X339" s="623"/>
      <c r="Y339" s="624"/>
      <c r="Z339" s="624"/>
      <c r="AA339" s="624"/>
      <c r="AB339" s="624"/>
      <c r="AC339" s="624"/>
    </row>
    <row r="340" spans="1:29">
      <c r="A340" s="455" t="s">
        <v>524</v>
      </c>
      <c r="B340" s="5" t="s">
        <v>525</v>
      </c>
      <c r="D340" s="5"/>
      <c r="E340" s="418"/>
      <c r="F340" s="418"/>
      <c r="G340" s="418"/>
      <c r="H340" s="623"/>
      <c r="I340" s="517">
        <v>0</v>
      </c>
      <c r="J340" s="517">
        <v>0</v>
      </c>
      <c r="K340" s="517">
        <v>0</v>
      </c>
      <c r="L340" s="517">
        <v>0</v>
      </c>
      <c r="M340" s="517">
        <v>0</v>
      </c>
      <c r="N340" s="517">
        <v>0</v>
      </c>
      <c r="O340" s="517">
        <v>0</v>
      </c>
      <c r="P340" s="517">
        <v>0</v>
      </c>
      <c r="Q340" s="517">
        <v>0</v>
      </c>
      <c r="R340" s="517">
        <v>0</v>
      </c>
      <c r="S340" s="517">
        <v>0</v>
      </c>
      <c r="T340" s="517">
        <v>0</v>
      </c>
      <c r="U340" s="517">
        <v>0</v>
      </c>
      <c r="V340" s="517">
        <v>0</v>
      </c>
      <c r="W340" s="517">
        <v>0</v>
      </c>
      <c r="X340" s="517">
        <v>0</v>
      </c>
      <c r="Y340" s="517">
        <v>0</v>
      </c>
      <c r="Z340" s="517">
        <v>0</v>
      </c>
      <c r="AA340" s="517">
        <v>0</v>
      </c>
      <c r="AB340" s="517">
        <v>0</v>
      </c>
      <c r="AC340" s="517">
        <v>0</v>
      </c>
    </row>
    <row r="341" spans="1:29">
      <c r="A341" s="455"/>
      <c r="B341" s="83" t="s">
        <v>517</v>
      </c>
      <c r="D341" s="5"/>
      <c r="E341" s="418"/>
      <c r="F341" s="418"/>
      <c r="G341" s="418"/>
      <c r="H341" s="623"/>
      <c r="I341" s="667">
        <v>1</v>
      </c>
      <c r="J341" s="667">
        <f t="shared" ref="J341:AC341" si="154">I341</f>
        <v>1</v>
      </c>
      <c r="K341" s="667">
        <f t="shared" si="154"/>
        <v>1</v>
      </c>
      <c r="L341" s="667">
        <f t="shared" si="154"/>
        <v>1</v>
      </c>
      <c r="M341" s="667">
        <f t="shared" si="154"/>
        <v>1</v>
      </c>
      <c r="N341" s="667">
        <f t="shared" si="154"/>
        <v>1</v>
      </c>
      <c r="O341" s="667">
        <f t="shared" si="154"/>
        <v>1</v>
      </c>
      <c r="P341" s="667">
        <f t="shared" si="154"/>
        <v>1</v>
      </c>
      <c r="Q341" s="667">
        <f t="shared" si="154"/>
        <v>1</v>
      </c>
      <c r="R341" s="667">
        <f t="shared" si="154"/>
        <v>1</v>
      </c>
      <c r="S341" s="667">
        <f t="shared" si="154"/>
        <v>1</v>
      </c>
      <c r="T341" s="667">
        <f t="shared" si="154"/>
        <v>1</v>
      </c>
      <c r="U341" s="667">
        <f t="shared" si="154"/>
        <v>1</v>
      </c>
      <c r="V341" s="667">
        <f t="shared" si="154"/>
        <v>1</v>
      </c>
      <c r="W341" s="667">
        <f t="shared" si="154"/>
        <v>1</v>
      </c>
      <c r="X341" s="667">
        <f t="shared" si="154"/>
        <v>1</v>
      </c>
      <c r="Y341" s="667">
        <f t="shared" si="154"/>
        <v>1</v>
      </c>
      <c r="Z341" s="667">
        <f t="shared" si="154"/>
        <v>1</v>
      </c>
      <c r="AA341" s="667">
        <f t="shared" si="154"/>
        <v>1</v>
      </c>
      <c r="AB341" s="667">
        <f t="shared" si="154"/>
        <v>1</v>
      </c>
      <c r="AC341" s="667">
        <f t="shared" si="154"/>
        <v>1</v>
      </c>
    </row>
    <row r="342" spans="1:29">
      <c r="B342" s="83" t="s">
        <v>526</v>
      </c>
      <c r="D342" s="5"/>
      <c r="E342" s="418"/>
      <c r="F342" s="418"/>
      <c r="G342" s="418"/>
      <c r="H342" s="623"/>
      <c r="I342" s="666">
        <f>+I340*I341</f>
        <v>0</v>
      </c>
      <c r="J342" s="666">
        <f t="shared" ref="J342:Y342" si="155">+J340*J341</f>
        <v>0</v>
      </c>
      <c r="K342" s="666">
        <f t="shared" si="155"/>
        <v>0</v>
      </c>
      <c r="L342" s="666">
        <f t="shared" si="155"/>
        <v>0</v>
      </c>
      <c r="M342" s="666">
        <f t="shared" si="155"/>
        <v>0</v>
      </c>
      <c r="N342" s="666">
        <f t="shared" si="155"/>
        <v>0</v>
      </c>
      <c r="O342" s="666">
        <f t="shared" si="155"/>
        <v>0</v>
      </c>
      <c r="P342" s="666">
        <f t="shared" si="155"/>
        <v>0</v>
      </c>
      <c r="Q342" s="666">
        <f t="shared" si="155"/>
        <v>0</v>
      </c>
      <c r="R342" s="666">
        <f t="shared" si="155"/>
        <v>0</v>
      </c>
      <c r="S342" s="666">
        <f t="shared" si="155"/>
        <v>0</v>
      </c>
      <c r="T342" s="666">
        <f t="shared" si="155"/>
        <v>0</v>
      </c>
      <c r="U342" s="666">
        <f t="shared" si="155"/>
        <v>0</v>
      </c>
      <c r="V342" s="666">
        <f t="shared" si="155"/>
        <v>0</v>
      </c>
      <c r="W342" s="666">
        <f t="shared" si="155"/>
        <v>0</v>
      </c>
      <c r="X342" s="666">
        <f t="shared" si="155"/>
        <v>0</v>
      </c>
      <c r="Y342" s="666">
        <f t="shared" si="155"/>
        <v>0</v>
      </c>
      <c r="Z342" s="666">
        <f>+Z340*Z341</f>
        <v>0</v>
      </c>
      <c r="AA342" s="666">
        <f>+AA340*AA341</f>
        <v>0</v>
      </c>
      <c r="AB342" s="666">
        <f>+AB340*AB341</f>
        <v>0</v>
      </c>
      <c r="AC342" s="666">
        <f>+AC340*AC341</f>
        <v>0</v>
      </c>
    </row>
    <row r="343" spans="1:29">
      <c r="A343" s="455"/>
      <c r="B343" s="5" t="s">
        <v>181</v>
      </c>
      <c r="D343" s="5"/>
      <c r="E343" s="418"/>
      <c r="F343" s="418"/>
      <c r="G343" s="418"/>
      <c r="H343" s="623"/>
      <c r="I343" s="667">
        <v>1</v>
      </c>
      <c r="J343" s="667">
        <f t="shared" ref="J343:AC343" si="156">I343</f>
        <v>1</v>
      </c>
      <c r="K343" s="667">
        <f t="shared" si="156"/>
        <v>1</v>
      </c>
      <c r="L343" s="667">
        <f t="shared" si="156"/>
        <v>1</v>
      </c>
      <c r="M343" s="667">
        <f t="shared" si="156"/>
        <v>1</v>
      </c>
      <c r="N343" s="667">
        <f t="shared" si="156"/>
        <v>1</v>
      </c>
      <c r="O343" s="667">
        <f t="shared" si="156"/>
        <v>1</v>
      </c>
      <c r="P343" s="667">
        <f t="shared" si="156"/>
        <v>1</v>
      </c>
      <c r="Q343" s="667">
        <f t="shared" si="156"/>
        <v>1</v>
      </c>
      <c r="R343" s="667">
        <f t="shared" si="156"/>
        <v>1</v>
      </c>
      <c r="S343" s="667">
        <f t="shared" si="156"/>
        <v>1</v>
      </c>
      <c r="T343" s="667">
        <f t="shared" si="156"/>
        <v>1</v>
      </c>
      <c r="U343" s="667">
        <f t="shared" si="156"/>
        <v>1</v>
      </c>
      <c r="V343" s="667">
        <f t="shared" si="156"/>
        <v>1</v>
      </c>
      <c r="W343" s="667">
        <f t="shared" si="156"/>
        <v>1</v>
      </c>
      <c r="X343" s="667">
        <f t="shared" si="156"/>
        <v>1</v>
      </c>
      <c r="Y343" s="667">
        <f t="shared" si="156"/>
        <v>1</v>
      </c>
      <c r="Z343" s="667">
        <f t="shared" si="156"/>
        <v>1</v>
      </c>
      <c r="AA343" s="667">
        <f t="shared" si="156"/>
        <v>1</v>
      </c>
      <c r="AB343" s="667">
        <f t="shared" si="156"/>
        <v>1</v>
      </c>
      <c r="AC343" s="667">
        <f t="shared" si="156"/>
        <v>1</v>
      </c>
    </row>
    <row r="344" spans="1:29">
      <c r="B344" s="83" t="s">
        <v>527</v>
      </c>
      <c r="D344" s="5"/>
      <c r="I344" s="666">
        <f>+I342*I343</f>
        <v>0</v>
      </c>
      <c r="J344" s="666">
        <f t="shared" ref="J344:Y344" si="157">+J342*J343</f>
        <v>0</v>
      </c>
      <c r="K344" s="666">
        <f t="shared" si="157"/>
        <v>0</v>
      </c>
      <c r="L344" s="666">
        <f t="shared" si="157"/>
        <v>0</v>
      </c>
      <c r="M344" s="666">
        <f t="shared" si="157"/>
        <v>0</v>
      </c>
      <c r="N344" s="666">
        <f t="shared" si="157"/>
        <v>0</v>
      </c>
      <c r="O344" s="666">
        <f t="shared" si="157"/>
        <v>0</v>
      </c>
      <c r="P344" s="666">
        <f t="shared" si="157"/>
        <v>0</v>
      </c>
      <c r="Q344" s="666">
        <f t="shared" si="157"/>
        <v>0</v>
      </c>
      <c r="R344" s="666">
        <f t="shared" si="157"/>
        <v>0</v>
      </c>
      <c r="S344" s="666">
        <f t="shared" si="157"/>
        <v>0</v>
      </c>
      <c r="T344" s="666">
        <f t="shared" si="157"/>
        <v>0</v>
      </c>
      <c r="U344" s="666">
        <f t="shared" si="157"/>
        <v>0</v>
      </c>
      <c r="V344" s="666">
        <f t="shared" si="157"/>
        <v>0</v>
      </c>
      <c r="W344" s="666">
        <f t="shared" si="157"/>
        <v>0</v>
      </c>
      <c r="X344" s="666">
        <f t="shared" si="157"/>
        <v>0</v>
      </c>
      <c r="Y344" s="666">
        <f t="shared" si="157"/>
        <v>0</v>
      </c>
      <c r="Z344" s="666">
        <f>+Z342*Z343</f>
        <v>0</v>
      </c>
      <c r="AA344" s="666">
        <f>+AA342*AA343</f>
        <v>0</v>
      </c>
      <c r="AB344" s="666">
        <f>+AB342*AB343</f>
        <v>0</v>
      </c>
      <c r="AC344" s="666">
        <f>+AC342*AC343</f>
        <v>0</v>
      </c>
    </row>
    <row r="345" spans="1:29">
      <c r="D345" s="5"/>
    </row>
    <row r="346" spans="1:29">
      <c r="A346" s="15"/>
      <c r="B346" s="83" t="s">
        <v>528</v>
      </c>
      <c r="D346" s="219">
        <v>1</v>
      </c>
      <c r="I346" s="518">
        <f t="shared" ref="I346:AC346" si="158">IF($D346=1,I$227,IF($D346=2,I$230,IF($D346=3,I$232,IF($D346=4,I$234,IF($D346=5,I$236,I$227)))))</f>
        <v>0</v>
      </c>
      <c r="J346" s="518">
        <f t="shared" ca="1" si="158"/>
        <v>16.997552222222218</v>
      </c>
      <c r="K346" s="518">
        <f t="shared" ca="1" si="158"/>
        <v>14.999466666666665</v>
      </c>
      <c r="L346" s="518">
        <f t="shared" ca="1" si="158"/>
        <v>14.491101666666665</v>
      </c>
      <c r="M346" s="518">
        <f t="shared" ca="1" si="158"/>
        <v>14.5531825</v>
      </c>
      <c r="N346" s="518">
        <f t="shared" ca="1" si="158"/>
        <v>14.6748425</v>
      </c>
      <c r="O346" s="518">
        <f t="shared" ca="1" si="158"/>
        <v>14.797819166666669</v>
      </c>
      <c r="P346" s="518">
        <f t="shared" ca="1" si="158"/>
        <v>14.935871666666667</v>
      </c>
      <c r="Q346" s="518">
        <f t="shared" ca="1" si="158"/>
        <v>15.087551666666668</v>
      </c>
      <c r="R346" s="518">
        <f t="shared" ca="1" si="158"/>
        <v>15.247592499999998</v>
      </c>
      <c r="S346" s="518">
        <f t="shared" ca="1" si="158"/>
        <v>15.413295000000002</v>
      </c>
      <c r="T346" s="518">
        <f t="shared" ca="1" si="158"/>
        <v>15.578865833333339</v>
      </c>
      <c r="U346" s="518">
        <f t="shared" ca="1" si="158"/>
        <v>15.745029166666663</v>
      </c>
      <c r="V346" s="518">
        <f t="shared" ca="1" si="158"/>
        <v>15.910929166666664</v>
      </c>
      <c r="W346" s="518">
        <f t="shared" ca="1" si="158"/>
        <v>16.076697500000002</v>
      </c>
      <c r="X346" s="518">
        <f t="shared" ca="1" si="158"/>
        <v>16.46669416666667</v>
      </c>
      <c r="Y346" s="518">
        <f t="shared" ca="1" si="158"/>
        <v>16.848198333333336</v>
      </c>
      <c r="Z346" s="518">
        <f t="shared" ca="1" si="158"/>
        <v>17.085527499999994</v>
      </c>
      <c r="AA346" s="518">
        <f t="shared" ca="1" si="158"/>
        <v>17.322329999999997</v>
      </c>
      <c r="AB346" s="518">
        <f t="shared" ca="1" si="158"/>
        <v>17.55906666666667</v>
      </c>
      <c r="AC346" s="518">
        <f t="shared" ca="1" si="158"/>
        <v>17.737079999999999</v>
      </c>
    </row>
    <row r="347" spans="1:29">
      <c r="A347" s="15"/>
      <c r="B347" s="83" t="s">
        <v>184</v>
      </c>
      <c r="D347" s="5"/>
      <c r="I347" s="519">
        <v>0</v>
      </c>
      <c r="J347" s="519">
        <v>0</v>
      </c>
      <c r="K347" s="519">
        <v>0</v>
      </c>
      <c r="L347" s="519">
        <v>0</v>
      </c>
      <c r="M347" s="519">
        <v>0</v>
      </c>
      <c r="N347" s="519">
        <v>0</v>
      </c>
      <c r="O347" s="519">
        <v>0</v>
      </c>
      <c r="P347" s="519">
        <v>0</v>
      </c>
      <c r="Q347" s="519">
        <v>0</v>
      </c>
      <c r="R347" s="519">
        <v>0</v>
      </c>
      <c r="S347" s="519">
        <v>0</v>
      </c>
      <c r="T347" s="519">
        <v>0</v>
      </c>
      <c r="U347" s="519">
        <v>0</v>
      </c>
      <c r="V347" s="519">
        <v>0</v>
      </c>
      <c r="W347" s="519">
        <v>0</v>
      </c>
      <c r="X347" s="519">
        <v>0</v>
      </c>
      <c r="Y347" s="519">
        <v>0</v>
      </c>
      <c r="Z347" s="519">
        <v>0</v>
      </c>
      <c r="AA347" s="519">
        <v>0</v>
      </c>
      <c r="AB347" s="519">
        <v>0</v>
      </c>
      <c r="AC347" s="519">
        <v>0</v>
      </c>
    </row>
    <row r="348" spans="1:29">
      <c r="A348" s="15"/>
      <c r="B348" s="83" t="s">
        <v>529</v>
      </c>
      <c r="D348" s="5"/>
      <c r="I348" s="520">
        <f>+I346+I347</f>
        <v>0</v>
      </c>
      <c r="J348" s="520">
        <f t="shared" ref="J348:Z348" ca="1" si="159">+J346+J347</f>
        <v>16.997552222222218</v>
      </c>
      <c r="K348" s="520">
        <f t="shared" ca="1" si="159"/>
        <v>14.999466666666665</v>
      </c>
      <c r="L348" s="520">
        <f t="shared" ca="1" si="159"/>
        <v>14.491101666666665</v>
      </c>
      <c r="M348" s="520">
        <f t="shared" ca="1" si="159"/>
        <v>14.5531825</v>
      </c>
      <c r="N348" s="520">
        <f t="shared" ca="1" si="159"/>
        <v>14.6748425</v>
      </c>
      <c r="O348" s="520">
        <f t="shared" ca="1" si="159"/>
        <v>14.797819166666669</v>
      </c>
      <c r="P348" s="520">
        <f t="shared" ca="1" si="159"/>
        <v>14.935871666666667</v>
      </c>
      <c r="Q348" s="520">
        <f t="shared" ca="1" si="159"/>
        <v>15.087551666666668</v>
      </c>
      <c r="R348" s="520">
        <f t="shared" ca="1" si="159"/>
        <v>15.247592499999998</v>
      </c>
      <c r="S348" s="520">
        <f t="shared" ca="1" si="159"/>
        <v>15.413295000000002</v>
      </c>
      <c r="T348" s="520">
        <f t="shared" ca="1" si="159"/>
        <v>15.578865833333339</v>
      </c>
      <c r="U348" s="520">
        <f t="shared" ca="1" si="159"/>
        <v>15.745029166666663</v>
      </c>
      <c r="V348" s="520">
        <f t="shared" ca="1" si="159"/>
        <v>15.910929166666664</v>
      </c>
      <c r="W348" s="520">
        <f t="shared" ca="1" si="159"/>
        <v>16.076697500000002</v>
      </c>
      <c r="X348" s="520">
        <f t="shared" ca="1" si="159"/>
        <v>16.46669416666667</v>
      </c>
      <c r="Y348" s="520">
        <f t="shared" ca="1" si="159"/>
        <v>16.848198333333336</v>
      </c>
      <c r="Z348" s="520">
        <f t="shared" ca="1" si="159"/>
        <v>17.085527499999994</v>
      </c>
      <c r="AA348" s="520">
        <f ca="1">+AA346+AA347</f>
        <v>17.322329999999997</v>
      </c>
      <c r="AB348" s="520">
        <f ca="1">+AB346+AB347</f>
        <v>17.55906666666667</v>
      </c>
      <c r="AC348" s="520">
        <f ca="1">+AC346+AC347</f>
        <v>17.737079999999999</v>
      </c>
    </row>
    <row r="349" spans="1:29">
      <c r="A349" s="15"/>
      <c r="B349" s="5" t="s">
        <v>536</v>
      </c>
      <c r="D349" s="5"/>
      <c r="I349" s="615">
        <f t="shared" ref="I349:X349" si="160">I344*I348*1000/unit</f>
        <v>0</v>
      </c>
      <c r="J349" s="615">
        <f t="shared" ca="1" si="160"/>
        <v>0</v>
      </c>
      <c r="K349" s="615">
        <f t="shared" ca="1" si="160"/>
        <v>0</v>
      </c>
      <c r="L349" s="615">
        <f t="shared" ca="1" si="160"/>
        <v>0</v>
      </c>
      <c r="M349" s="615">
        <f t="shared" ca="1" si="160"/>
        <v>0</v>
      </c>
      <c r="N349" s="615">
        <f t="shared" ca="1" si="160"/>
        <v>0</v>
      </c>
      <c r="O349" s="615">
        <f t="shared" ca="1" si="160"/>
        <v>0</v>
      </c>
      <c r="P349" s="615">
        <f t="shared" ca="1" si="160"/>
        <v>0</v>
      </c>
      <c r="Q349" s="615">
        <f t="shared" ca="1" si="160"/>
        <v>0</v>
      </c>
      <c r="R349" s="615">
        <f t="shared" ca="1" si="160"/>
        <v>0</v>
      </c>
      <c r="S349" s="615">
        <f t="shared" ca="1" si="160"/>
        <v>0</v>
      </c>
      <c r="T349" s="615">
        <f t="shared" ca="1" si="160"/>
        <v>0</v>
      </c>
      <c r="U349" s="615">
        <f t="shared" ca="1" si="160"/>
        <v>0</v>
      </c>
      <c r="V349" s="615">
        <f t="shared" ca="1" si="160"/>
        <v>0</v>
      </c>
      <c r="W349" s="615">
        <f t="shared" ca="1" si="160"/>
        <v>0</v>
      </c>
      <c r="X349" s="615">
        <f t="shared" ca="1" si="160"/>
        <v>0</v>
      </c>
      <c r="Y349" s="615">
        <f ca="1">Y344*Y348*1000/unit</f>
        <v>0</v>
      </c>
      <c r="Z349" s="615">
        <f ca="1">Z344*Z348*1000/unit</f>
        <v>0</v>
      </c>
      <c r="AA349" s="615">
        <f ca="1">AA344*AA348*1000/unit</f>
        <v>0</v>
      </c>
      <c r="AB349" s="615">
        <f ca="1">AB344*AB348*1000/unit</f>
        <v>0</v>
      </c>
      <c r="AC349" s="615">
        <f ca="1">AC344*AC348*1000/unit</f>
        <v>0</v>
      </c>
    </row>
    <row r="350" spans="1:29">
      <c r="A350" s="15"/>
      <c r="B350" s="5"/>
      <c r="D350" s="5"/>
      <c r="E350" s="418"/>
      <c r="F350" s="418"/>
      <c r="G350" s="418"/>
      <c r="H350" s="623"/>
      <c r="I350" s="623"/>
      <c r="J350" s="623"/>
      <c r="K350" s="623"/>
      <c r="L350" s="623"/>
      <c r="M350" s="623"/>
      <c r="N350" s="623"/>
      <c r="O350" s="623"/>
      <c r="P350" s="623"/>
      <c r="Q350" s="623"/>
      <c r="R350" s="623"/>
      <c r="S350" s="623"/>
      <c r="T350" s="623"/>
      <c r="U350" s="623"/>
      <c r="V350" s="623"/>
      <c r="W350" s="623"/>
      <c r="X350" s="623"/>
      <c r="Y350" s="624"/>
      <c r="Z350" s="624"/>
      <c r="AA350" s="624"/>
      <c r="AB350" s="624"/>
      <c r="AC350" s="624"/>
    </row>
    <row r="351" spans="1:29">
      <c r="A351" s="337" t="str">
        <f>+"Total Revenues - "&amp;C12</f>
        <v>Total Revenues - PDNP</v>
      </c>
      <c r="D351" s="5"/>
      <c r="E351" s="484">
        <v>0</v>
      </c>
      <c r="F351" s="484">
        <v>0</v>
      </c>
      <c r="G351" s="484">
        <v>0</v>
      </c>
      <c r="H351" s="517">
        <f>H338+H322+H349</f>
        <v>0</v>
      </c>
      <c r="I351" s="623">
        <f>I338+I322+I349</f>
        <v>-6.1488750000000003</v>
      </c>
      <c r="J351" s="623">
        <f t="shared" ref="J351:Z351" ca="1" si="161">J338+J322+J349</f>
        <v>155.90253999999996</v>
      </c>
      <c r="K351" s="623">
        <f t="shared" ca="1" si="161"/>
        <v>82.809158333333329</v>
      </c>
      <c r="L351" s="623">
        <f t="shared" ca="1" si="161"/>
        <v>118.00475166666665</v>
      </c>
      <c r="M351" s="623">
        <f t="shared" ca="1" si="161"/>
        <v>229.853647</v>
      </c>
      <c r="N351" s="623">
        <f t="shared" ca="1" si="161"/>
        <v>124.551366</v>
      </c>
      <c r="O351" s="623">
        <f t="shared" ca="1" si="161"/>
        <v>78.576225666666673</v>
      </c>
      <c r="P351" s="623">
        <f t="shared" ca="1" si="161"/>
        <v>21.374798500000001</v>
      </c>
      <c r="Q351" s="623">
        <f t="shared" ca="1" si="161"/>
        <v>18.378760166666666</v>
      </c>
      <c r="R351" s="623">
        <f t="shared" ca="1" si="161"/>
        <v>15.808650500000001</v>
      </c>
      <c r="S351" s="623">
        <f t="shared" ca="1" si="161"/>
        <v>13.605587000000002</v>
      </c>
      <c r="T351" s="623">
        <f t="shared" ca="1" si="161"/>
        <v>11.707931250000005</v>
      </c>
      <c r="U351" s="623">
        <f t="shared" ca="1" si="161"/>
        <v>10.076809166666663</v>
      </c>
      <c r="V351" s="623">
        <f t="shared" ca="1" si="161"/>
        <v>8.6695233333333324</v>
      </c>
      <c r="W351" s="623">
        <f t="shared" ca="1" si="161"/>
        <v>7.441753499999999</v>
      </c>
      <c r="X351" s="623">
        <f t="shared" ca="1" si="161"/>
        <v>6.5010586666666672</v>
      </c>
      <c r="Y351" s="623">
        <f t="shared" ca="1" si="161"/>
        <v>5.6665981666666676</v>
      </c>
      <c r="Z351" s="623">
        <f t="shared" ca="1" si="161"/>
        <v>0</v>
      </c>
      <c r="AA351" s="623">
        <f ca="1">AA338+AA322+AA349</f>
        <v>0</v>
      </c>
      <c r="AB351" s="623">
        <f ca="1">AB338+AB322+AB349</f>
        <v>0</v>
      </c>
      <c r="AC351" s="623">
        <f ca="1">AC338+AC322+AC349</f>
        <v>0</v>
      </c>
    </row>
    <row r="352" spans="1:29" ht="12" thickBot="1">
      <c r="A352" s="15"/>
      <c r="B352" s="5"/>
      <c r="D352" s="5"/>
      <c r="E352" s="220"/>
      <c r="F352" s="220"/>
      <c r="G352" s="220"/>
      <c r="H352" s="623"/>
      <c r="I352" s="623"/>
      <c r="J352" s="623"/>
      <c r="K352" s="623"/>
      <c r="L352" s="623"/>
      <c r="M352" s="623"/>
      <c r="N352" s="623"/>
      <c r="O352" s="623"/>
      <c r="P352" s="623"/>
      <c r="Q352" s="623"/>
      <c r="R352" s="623"/>
      <c r="S352" s="623"/>
      <c r="T352" s="623"/>
      <c r="U352" s="623"/>
      <c r="V352" s="623"/>
      <c r="W352" s="623"/>
      <c r="X352" s="623"/>
      <c r="Y352" s="624"/>
      <c r="Z352" s="624"/>
      <c r="AA352" s="624"/>
      <c r="AB352" s="624"/>
      <c r="AC352" s="624"/>
    </row>
    <row r="353" spans="1:29" ht="12" thickTop="1">
      <c r="A353" s="443"/>
      <c r="B353" s="443"/>
      <c r="C353" s="443"/>
      <c r="D353" s="443"/>
      <c r="E353" s="443"/>
      <c r="F353" s="443"/>
      <c r="G353" s="443"/>
      <c r="H353" s="443"/>
      <c r="I353" s="443"/>
      <c r="J353" s="443"/>
      <c r="K353" s="443"/>
      <c r="L353" s="443"/>
      <c r="M353" s="443"/>
      <c r="N353" s="443"/>
      <c r="O353" s="443"/>
      <c r="P353" s="443"/>
      <c r="Q353" s="443"/>
      <c r="R353" s="443"/>
      <c r="S353" s="443"/>
      <c r="T353" s="443"/>
      <c r="U353" s="443"/>
      <c r="V353" s="443"/>
      <c r="W353" s="443"/>
      <c r="X353" s="443"/>
      <c r="Y353" s="443"/>
      <c r="Z353" s="443"/>
      <c r="AA353" s="443"/>
      <c r="AB353" s="443"/>
      <c r="AC353" s="443"/>
    </row>
    <row r="354" spans="1:29">
      <c r="A354" s="15"/>
      <c r="B354" s="15" t="s">
        <v>196</v>
      </c>
      <c r="C354" s="330"/>
      <c r="D354" s="330"/>
      <c r="E354" s="614"/>
      <c r="F354" s="614"/>
      <c r="G354" s="614"/>
      <c r="H354" s="623"/>
      <c r="I354" s="623"/>
      <c r="J354" s="623"/>
      <c r="K354" s="623"/>
      <c r="L354" s="623"/>
      <c r="M354" s="623"/>
      <c r="N354" s="623"/>
      <c r="O354" s="623"/>
      <c r="P354" s="623"/>
      <c r="Q354" s="623"/>
      <c r="R354" s="623"/>
      <c r="S354" s="623"/>
      <c r="T354" s="623"/>
      <c r="U354" s="623"/>
      <c r="V354" s="623"/>
      <c r="W354" s="623"/>
      <c r="X354" s="623"/>
      <c r="Y354" s="623"/>
      <c r="Z354" s="623"/>
      <c r="AA354" s="623"/>
      <c r="AB354" s="623"/>
      <c r="AC354" s="623"/>
    </row>
    <row r="355" spans="1:29">
      <c r="A355" s="15"/>
      <c r="B355" s="339" t="s">
        <v>197</v>
      </c>
      <c r="C355" s="416" t="s">
        <v>198</v>
      </c>
      <c r="D355" s="219">
        <v>6</v>
      </c>
      <c r="F355" s="614"/>
      <c r="G355" s="614"/>
      <c r="H355" s="625" t="s">
        <v>199</v>
      </c>
      <c r="I355" s="623">
        <f>(I317+(I333/$D355)+I344)*1000</f>
        <v>2589</v>
      </c>
      <c r="J355" s="623">
        <f t="shared" ref="J355:Y355" si="162">(J317+(J333/$D355)+J344)*1000</f>
        <v>8145</v>
      </c>
      <c r="K355" s="623">
        <f t="shared" si="162"/>
        <v>4985</v>
      </c>
      <c r="L355" s="623">
        <f t="shared" si="162"/>
        <v>7390</v>
      </c>
      <c r="M355" s="623">
        <f t="shared" si="162"/>
        <v>14324</v>
      </c>
      <c r="N355" s="623">
        <f t="shared" si="162"/>
        <v>7688</v>
      </c>
      <c r="O355" s="623">
        <f t="shared" si="162"/>
        <v>4804</v>
      </c>
      <c r="P355" s="623">
        <f t="shared" si="162"/>
        <v>1293</v>
      </c>
      <c r="Q355" s="623">
        <f t="shared" si="162"/>
        <v>1099</v>
      </c>
      <c r="R355" s="623">
        <f t="shared" si="162"/>
        <v>934</v>
      </c>
      <c r="S355" s="623">
        <f t="shared" si="162"/>
        <v>794</v>
      </c>
      <c r="T355" s="623">
        <f t="shared" si="162"/>
        <v>675</v>
      </c>
      <c r="U355" s="623">
        <f t="shared" si="162"/>
        <v>574</v>
      </c>
      <c r="V355" s="623">
        <f t="shared" si="162"/>
        <v>488</v>
      </c>
      <c r="W355" s="623">
        <f t="shared" si="162"/>
        <v>414</v>
      </c>
      <c r="X355" s="623">
        <f t="shared" si="162"/>
        <v>352</v>
      </c>
      <c r="Y355" s="623">
        <f t="shared" si="162"/>
        <v>299</v>
      </c>
      <c r="Z355" s="623">
        <f>(Z317+(Z333/$D355)+Z344)*1000</f>
        <v>0</v>
      </c>
      <c r="AA355" s="623">
        <f>(AA317+(AA333/$D355)+AA344)*1000</f>
        <v>0</v>
      </c>
      <c r="AB355" s="623">
        <f>(AB317+(AB333/$D355)+AB344)*1000</f>
        <v>0</v>
      </c>
      <c r="AC355" s="623">
        <f>(AC317+(AC333/$D355)+AC344)*1000</f>
        <v>0</v>
      </c>
    </row>
    <row r="356" spans="1:29">
      <c r="A356" s="15"/>
      <c r="B356" s="339"/>
      <c r="C356" s="416"/>
      <c r="D356" s="330"/>
      <c r="E356" s="614"/>
      <c r="F356" s="614"/>
      <c r="G356" s="614"/>
      <c r="H356" s="623"/>
      <c r="I356" s="623"/>
      <c r="J356" s="623"/>
      <c r="K356" s="623"/>
      <c r="L356" s="623"/>
      <c r="M356" s="623"/>
      <c r="N356" s="623"/>
      <c r="O356" s="623"/>
      <c r="P356" s="623"/>
      <c r="Q356" s="623"/>
      <c r="R356" s="623"/>
      <c r="S356" s="623"/>
      <c r="T356" s="623"/>
      <c r="U356" s="623"/>
      <c r="V356" s="623"/>
      <c r="W356" s="623"/>
      <c r="X356" s="623"/>
      <c r="Y356" s="623"/>
      <c r="Z356" s="623"/>
      <c r="AA356" s="623"/>
      <c r="AB356" s="623"/>
      <c r="AC356" s="623"/>
    </row>
    <row r="357" spans="1:29">
      <c r="A357" s="15"/>
      <c r="B357" s="410" t="s">
        <v>164</v>
      </c>
      <c r="C357" s="503" t="s">
        <v>19</v>
      </c>
      <c r="E357" s="339" t="s">
        <v>200</v>
      </c>
      <c r="H357" s="533">
        <v>0</v>
      </c>
      <c r="I357" s="695" t="s">
        <v>530</v>
      </c>
      <c r="J357" s="695" t="s">
        <v>537</v>
      </c>
      <c r="K357" s="695" t="s">
        <v>532</v>
      </c>
    </row>
    <row r="358" spans="1:29">
      <c r="A358" s="15"/>
      <c r="B358" s="375" t="s">
        <v>165</v>
      </c>
      <c r="C358" s="503"/>
      <c r="E358" t="s">
        <v>201</v>
      </c>
      <c r="H358" s="534">
        <v>1</v>
      </c>
      <c r="I358" s="695">
        <v>0.8</v>
      </c>
      <c r="J358" s="779">
        <v>1</v>
      </c>
      <c r="K358" s="695">
        <v>1.1000000000000001</v>
      </c>
    </row>
    <row r="359" spans="1:29">
      <c r="A359" s="15"/>
      <c r="B359" s="375" t="s">
        <v>166</v>
      </c>
      <c r="C359" s="503"/>
      <c r="E359" s="339" t="s">
        <v>202</v>
      </c>
      <c r="H359" s="476">
        <f>+H357*H358</f>
        <v>0</v>
      </c>
    </row>
    <row r="360" spans="1:29">
      <c r="A360" s="15"/>
      <c r="B360" s="375" t="s">
        <v>167</v>
      </c>
      <c r="C360" s="503"/>
      <c r="E360" s="339" t="s">
        <v>203</v>
      </c>
      <c r="H360" s="535">
        <v>3</v>
      </c>
      <c r="I360" s="694">
        <v>9.9890000000000008</v>
      </c>
      <c r="J360" s="694">
        <v>43.597999999999999</v>
      </c>
      <c r="K360" s="694">
        <v>43.597999999999999</v>
      </c>
      <c r="L360" s="694">
        <v>43.597999999999999</v>
      </c>
      <c r="M360" s="694">
        <v>43.597999999999999</v>
      </c>
      <c r="N360" s="694">
        <v>43.597999999999999</v>
      </c>
      <c r="O360" s="694">
        <v>43.597999999999999</v>
      </c>
      <c r="P360" s="694">
        <v>43.597999999999999</v>
      </c>
      <c r="Q360" s="694">
        <v>55.84</v>
      </c>
      <c r="R360" s="694">
        <v>58.295000000000002</v>
      </c>
      <c r="S360" s="694">
        <v>39.875999999999998</v>
      </c>
      <c r="T360" s="694">
        <v>39.875999999999998</v>
      </c>
      <c r="U360" s="694">
        <v>39.875999999999998</v>
      </c>
      <c r="V360" s="694">
        <v>39.875999999999998</v>
      </c>
      <c r="W360" s="694">
        <v>19.556999999999999</v>
      </c>
      <c r="X360" s="694">
        <v>19.556999999999999</v>
      </c>
      <c r="Y360" s="694">
        <v>4.8600000000000003</v>
      </c>
      <c r="Z360" s="694"/>
      <c r="AA360" s="694"/>
      <c r="AB360" s="694"/>
      <c r="AC360" s="694"/>
    </row>
    <row r="361" spans="1:29">
      <c r="A361" s="15"/>
      <c r="B361" s="411" t="s">
        <v>204</v>
      </c>
      <c r="E361" s="476"/>
      <c r="F361" s="476"/>
      <c r="G361" s="476"/>
      <c r="H361" s="476"/>
      <c r="I361" s="699">
        <f>I360*$J$358*$H$358</f>
        <v>9.9890000000000008</v>
      </c>
      <c r="J361" s="476">
        <f t="shared" ref="J361:Y361" si="163">J360*$J$358*$H$358</f>
        <v>43.597999999999999</v>
      </c>
      <c r="K361" s="476">
        <f t="shared" si="163"/>
        <v>43.597999999999999</v>
      </c>
      <c r="L361" s="476">
        <f t="shared" si="163"/>
        <v>43.597999999999999</v>
      </c>
      <c r="M361" s="476">
        <f t="shared" si="163"/>
        <v>43.597999999999999</v>
      </c>
      <c r="N361" s="476">
        <f t="shared" si="163"/>
        <v>43.597999999999999</v>
      </c>
      <c r="O361" s="476">
        <f t="shared" si="163"/>
        <v>43.597999999999999</v>
      </c>
      <c r="P361" s="476">
        <f t="shared" si="163"/>
        <v>43.597999999999999</v>
      </c>
      <c r="Q361" s="476">
        <f t="shared" si="163"/>
        <v>55.84</v>
      </c>
      <c r="R361" s="476">
        <f t="shared" si="163"/>
        <v>58.295000000000002</v>
      </c>
      <c r="S361" s="476">
        <f t="shared" si="163"/>
        <v>39.875999999999998</v>
      </c>
      <c r="T361" s="476">
        <f t="shared" si="163"/>
        <v>39.875999999999998</v>
      </c>
      <c r="U361" s="476">
        <f t="shared" si="163"/>
        <v>39.875999999999998</v>
      </c>
      <c r="V361" s="476">
        <f t="shared" si="163"/>
        <v>39.875999999999998</v>
      </c>
      <c r="W361" s="476">
        <f t="shared" si="163"/>
        <v>19.556999999999999</v>
      </c>
      <c r="X361" s="476">
        <f t="shared" si="163"/>
        <v>19.556999999999999</v>
      </c>
      <c r="Y361" s="476">
        <f t="shared" si="163"/>
        <v>4.8600000000000003</v>
      </c>
      <c r="Z361" s="476">
        <f>Z360*$J$358*$H$358</f>
        <v>0</v>
      </c>
      <c r="AA361" s="476">
        <f>AA360*$J$358*$H$358</f>
        <v>0</v>
      </c>
      <c r="AB361" s="476">
        <f>AB360*$J$358*$H$358</f>
        <v>0</v>
      </c>
      <c r="AC361" s="476">
        <f>AC360*$J$358*$H$358</f>
        <v>0</v>
      </c>
    </row>
    <row r="362" spans="1:29">
      <c r="A362" s="15"/>
      <c r="B362" s="411"/>
      <c r="E362" s="476"/>
      <c r="F362" s="476"/>
      <c r="G362" s="476"/>
      <c r="H362" s="476"/>
      <c r="I362" s="476"/>
      <c r="J362" s="476"/>
      <c r="K362" s="476"/>
      <c r="L362" s="476"/>
      <c r="M362" s="476"/>
      <c r="N362" s="476"/>
      <c r="O362" s="476"/>
      <c r="P362" s="476"/>
      <c r="Q362" s="476"/>
      <c r="R362" s="476"/>
      <c r="S362" s="476"/>
      <c r="T362" s="476"/>
      <c r="U362" s="476"/>
      <c r="V362" s="476"/>
      <c r="W362" s="476"/>
      <c r="X362" s="476"/>
      <c r="Y362" s="476"/>
      <c r="Z362" s="476"/>
      <c r="AA362" s="476"/>
      <c r="AB362" s="476"/>
      <c r="AC362" s="476"/>
    </row>
    <row r="363" spans="1:29">
      <c r="A363" s="15"/>
      <c r="B363" s="411" t="s">
        <v>205</v>
      </c>
      <c r="E363" s="476" t="s">
        <v>533</v>
      </c>
      <c r="F363" s="476"/>
      <c r="G363" s="476"/>
      <c r="H363" s="673">
        <v>9.1999999999999998E-2</v>
      </c>
      <c r="I363" s="476">
        <f>+$H363*I351</f>
        <v>-0.56569650000000005</v>
      </c>
      <c r="J363" s="476">
        <f t="shared" ref="J363:Z363" ca="1" si="164">+$H363*J351</f>
        <v>14.343033679999996</v>
      </c>
      <c r="K363" s="476">
        <f t="shared" ca="1" si="164"/>
        <v>7.6184425666666664</v>
      </c>
      <c r="L363" s="476">
        <f t="shared" ca="1" si="164"/>
        <v>10.856437153333331</v>
      </c>
      <c r="M363" s="476">
        <f t="shared" ca="1" si="164"/>
        <v>21.146535524000001</v>
      </c>
      <c r="N363" s="476">
        <f t="shared" ca="1" si="164"/>
        <v>11.458725672</v>
      </c>
      <c r="O363" s="476">
        <f t="shared" ca="1" si="164"/>
        <v>7.2290127613333341</v>
      </c>
      <c r="P363" s="476">
        <f t="shared" ca="1" si="164"/>
        <v>1.966481462</v>
      </c>
      <c r="Q363" s="476">
        <f t="shared" ca="1" si="164"/>
        <v>1.6908459353333332</v>
      </c>
      <c r="R363" s="476">
        <f t="shared" ca="1" si="164"/>
        <v>1.4543958459999999</v>
      </c>
      <c r="S363" s="476">
        <f t="shared" ca="1" si="164"/>
        <v>1.2517140040000001</v>
      </c>
      <c r="T363" s="476">
        <f t="shared" ca="1" si="164"/>
        <v>1.0771296750000003</v>
      </c>
      <c r="U363" s="476">
        <f t="shared" ca="1" si="164"/>
        <v>0.92706644333333299</v>
      </c>
      <c r="V363" s="476">
        <f t="shared" ca="1" si="164"/>
        <v>0.79759614666666656</v>
      </c>
      <c r="W363" s="476">
        <f t="shared" ca="1" si="164"/>
        <v>0.68464132199999994</v>
      </c>
      <c r="X363" s="476">
        <f t="shared" ca="1" si="164"/>
        <v>0.59809739733333334</v>
      </c>
      <c r="Y363" s="476">
        <f t="shared" ca="1" si="164"/>
        <v>0.52132703133333336</v>
      </c>
      <c r="Z363" s="476">
        <f t="shared" ca="1" si="164"/>
        <v>0</v>
      </c>
      <c r="AA363" s="476">
        <f ca="1">+$H363*AA351</f>
        <v>0</v>
      </c>
      <c r="AB363" s="476">
        <f ca="1">+$H363*AB351</f>
        <v>0</v>
      </c>
      <c r="AC363" s="476">
        <f ca="1">+$H363*AC351</f>
        <v>0</v>
      </c>
    </row>
    <row r="364" spans="1:29">
      <c r="A364" s="15"/>
      <c r="B364" s="411"/>
      <c r="E364" s="476"/>
      <c r="F364" s="476"/>
      <c r="G364" s="476"/>
      <c r="H364" s="476"/>
      <c r="I364" s="476"/>
      <c r="J364" s="476"/>
      <c r="K364" s="476"/>
      <c r="L364" s="476"/>
      <c r="M364" s="476"/>
      <c r="N364" s="476"/>
      <c r="O364" s="476"/>
      <c r="P364" s="476"/>
      <c r="Q364" s="476"/>
      <c r="R364" s="476"/>
      <c r="S364" s="476"/>
      <c r="T364" s="476"/>
      <c r="U364" s="476"/>
      <c r="V364" s="476"/>
      <c r="W364" s="476"/>
      <c r="X364" s="476"/>
      <c r="Y364" s="476"/>
      <c r="Z364" s="476"/>
      <c r="AA364" s="476"/>
      <c r="AB364" s="476"/>
      <c r="AC364" s="476"/>
    </row>
    <row r="365" spans="1:29">
      <c r="A365" s="15"/>
      <c r="B365" s="346" t="s">
        <v>207</v>
      </c>
      <c r="E365" s="476"/>
      <c r="F365" s="476"/>
      <c r="G365" s="476"/>
      <c r="H365" s="476"/>
      <c r="I365" s="476"/>
      <c r="J365" s="476"/>
      <c r="K365" s="476"/>
      <c r="L365" s="476"/>
      <c r="M365" s="476"/>
      <c r="N365" s="476"/>
      <c r="O365" s="476"/>
      <c r="P365" s="476"/>
      <c r="Q365" s="476"/>
      <c r="R365" s="476"/>
      <c r="S365" s="476"/>
      <c r="T365" s="476"/>
      <c r="U365" s="476"/>
      <c r="V365" s="476"/>
      <c r="W365" s="476"/>
      <c r="X365" s="476"/>
      <c r="Y365" s="476"/>
      <c r="Z365" s="476"/>
      <c r="AA365" s="476"/>
      <c r="AB365" s="476"/>
      <c r="AC365" s="476"/>
    </row>
    <row r="366" spans="1:29">
      <c r="A366" s="15"/>
      <c r="B366" s="410" t="s">
        <v>164</v>
      </c>
      <c r="C366" s="503" t="s">
        <v>19</v>
      </c>
      <c r="E366" s="339" t="s">
        <v>208</v>
      </c>
      <c r="H366" s="535">
        <v>0</v>
      </c>
      <c r="I366" s="334"/>
      <c r="J366" s="334"/>
      <c r="K366" s="334"/>
      <c r="L366" s="334"/>
      <c r="M366" s="334"/>
      <c r="N366" s="334"/>
      <c r="O366" s="334"/>
      <c r="P366" s="334"/>
      <c r="Q366" s="334"/>
      <c r="R366" s="334"/>
      <c r="S366" s="334"/>
      <c r="T366" s="334"/>
      <c r="U366" s="334"/>
      <c r="V366" s="334"/>
      <c r="W366" s="334"/>
      <c r="X366" s="334"/>
      <c r="Y366" s="334"/>
      <c r="Z366" s="334"/>
      <c r="AA366" s="334"/>
      <c r="AB366" s="334"/>
      <c r="AC366" s="334"/>
    </row>
    <row r="367" spans="1:29">
      <c r="A367" s="15"/>
      <c r="B367" s="375" t="s">
        <v>165</v>
      </c>
      <c r="C367" s="503"/>
      <c r="E367" t="s">
        <v>201</v>
      </c>
      <c r="H367" s="534">
        <v>1</v>
      </c>
      <c r="I367" s="208"/>
      <c r="J367" s="208"/>
      <c r="K367" s="208"/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</row>
    <row r="368" spans="1:29">
      <c r="A368" s="15"/>
      <c r="B368" s="375" t="s">
        <v>166</v>
      </c>
      <c r="C368" s="503"/>
      <c r="E368" s="339" t="s">
        <v>202</v>
      </c>
      <c r="H368" s="476">
        <f>+H366*H367</f>
        <v>0</v>
      </c>
    </row>
    <row r="369" spans="1:29">
      <c r="A369" s="15"/>
      <c r="B369" s="375" t="s">
        <v>167</v>
      </c>
      <c r="C369" s="503"/>
      <c r="E369" s="339" t="s">
        <v>203</v>
      </c>
      <c r="H369" s="535">
        <v>3</v>
      </c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  <c r="AA369" s="335"/>
      <c r="AB369" s="335"/>
      <c r="AC369" s="335"/>
    </row>
    <row r="370" spans="1:29">
      <c r="A370" s="15"/>
      <c r="B370" s="411" t="s">
        <v>209</v>
      </c>
      <c r="E370" s="476"/>
      <c r="F370" s="476"/>
      <c r="G370" s="476"/>
      <c r="H370" s="476"/>
      <c r="I370" s="476">
        <f ca="1">($H368)*(IF($H369=1,I$185,IF($H369=2,I$188,IF($H369=3,I$191,0))))*(stub)</f>
        <v>0</v>
      </c>
      <c r="J370" s="476">
        <f ca="1">($H368)*(IF($H369=1,J$185,IF($H369=2,J$188,IF($H369=3,J$191,0))))</f>
        <v>0</v>
      </c>
      <c r="K370" s="476">
        <f t="shared" ref="K370:Z370" ca="1" si="165">($H368)*(IF($H369=1,K$185,IF($H369=2,K$188,IF($H369=3,K$191,0))))</f>
        <v>0</v>
      </c>
      <c r="L370" s="476">
        <f t="shared" ca="1" si="165"/>
        <v>0</v>
      </c>
      <c r="M370" s="476">
        <f t="shared" ca="1" si="165"/>
        <v>0</v>
      </c>
      <c r="N370" s="476">
        <f t="shared" ca="1" si="165"/>
        <v>0</v>
      </c>
      <c r="O370" s="476">
        <f t="shared" ca="1" si="165"/>
        <v>0</v>
      </c>
      <c r="P370" s="476">
        <f t="shared" ca="1" si="165"/>
        <v>0</v>
      </c>
      <c r="Q370" s="476">
        <f t="shared" ca="1" si="165"/>
        <v>0</v>
      </c>
      <c r="R370" s="476">
        <f t="shared" ca="1" si="165"/>
        <v>0</v>
      </c>
      <c r="S370" s="476">
        <f t="shared" ca="1" si="165"/>
        <v>0</v>
      </c>
      <c r="T370" s="476">
        <f t="shared" ca="1" si="165"/>
        <v>0</v>
      </c>
      <c r="U370" s="476">
        <f t="shared" ca="1" si="165"/>
        <v>0</v>
      </c>
      <c r="V370" s="476">
        <f t="shared" ca="1" si="165"/>
        <v>0</v>
      </c>
      <c r="W370" s="476">
        <f t="shared" ca="1" si="165"/>
        <v>0</v>
      </c>
      <c r="X370" s="476">
        <f t="shared" ca="1" si="165"/>
        <v>0</v>
      </c>
      <c r="Y370" s="476">
        <f t="shared" ca="1" si="165"/>
        <v>0</v>
      </c>
      <c r="Z370" s="476">
        <f t="shared" ca="1" si="165"/>
        <v>0</v>
      </c>
      <c r="AA370" s="476">
        <f ca="1">($H368)*(IF($H369=1,AA$185,IF($H369=2,AA$188,IF($H369=3,AA$191,0))))</f>
        <v>0</v>
      </c>
      <c r="AB370" s="476">
        <f ca="1">($H368)*(IF($H369=1,AB$185,IF($H369=2,AB$188,IF($H369=3,AB$191,0))))</f>
        <v>0</v>
      </c>
      <c r="AC370" s="476">
        <f ca="1">($H368)*(IF($H369=1,AC$185,IF($H369=2,AC$188,IF($H369=3,AC$191,0))))</f>
        <v>0</v>
      </c>
    </row>
    <row r="371" spans="1:29">
      <c r="A371" s="15"/>
      <c r="B371" s="411"/>
      <c r="E371" s="476"/>
      <c r="F371" s="476"/>
      <c r="G371" s="476"/>
      <c r="H371" s="476"/>
      <c r="I371" s="476"/>
      <c r="J371" s="476"/>
      <c r="K371" s="476"/>
      <c r="L371" s="476"/>
      <c r="M371" s="476"/>
      <c r="N371" s="476"/>
      <c r="O371" s="476"/>
      <c r="P371" s="476"/>
      <c r="Q371" s="476"/>
      <c r="R371" s="476"/>
      <c r="S371" s="476"/>
      <c r="T371" s="476"/>
      <c r="U371" s="476"/>
      <c r="V371" s="476"/>
      <c r="W371" s="476"/>
      <c r="X371" s="476"/>
      <c r="Y371" s="476"/>
      <c r="Z371" s="476"/>
      <c r="AA371" s="476"/>
      <c r="AB371" s="476"/>
      <c r="AC371" s="476"/>
    </row>
    <row r="372" spans="1:29">
      <c r="A372" s="15"/>
      <c r="B372" s="411" t="s">
        <v>210</v>
      </c>
      <c r="E372" s="476"/>
      <c r="F372" s="476"/>
      <c r="G372" s="476"/>
      <c r="H372" s="476"/>
      <c r="I372" s="536">
        <v>0</v>
      </c>
      <c r="J372" s="536">
        <v>0</v>
      </c>
      <c r="K372" s="536">
        <v>0</v>
      </c>
      <c r="L372" s="536">
        <v>0</v>
      </c>
      <c r="M372" s="536">
        <v>0</v>
      </c>
      <c r="N372" s="536">
        <v>0</v>
      </c>
      <c r="O372" s="536">
        <v>0</v>
      </c>
      <c r="P372" s="536">
        <v>0</v>
      </c>
      <c r="Q372" s="536">
        <v>0</v>
      </c>
      <c r="R372" s="536">
        <v>0</v>
      </c>
      <c r="S372" s="536">
        <v>0</v>
      </c>
      <c r="T372" s="536">
        <v>0</v>
      </c>
      <c r="U372" s="536">
        <v>0</v>
      </c>
      <c r="V372" s="536">
        <v>0</v>
      </c>
      <c r="W372" s="536">
        <v>0</v>
      </c>
      <c r="X372" s="536">
        <v>0</v>
      </c>
      <c r="Y372" s="536">
        <v>0</v>
      </c>
      <c r="Z372" s="536">
        <v>0</v>
      </c>
      <c r="AA372" s="536">
        <v>0</v>
      </c>
      <c r="AB372" s="536">
        <v>0</v>
      </c>
      <c r="AC372" s="536">
        <v>0</v>
      </c>
    </row>
    <row r="373" spans="1:29">
      <c r="A373" s="417" t="str">
        <f>"Total Production Costs - "&amp;C12</f>
        <v>Total Production Costs - PDNP</v>
      </c>
      <c r="E373" s="505">
        <v>0</v>
      </c>
      <c r="F373" s="505">
        <v>0</v>
      </c>
      <c r="G373" s="505">
        <v>0</v>
      </c>
      <c r="H373" s="537">
        <v>0</v>
      </c>
      <c r="I373" s="620">
        <f ca="1">+I370+I361+I363+I372</f>
        <v>9.4233035000000012</v>
      </c>
      <c r="J373" s="620">
        <f t="shared" ref="J373:Y373" ca="1" si="166">+J370+J361+J363+J372</f>
        <v>57.941033679999997</v>
      </c>
      <c r="K373" s="620">
        <f t="shared" ca="1" si="166"/>
        <v>51.216442566666665</v>
      </c>
      <c r="L373" s="620">
        <f t="shared" ca="1" si="166"/>
        <v>54.45443715333333</v>
      </c>
      <c r="M373" s="620">
        <f t="shared" ca="1" si="166"/>
        <v>64.744535524</v>
      </c>
      <c r="N373" s="620">
        <f t="shared" ca="1" si="166"/>
        <v>55.056725671999999</v>
      </c>
      <c r="O373" s="620">
        <f t="shared" ca="1" si="166"/>
        <v>50.827012761333336</v>
      </c>
      <c r="P373" s="620">
        <f t="shared" ca="1" si="166"/>
        <v>45.564481461999996</v>
      </c>
      <c r="Q373" s="620">
        <f t="shared" ca="1" si="166"/>
        <v>57.530845935333339</v>
      </c>
      <c r="R373" s="620">
        <f t="shared" ca="1" si="166"/>
        <v>59.749395845999999</v>
      </c>
      <c r="S373" s="620">
        <f t="shared" ca="1" si="166"/>
        <v>41.127714003999998</v>
      </c>
      <c r="T373" s="620">
        <f t="shared" ca="1" si="166"/>
        <v>40.953129675</v>
      </c>
      <c r="U373" s="620">
        <f t="shared" ca="1" si="166"/>
        <v>40.803066443333329</v>
      </c>
      <c r="V373" s="620">
        <f t="shared" ca="1" si="166"/>
        <v>40.673596146666661</v>
      </c>
      <c r="W373" s="620">
        <f t="shared" ca="1" si="166"/>
        <v>20.241641322</v>
      </c>
      <c r="X373" s="620">
        <f t="shared" ca="1" si="166"/>
        <v>20.155097397333332</v>
      </c>
      <c r="Y373" s="620">
        <f t="shared" ca="1" si="166"/>
        <v>5.3813270313333339</v>
      </c>
      <c r="Z373" s="620">
        <f ca="1">+Z370+Z361+Z363+Z372</f>
        <v>0</v>
      </c>
      <c r="AA373" s="620">
        <f ca="1">+AA370+AA361+AA363+AA372</f>
        <v>0</v>
      </c>
      <c r="AB373" s="620">
        <f ca="1">+AB370+AB361+AB363+AB372</f>
        <v>0</v>
      </c>
      <c r="AC373" s="620">
        <f ca="1">+AC370+AC361+AC363+AC372</f>
        <v>0</v>
      </c>
    </row>
    <row r="374" spans="1:29">
      <c r="A374" s="15" t="str">
        <f>"Net Oil &amp; Gas Income - "&amp;C12</f>
        <v>Net Oil &amp; Gas Income - PDNP</v>
      </c>
      <c r="D374" s="5"/>
      <c r="E374" s="617">
        <f>+E351-E373</f>
        <v>0</v>
      </c>
      <c r="F374" s="617">
        <f t="shared" ref="F374:U374" si="167">+F351-F373</f>
        <v>0</v>
      </c>
      <c r="G374" s="617">
        <f t="shared" si="167"/>
        <v>0</v>
      </c>
      <c r="H374" s="615">
        <f t="shared" si="167"/>
        <v>0</v>
      </c>
      <c r="I374" s="615">
        <f t="shared" ca="1" si="167"/>
        <v>-15.572178500000001</v>
      </c>
      <c r="J374" s="615">
        <f t="shared" ca="1" si="167"/>
        <v>97.961506319999955</v>
      </c>
      <c r="K374" s="615">
        <f t="shared" ca="1" si="167"/>
        <v>31.592715766666664</v>
      </c>
      <c r="L374" s="615">
        <f t="shared" ca="1" si="167"/>
        <v>63.550314513333319</v>
      </c>
      <c r="M374" s="615">
        <f t="shared" ca="1" si="167"/>
        <v>165.10911147600001</v>
      </c>
      <c r="N374" s="615">
        <f t="shared" ca="1" si="167"/>
        <v>69.494640328000003</v>
      </c>
      <c r="O374" s="615">
        <f t="shared" ca="1" si="167"/>
        <v>27.749212905333337</v>
      </c>
      <c r="P374" s="615">
        <f t="shared" ca="1" si="167"/>
        <v>-24.189682961999996</v>
      </c>
      <c r="Q374" s="615">
        <f t="shared" ca="1" si="167"/>
        <v>-39.152085768666673</v>
      </c>
      <c r="R374" s="615">
        <f t="shared" ca="1" si="167"/>
        <v>-43.940745346</v>
      </c>
      <c r="S374" s="615">
        <f t="shared" ca="1" si="167"/>
        <v>-27.522127003999998</v>
      </c>
      <c r="T374" s="615">
        <f t="shared" ca="1" si="167"/>
        <v>-29.245198424999995</v>
      </c>
      <c r="U374" s="615">
        <f t="shared" ca="1" si="167"/>
        <v>-30.726257276666665</v>
      </c>
      <c r="V374" s="615">
        <f t="shared" ref="V374:AC374" ca="1" si="168">+V351-V373</f>
        <v>-32.00407281333333</v>
      </c>
      <c r="W374" s="615">
        <f t="shared" ca="1" si="168"/>
        <v>-12.799887822000001</v>
      </c>
      <c r="X374" s="615">
        <f t="shared" ca="1" si="168"/>
        <v>-13.654038730666665</v>
      </c>
      <c r="Y374" s="615">
        <f t="shared" ca="1" si="168"/>
        <v>0.2852711353333337</v>
      </c>
      <c r="Z374" s="615">
        <f t="shared" ca="1" si="168"/>
        <v>0</v>
      </c>
      <c r="AA374" s="615">
        <f t="shared" ca="1" si="168"/>
        <v>0</v>
      </c>
      <c r="AB374" s="615">
        <f t="shared" ca="1" si="168"/>
        <v>0</v>
      </c>
      <c r="AC374" s="615">
        <f t="shared" ca="1" si="168"/>
        <v>0</v>
      </c>
    </row>
    <row r="375" spans="1:29">
      <c r="A375" s="15"/>
      <c r="B375" s="5"/>
      <c r="D375" s="5"/>
      <c r="E375" s="141"/>
      <c r="F375" s="141"/>
      <c r="G375" s="141"/>
      <c r="H375" s="623"/>
      <c r="I375" s="623"/>
      <c r="J375" s="623"/>
      <c r="K375" s="623"/>
      <c r="L375" s="623"/>
      <c r="M375" s="623"/>
      <c r="N375" s="623"/>
      <c r="O375" s="623"/>
      <c r="P375" s="623"/>
      <c r="Q375" s="623"/>
      <c r="R375" s="623"/>
      <c r="S375" s="623"/>
      <c r="T375" s="623"/>
      <c r="U375" s="623"/>
      <c r="V375" s="623"/>
      <c r="W375" s="623"/>
      <c r="X375" s="623"/>
      <c r="Y375" s="624"/>
      <c r="Z375" s="624"/>
      <c r="AA375" s="624"/>
      <c r="AB375" s="624"/>
      <c r="AC375" s="624"/>
    </row>
    <row r="376" spans="1:29">
      <c r="A376" s="15"/>
      <c r="B376" s="5" t="s">
        <v>538</v>
      </c>
      <c r="D376" s="5"/>
      <c r="E376" s="141"/>
      <c r="F376" s="141"/>
      <c r="G376" s="141"/>
      <c r="I376" s="517">
        <v>0</v>
      </c>
      <c r="J376" s="517">
        <v>0</v>
      </c>
      <c r="K376" s="517">
        <v>0</v>
      </c>
      <c r="L376" s="517">
        <v>0</v>
      </c>
      <c r="M376" s="517">
        <v>0</v>
      </c>
      <c r="N376" s="517">
        <v>0</v>
      </c>
      <c r="O376" s="517">
        <v>0</v>
      </c>
      <c r="P376" s="517">
        <v>0</v>
      </c>
      <c r="Q376" s="517">
        <v>0</v>
      </c>
      <c r="R376" s="517">
        <v>0</v>
      </c>
      <c r="S376" s="517">
        <v>0</v>
      </c>
      <c r="T376" s="517">
        <v>0</v>
      </c>
      <c r="U376" s="517">
        <v>0</v>
      </c>
      <c r="V376" s="517">
        <v>0</v>
      </c>
      <c r="W376" s="517">
        <v>0</v>
      </c>
      <c r="X376" s="517">
        <v>0</v>
      </c>
      <c r="Y376" s="517">
        <v>0</v>
      </c>
      <c r="Z376" s="517">
        <v>0</v>
      </c>
      <c r="AA376" s="517">
        <v>0</v>
      </c>
      <c r="AB376" s="517">
        <v>0</v>
      </c>
      <c r="AC376" s="517">
        <v>0</v>
      </c>
    </row>
    <row r="377" spans="1:29">
      <c r="A377" s="15"/>
      <c r="B377" s="5" t="s">
        <v>539</v>
      </c>
      <c r="D377" s="5"/>
      <c r="E377" s="141"/>
      <c r="F377" s="141"/>
      <c r="G377" s="141"/>
      <c r="I377" s="541">
        <f t="shared" ref="I377:X377" ca="1" si="169">I374-I376</f>
        <v>-15.572178500000001</v>
      </c>
      <c r="J377" s="541">
        <f t="shared" ca="1" si="169"/>
        <v>97.961506319999955</v>
      </c>
      <c r="K377" s="541">
        <f t="shared" ca="1" si="169"/>
        <v>31.592715766666664</v>
      </c>
      <c r="L377" s="541">
        <f t="shared" ca="1" si="169"/>
        <v>63.550314513333319</v>
      </c>
      <c r="M377" s="541">
        <f t="shared" ca="1" si="169"/>
        <v>165.10911147600001</v>
      </c>
      <c r="N377" s="541">
        <f t="shared" ca="1" si="169"/>
        <v>69.494640328000003</v>
      </c>
      <c r="O377" s="541">
        <f t="shared" ca="1" si="169"/>
        <v>27.749212905333337</v>
      </c>
      <c r="P377" s="541">
        <f t="shared" ca="1" si="169"/>
        <v>-24.189682961999996</v>
      </c>
      <c r="Q377" s="541">
        <f t="shared" ca="1" si="169"/>
        <v>-39.152085768666673</v>
      </c>
      <c r="R377" s="541">
        <f t="shared" ca="1" si="169"/>
        <v>-43.940745346</v>
      </c>
      <c r="S377" s="541">
        <f t="shared" ca="1" si="169"/>
        <v>-27.522127003999998</v>
      </c>
      <c r="T377" s="541">
        <f t="shared" ca="1" si="169"/>
        <v>-29.245198424999995</v>
      </c>
      <c r="U377" s="541">
        <f t="shared" ca="1" si="169"/>
        <v>-30.726257276666665</v>
      </c>
      <c r="V377" s="541">
        <f t="shared" ca="1" si="169"/>
        <v>-32.00407281333333</v>
      </c>
      <c r="W377" s="541">
        <f t="shared" ca="1" si="169"/>
        <v>-12.799887822000001</v>
      </c>
      <c r="X377" s="541">
        <f t="shared" ca="1" si="169"/>
        <v>-13.654038730666665</v>
      </c>
      <c r="Y377" s="541">
        <f ca="1">Y374-Y376</f>
        <v>0.2852711353333337</v>
      </c>
      <c r="Z377" s="541">
        <f ca="1">Z374-Z376</f>
        <v>0</v>
      </c>
      <c r="AA377" s="541">
        <f ca="1">AA374-AA376</f>
        <v>0</v>
      </c>
      <c r="AB377" s="541">
        <f ca="1">AB374-AB376</f>
        <v>0</v>
      </c>
      <c r="AC377" s="541">
        <f ca="1">AC374-AC376</f>
        <v>0</v>
      </c>
    </row>
    <row r="378" spans="1:29">
      <c r="A378" s="15"/>
      <c r="B378" s="5"/>
      <c r="D378" s="5"/>
      <c r="E378" s="141"/>
      <c r="F378" s="141"/>
      <c r="G378" s="141"/>
      <c r="I378" s="623"/>
      <c r="J378" s="623"/>
      <c r="K378" s="623"/>
      <c r="L378" s="623"/>
      <c r="M378" s="623"/>
      <c r="N378" s="623"/>
      <c r="O378" s="623"/>
      <c r="P378" s="623"/>
      <c r="Q378" s="623"/>
      <c r="R378" s="623"/>
      <c r="S378" s="623"/>
      <c r="T378" s="623"/>
      <c r="U378" s="623"/>
      <c r="V378" s="623"/>
      <c r="W378" s="623"/>
      <c r="X378" s="623"/>
      <c r="Y378" s="624"/>
      <c r="Z378" s="624"/>
      <c r="AA378" s="624"/>
      <c r="AB378" s="624"/>
      <c r="AC378" s="624"/>
    </row>
    <row r="379" spans="1:29">
      <c r="A379" s="15"/>
      <c r="B379" s="5" t="s">
        <v>534</v>
      </c>
      <c r="D379" s="5"/>
      <c r="E379" s="141"/>
      <c r="F379" s="141"/>
      <c r="G379" s="141"/>
      <c r="I379" s="517">
        <v>0</v>
      </c>
      <c r="J379" s="517">
        <v>0</v>
      </c>
      <c r="K379" s="517">
        <v>0</v>
      </c>
      <c r="L379" s="517">
        <v>0</v>
      </c>
      <c r="M379" s="517">
        <v>0</v>
      </c>
      <c r="N379" s="517">
        <v>0</v>
      </c>
      <c r="O379" s="517">
        <v>0</v>
      </c>
      <c r="P379" s="517">
        <v>0</v>
      </c>
      <c r="Q379" s="517">
        <v>0</v>
      </c>
      <c r="R379" s="517">
        <v>0</v>
      </c>
      <c r="S379" s="517">
        <v>0</v>
      </c>
      <c r="T379" s="517">
        <v>0</v>
      </c>
      <c r="U379" s="517">
        <v>0</v>
      </c>
      <c r="V379" s="517">
        <v>0</v>
      </c>
      <c r="W379" s="517">
        <v>0</v>
      </c>
      <c r="X379" s="517">
        <v>0</v>
      </c>
      <c r="Y379" s="538">
        <v>0</v>
      </c>
      <c r="Z379" s="538">
        <v>0</v>
      </c>
      <c r="AA379" s="538">
        <v>0</v>
      </c>
      <c r="AB379" s="538">
        <v>0</v>
      </c>
      <c r="AC379" s="538">
        <v>0</v>
      </c>
    </row>
    <row r="380" spans="1:29">
      <c r="A380" s="15"/>
      <c r="B380" s="5"/>
      <c r="D380" s="5"/>
      <c r="E380" s="141"/>
      <c r="F380" s="141"/>
      <c r="G380" s="141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539"/>
      <c r="Z380" s="539"/>
      <c r="AA380" s="539"/>
      <c r="AB380" s="539"/>
      <c r="AC380" s="539"/>
    </row>
    <row r="381" spans="1:29" ht="12" thickBot="1">
      <c r="A381" s="15"/>
      <c r="B381" s="5"/>
      <c r="D381" s="5"/>
      <c r="E381" s="141"/>
      <c r="F381" s="141"/>
      <c r="G381" s="141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539"/>
      <c r="Z381" s="539"/>
      <c r="AA381" s="539"/>
      <c r="AB381" s="539"/>
      <c r="AC381" s="539"/>
    </row>
    <row r="382" spans="1:29" ht="12.75" thickTop="1" thickBot="1">
      <c r="A382" s="15" t="str">
        <f>A240&amp;" (Contd)"</f>
        <v>OIL &amp; GAS INCOME PROJECTIONS (Contd)</v>
      </c>
      <c r="B382" s="5"/>
      <c r="D382" s="5"/>
      <c r="E382" s="166" t="str">
        <f>+E3</f>
        <v xml:space="preserve">1996 </v>
      </c>
      <c r="F382" s="166" t="str">
        <f t="shared" ref="F382:U382" si="170">+F3</f>
        <v xml:space="preserve">1997 </v>
      </c>
      <c r="G382" s="166" t="str">
        <f t="shared" si="170"/>
        <v xml:space="preserve">1998 </v>
      </c>
      <c r="H382" s="166" t="str">
        <f t="shared" ca="1" si="170"/>
        <v xml:space="preserve">6 M/1999 </v>
      </c>
      <c r="I382" s="166" t="str">
        <f t="shared" ca="1" si="170"/>
        <v xml:space="preserve">6 M/1999 </v>
      </c>
      <c r="J382" s="166">
        <f t="shared" si="170"/>
        <v>2000</v>
      </c>
      <c r="K382" s="166">
        <f t="shared" si="170"/>
        <v>2001</v>
      </c>
      <c r="L382" s="166">
        <f t="shared" si="170"/>
        <v>2002</v>
      </c>
      <c r="M382" s="166">
        <f t="shared" si="170"/>
        <v>2003</v>
      </c>
      <c r="N382" s="166">
        <f t="shared" si="170"/>
        <v>2004</v>
      </c>
      <c r="O382" s="166">
        <f t="shared" si="170"/>
        <v>2005</v>
      </c>
      <c r="P382" s="166">
        <f t="shared" si="170"/>
        <v>2006</v>
      </c>
      <c r="Q382" s="166">
        <f t="shared" si="170"/>
        <v>2007</v>
      </c>
      <c r="R382" s="166">
        <f t="shared" si="170"/>
        <v>2008</v>
      </c>
      <c r="S382" s="166">
        <f t="shared" si="170"/>
        <v>2009</v>
      </c>
      <c r="T382" s="166">
        <f t="shared" si="170"/>
        <v>2010</v>
      </c>
      <c r="U382" s="166">
        <f t="shared" si="170"/>
        <v>2011</v>
      </c>
      <c r="V382" s="166">
        <f t="shared" ref="V382:AC382" si="171">+V3</f>
        <v>2012</v>
      </c>
      <c r="W382" s="166">
        <f t="shared" si="171"/>
        <v>2013</v>
      </c>
      <c r="X382" s="166">
        <f t="shared" si="171"/>
        <v>2014</v>
      </c>
      <c r="Y382" s="166">
        <f t="shared" si="171"/>
        <v>2015</v>
      </c>
      <c r="Z382" s="166">
        <f t="shared" si="171"/>
        <v>2016</v>
      </c>
      <c r="AA382" s="166">
        <f t="shared" si="171"/>
        <v>2017</v>
      </c>
      <c r="AB382" s="166">
        <f t="shared" si="171"/>
        <v>2018</v>
      </c>
      <c r="AC382" s="166">
        <f t="shared" si="171"/>
        <v>2019</v>
      </c>
    </row>
    <row r="383" spans="1:29" ht="13.5" thickTop="1">
      <c r="A383" s="506" t="str">
        <f>+C14</f>
        <v>PUD</v>
      </c>
      <c r="B383" s="5"/>
      <c r="D383" s="5"/>
      <c r="E383" s="281" t="s">
        <v>392</v>
      </c>
      <c r="F383" s="281" t="s">
        <v>535</v>
      </c>
      <c r="G383" s="281" t="s">
        <v>394</v>
      </c>
      <c r="H383" s="281"/>
      <c r="I383" s="540"/>
      <c r="J383" s="540"/>
      <c r="K383" s="540"/>
      <c r="L383" s="540"/>
      <c r="M383" s="540"/>
      <c r="N383" s="540"/>
      <c r="O383" s="540"/>
      <c r="P383" s="540"/>
      <c r="Q383" s="540"/>
      <c r="R383" s="540"/>
      <c r="S383" s="540"/>
      <c r="T383" s="540"/>
      <c r="U383" s="540"/>
      <c r="V383" s="540"/>
      <c r="W383" s="540"/>
      <c r="X383" s="540"/>
      <c r="Y383" s="540"/>
      <c r="Z383" s="540"/>
      <c r="AA383" s="540"/>
      <c r="AB383" s="540"/>
      <c r="AC383" s="540"/>
    </row>
    <row r="384" spans="1:29" ht="12.75">
      <c r="A384" s="506"/>
      <c r="B384" s="5"/>
      <c r="D384" s="5"/>
      <c r="E384" s="690">
        <v>0.7</v>
      </c>
      <c r="F384" s="777">
        <v>1</v>
      </c>
      <c r="G384" s="690">
        <v>1.1499999999999999</v>
      </c>
      <c r="H384" s="281"/>
      <c r="I384" s="540"/>
      <c r="J384" s="540"/>
      <c r="K384" s="540"/>
      <c r="L384" s="540"/>
      <c r="M384" s="540"/>
      <c r="N384" s="540"/>
      <c r="O384" s="540"/>
      <c r="P384" s="540"/>
      <c r="Q384" s="540"/>
      <c r="R384" s="540"/>
      <c r="S384" s="540"/>
      <c r="T384" s="540"/>
      <c r="U384" s="540"/>
      <c r="V384" s="540"/>
      <c r="W384" s="540"/>
      <c r="X384" s="540"/>
      <c r="Y384" s="540"/>
      <c r="Z384" s="540"/>
      <c r="AA384" s="540"/>
      <c r="AB384" s="540"/>
      <c r="AC384" s="540"/>
    </row>
    <row r="385" spans="1:30" ht="12.75">
      <c r="A385" s="506"/>
      <c r="B385" s="5"/>
      <c r="D385" s="5"/>
      <c r="E385" s="281"/>
      <c r="F385" s="281"/>
      <c r="G385" s="281"/>
      <c r="H385" s="281"/>
      <c r="I385" s="540">
        <v>0</v>
      </c>
      <c r="J385" s="540">
        <v>0</v>
      </c>
      <c r="K385" s="540">
        <v>0</v>
      </c>
      <c r="L385" s="540">
        <v>0</v>
      </c>
      <c r="M385" s="540">
        <v>0</v>
      </c>
      <c r="N385" s="540">
        <v>0</v>
      </c>
      <c r="O385" s="540">
        <v>0</v>
      </c>
      <c r="P385" s="540">
        <v>0</v>
      </c>
      <c r="Q385" s="540">
        <v>0</v>
      </c>
      <c r="R385" s="540">
        <v>0</v>
      </c>
      <c r="S385" s="540">
        <v>0</v>
      </c>
      <c r="T385" s="540">
        <v>0</v>
      </c>
      <c r="U385" s="540">
        <v>0</v>
      </c>
      <c r="V385" s="540">
        <v>0</v>
      </c>
      <c r="W385" s="540">
        <v>0</v>
      </c>
      <c r="X385" s="540">
        <v>0</v>
      </c>
      <c r="Y385" s="540">
        <v>0</v>
      </c>
      <c r="Z385" s="540">
        <v>0</v>
      </c>
      <c r="AA385" s="540">
        <v>0</v>
      </c>
      <c r="AB385" s="540">
        <v>0</v>
      </c>
      <c r="AC385" s="540">
        <v>0</v>
      </c>
    </row>
    <row r="386" spans="1:30">
      <c r="A386" s="455" t="s">
        <v>15</v>
      </c>
      <c r="B386" s="83" t="s">
        <v>515</v>
      </c>
      <c r="D386" s="5"/>
      <c r="E386" s="281"/>
      <c r="F386" s="281"/>
      <c r="G386" s="281"/>
      <c r="H386" s="281"/>
      <c r="I386" s="517">
        <f>I385*$F$384</f>
        <v>0</v>
      </c>
      <c r="J386" s="517">
        <f t="shared" ref="J386:Y386" si="172">J385*$F$384</f>
        <v>0</v>
      </c>
      <c r="K386" s="517">
        <f t="shared" si="172"/>
        <v>0</v>
      </c>
      <c r="L386" s="517">
        <f t="shared" si="172"/>
        <v>0</v>
      </c>
      <c r="M386" s="517">
        <f t="shared" si="172"/>
        <v>0</v>
      </c>
      <c r="N386" s="517">
        <f t="shared" si="172"/>
        <v>0</v>
      </c>
      <c r="O386" s="517">
        <f t="shared" si="172"/>
        <v>0</v>
      </c>
      <c r="P386" s="517">
        <f t="shared" si="172"/>
        <v>0</v>
      </c>
      <c r="Q386" s="517">
        <f t="shared" si="172"/>
        <v>0</v>
      </c>
      <c r="R386" s="517">
        <f t="shared" si="172"/>
        <v>0</v>
      </c>
      <c r="S386" s="517">
        <f t="shared" si="172"/>
        <v>0</v>
      </c>
      <c r="T386" s="517">
        <f t="shared" si="172"/>
        <v>0</v>
      </c>
      <c r="U386" s="517">
        <f t="shared" si="172"/>
        <v>0</v>
      </c>
      <c r="V386" s="517">
        <f t="shared" si="172"/>
        <v>0</v>
      </c>
      <c r="W386" s="517">
        <f t="shared" si="172"/>
        <v>0</v>
      </c>
      <c r="X386" s="517">
        <f t="shared" si="172"/>
        <v>0</v>
      </c>
      <c r="Y386" s="517">
        <f t="shared" si="172"/>
        <v>0</v>
      </c>
      <c r="Z386" s="517">
        <f>Z385*$F$384</f>
        <v>0</v>
      </c>
      <c r="AA386" s="517">
        <f>AA385*$F$384</f>
        <v>0</v>
      </c>
      <c r="AB386" s="517">
        <f>AB385*$F$384</f>
        <v>0</v>
      </c>
      <c r="AC386" s="517">
        <f>AC385*$F$384</f>
        <v>0</v>
      </c>
      <c r="AD386" s="517">
        <v>0</v>
      </c>
    </row>
    <row r="387" spans="1:30" ht="12.75">
      <c r="A387" s="506"/>
      <c r="B387" s="83" t="s">
        <v>517</v>
      </c>
      <c r="D387" s="5"/>
      <c r="E387" s="281"/>
      <c r="F387" s="281"/>
      <c r="G387" s="281"/>
      <c r="H387" s="281"/>
      <c r="I387" s="667">
        <v>1</v>
      </c>
      <c r="J387" s="667">
        <f t="shared" ref="J387:AC387" si="173">I387</f>
        <v>1</v>
      </c>
      <c r="K387" s="667">
        <f t="shared" si="173"/>
        <v>1</v>
      </c>
      <c r="L387" s="667">
        <f t="shared" si="173"/>
        <v>1</v>
      </c>
      <c r="M387" s="667">
        <f t="shared" si="173"/>
        <v>1</v>
      </c>
      <c r="N387" s="667">
        <f t="shared" si="173"/>
        <v>1</v>
      </c>
      <c r="O387" s="667">
        <f t="shared" si="173"/>
        <v>1</v>
      </c>
      <c r="P387" s="667">
        <f t="shared" si="173"/>
        <v>1</v>
      </c>
      <c r="Q387" s="667">
        <f t="shared" si="173"/>
        <v>1</v>
      </c>
      <c r="R387" s="667">
        <f t="shared" si="173"/>
        <v>1</v>
      </c>
      <c r="S387" s="667">
        <f t="shared" si="173"/>
        <v>1</v>
      </c>
      <c r="T387" s="667">
        <f t="shared" si="173"/>
        <v>1</v>
      </c>
      <c r="U387" s="667">
        <f t="shared" si="173"/>
        <v>1</v>
      </c>
      <c r="V387" s="667">
        <f t="shared" si="173"/>
        <v>1</v>
      </c>
      <c r="W387" s="667">
        <f t="shared" si="173"/>
        <v>1</v>
      </c>
      <c r="X387" s="667">
        <f t="shared" si="173"/>
        <v>1</v>
      </c>
      <c r="Y387" s="667">
        <f t="shared" si="173"/>
        <v>1</v>
      </c>
      <c r="Z387" s="667">
        <f t="shared" si="173"/>
        <v>1</v>
      </c>
      <c r="AA387" s="667">
        <f t="shared" si="173"/>
        <v>1</v>
      </c>
      <c r="AB387" s="667">
        <f t="shared" si="173"/>
        <v>1</v>
      </c>
      <c r="AC387" s="667">
        <f t="shared" si="173"/>
        <v>1</v>
      </c>
    </row>
    <row r="388" spans="1:30">
      <c r="B388" s="83" t="s">
        <v>518</v>
      </c>
      <c r="C388" s="5"/>
      <c r="D388" s="5"/>
      <c r="E388" s="281"/>
      <c r="F388" s="281"/>
      <c r="G388" s="281"/>
      <c r="H388" s="540"/>
      <c r="I388" s="666">
        <f>+I386*I387</f>
        <v>0</v>
      </c>
      <c r="J388" s="666">
        <f t="shared" ref="J388:Y388" si="174">+J386*J387</f>
        <v>0</v>
      </c>
      <c r="K388" s="666">
        <f t="shared" si="174"/>
        <v>0</v>
      </c>
      <c r="L388" s="666">
        <f t="shared" si="174"/>
        <v>0</v>
      </c>
      <c r="M388" s="666">
        <f t="shared" si="174"/>
        <v>0</v>
      </c>
      <c r="N388" s="666">
        <f t="shared" si="174"/>
        <v>0</v>
      </c>
      <c r="O388" s="666">
        <f t="shared" si="174"/>
        <v>0</v>
      </c>
      <c r="P388" s="666">
        <f t="shared" si="174"/>
        <v>0</v>
      </c>
      <c r="Q388" s="666">
        <f t="shared" si="174"/>
        <v>0</v>
      </c>
      <c r="R388" s="666">
        <f t="shared" si="174"/>
        <v>0</v>
      </c>
      <c r="S388" s="666">
        <f t="shared" si="174"/>
        <v>0</v>
      </c>
      <c r="T388" s="666">
        <f t="shared" si="174"/>
        <v>0</v>
      </c>
      <c r="U388" s="666">
        <f t="shared" si="174"/>
        <v>0</v>
      </c>
      <c r="V388" s="666">
        <f t="shared" si="174"/>
        <v>0</v>
      </c>
      <c r="W388" s="666">
        <f t="shared" si="174"/>
        <v>0</v>
      </c>
      <c r="X388" s="666">
        <f t="shared" si="174"/>
        <v>0</v>
      </c>
      <c r="Y388" s="666">
        <f t="shared" si="174"/>
        <v>0</v>
      </c>
      <c r="Z388" s="666">
        <f>+Z386*Z387</f>
        <v>0</v>
      </c>
      <c r="AA388" s="666">
        <f>+AA386*AA387</f>
        <v>0</v>
      </c>
      <c r="AB388" s="666">
        <f>+AB386*AB387</f>
        <v>0</v>
      </c>
      <c r="AC388" s="666">
        <f>+AC386*AC387</f>
        <v>0</v>
      </c>
    </row>
    <row r="389" spans="1:30" ht="12.75">
      <c r="A389" s="506"/>
      <c r="B389" s="5" t="s">
        <v>181</v>
      </c>
      <c r="C389" s="5"/>
      <c r="D389" s="5"/>
      <c r="E389" s="281"/>
      <c r="F389" s="281"/>
      <c r="G389" s="281"/>
      <c r="H389" s="540"/>
      <c r="I389" s="667">
        <v>1</v>
      </c>
      <c r="J389" s="667">
        <f t="shared" ref="J389:AC389" si="175">I389</f>
        <v>1</v>
      </c>
      <c r="K389" s="667">
        <f t="shared" si="175"/>
        <v>1</v>
      </c>
      <c r="L389" s="667">
        <f t="shared" si="175"/>
        <v>1</v>
      </c>
      <c r="M389" s="667">
        <f t="shared" si="175"/>
        <v>1</v>
      </c>
      <c r="N389" s="667">
        <f t="shared" si="175"/>
        <v>1</v>
      </c>
      <c r="O389" s="667">
        <f t="shared" si="175"/>
        <v>1</v>
      </c>
      <c r="P389" s="667">
        <f t="shared" si="175"/>
        <v>1</v>
      </c>
      <c r="Q389" s="667">
        <f t="shared" si="175"/>
        <v>1</v>
      </c>
      <c r="R389" s="667">
        <f t="shared" si="175"/>
        <v>1</v>
      </c>
      <c r="S389" s="667">
        <f t="shared" si="175"/>
        <v>1</v>
      </c>
      <c r="T389" s="667">
        <f t="shared" si="175"/>
        <v>1</v>
      </c>
      <c r="U389" s="667">
        <f t="shared" si="175"/>
        <v>1</v>
      </c>
      <c r="V389" s="667">
        <f t="shared" si="175"/>
        <v>1</v>
      </c>
      <c r="W389" s="667">
        <f t="shared" si="175"/>
        <v>1</v>
      </c>
      <c r="X389" s="667">
        <f t="shared" si="175"/>
        <v>1</v>
      </c>
      <c r="Y389" s="667">
        <f t="shared" si="175"/>
        <v>1</v>
      </c>
      <c r="Z389" s="667">
        <f t="shared" si="175"/>
        <v>1</v>
      </c>
      <c r="AA389" s="667">
        <f t="shared" si="175"/>
        <v>1</v>
      </c>
      <c r="AB389" s="667">
        <f t="shared" si="175"/>
        <v>1</v>
      </c>
      <c r="AC389" s="667">
        <f t="shared" si="175"/>
        <v>1</v>
      </c>
    </row>
    <row r="390" spans="1:30">
      <c r="B390" s="83" t="s">
        <v>519</v>
      </c>
      <c r="D390" s="5"/>
      <c r="E390" s="141"/>
      <c r="F390" s="141"/>
      <c r="H390" s="623"/>
      <c r="I390" s="666">
        <f>+I388*I389</f>
        <v>0</v>
      </c>
      <c r="J390" s="666">
        <f t="shared" ref="J390:Y390" si="176">+J388*J389</f>
        <v>0</v>
      </c>
      <c r="K390" s="666">
        <f t="shared" si="176"/>
        <v>0</v>
      </c>
      <c r="L390" s="666">
        <f t="shared" si="176"/>
        <v>0</v>
      </c>
      <c r="M390" s="666">
        <f t="shared" si="176"/>
        <v>0</v>
      </c>
      <c r="N390" s="666">
        <f t="shared" si="176"/>
        <v>0</v>
      </c>
      <c r="O390" s="666">
        <f t="shared" si="176"/>
        <v>0</v>
      </c>
      <c r="P390" s="666">
        <f t="shared" si="176"/>
        <v>0</v>
      </c>
      <c r="Q390" s="666">
        <f t="shared" si="176"/>
        <v>0</v>
      </c>
      <c r="R390" s="666">
        <f t="shared" si="176"/>
        <v>0</v>
      </c>
      <c r="S390" s="666">
        <f t="shared" si="176"/>
        <v>0</v>
      </c>
      <c r="T390" s="666">
        <f t="shared" si="176"/>
        <v>0</v>
      </c>
      <c r="U390" s="666">
        <f t="shared" si="176"/>
        <v>0</v>
      </c>
      <c r="V390" s="666">
        <f t="shared" si="176"/>
        <v>0</v>
      </c>
      <c r="W390" s="666">
        <f t="shared" si="176"/>
        <v>0</v>
      </c>
      <c r="X390" s="666">
        <f t="shared" si="176"/>
        <v>0</v>
      </c>
      <c r="Y390" s="666">
        <f t="shared" si="176"/>
        <v>0</v>
      </c>
      <c r="Z390" s="666">
        <f>+Z388*Z389</f>
        <v>0</v>
      </c>
      <c r="AA390" s="666">
        <f>+AA388*AA389</f>
        <v>0</v>
      </c>
      <c r="AB390" s="666">
        <f>+AB388*AB389</f>
        <v>0</v>
      </c>
      <c r="AC390" s="666">
        <f>+AC388*AC389</f>
        <v>0</v>
      </c>
      <c r="AD390">
        <f>SUM(E390:AC390)</f>
        <v>0</v>
      </c>
    </row>
    <row r="391" spans="1:30">
      <c r="D391" s="5"/>
      <c r="E391" s="141"/>
      <c r="F391" s="141"/>
      <c r="G391" s="141"/>
    </row>
    <row r="392" spans="1:30">
      <c r="A392" s="455"/>
      <c r="B392" s="83" t="s">
        <v>520</v>
      </c>
      <c r="D392" s="219">
        <v>5</v>
      </c>
      <c r="I392" s="518">
        <f t="shared" ref="I392:AC392" si="177">IF($D392=1,I$212,IF($D392=2,I$215,IF($D392=3,I$217,IF($D392=4,I$219,IF($D392=5,I$221,IF($D392=5,I$223,I$212))))))</f>
        <v>0</v>
      </c>
      <c r="J392" s="518">
        <f t="shared" ca="1" si="177"/>
        <v>21.515888888888885</v>
      </c>
      <c r="K392" s="518">
        <f t="shared" ca="1" si="177"/>
        <v>18.986666666666665</v>
      </c>
      <c r="L392" s="518">
        <f t="shared" ca="1" si="177"/>
        <v>18.343166666666665</v>
      </c>
      <c r="M392" s="518">
        <f t="shared" ca="1" si="177"/>
        <v>18.421749999999999</v>
      </c>
      <c r="N392" s="518">
        <f t="shared" ca="1" si="177"/>
        <v>18.575749999999999</v>
      </c>
      <c r="O392" s="518">
        <f t="shared" ca="1" si="177"/>
        <v>18.731416666666668</v>
      </c>
      <c r="P392" s="518">
        <f t="shared" ca="1" si="177"/>
        <v>18.906166666666667</v>
      </c>
      <c r="Q392" s="518">
        <f t="shared" ca="1" si="177"/>
        <v>19.098166666666668</v>
      </c>
      <c r="R392" s="518">
        <f t="shared" ca="1" si="177"/>
        <v>19.300749999999997</v>
      </c>
      <c r="S392" s="518">
        <f t="shared" ca="1" si="177"/>
        <v>19.5105</v>
      </c>
      <c r="T392" s="518">
        <f t="shared" ca="1" si="177"/>
        <v>19.720083333333339</v>
      </c>
      <c r="U392" s="518">
        <f t="shared" ca="1" si="177"/>
        <v>19.930416666666662</v>
      </c>
      <c r="V392" s="518">
        <f t="shared" ca="1" si="177"/>
        <v>20.140416666666663</v>
      </c>
      <c r="W392" s="518">
        <f t="shared" ca="1" si="177"/>
        <v>20.350249999999999</v>
      </c>
      <c r="X392" s="518">
        <f t="shared" ca="1" si="177"/>
        <v>20.843916666666669</v>
      </c>
      <c r="Y392" s="518">
        <f t="shared" ca="1" si="177"/>
        <v>21.326833333333337</v>
      </c>
      <c r="Z392" s="518">
        <f t="shared" ca="1" si="177"/>
        <v>21.627249999999993</v>
      </c>
      <c r="AA392" s="518">
        <f t="shared" ca="1" si="177"/>
        <v>21.926999999999996</v>
      </c>
      <c r="AB392" s="518">
        <f t="shared" ca="1" si="177"/>
        <v>22.22666666666667</v>
      </c>
      <c r="AC392" s="518">
        <f t="shared" ca="1" si="177"/>
        <v>22.451999999999998</v>
      </c>
    </row>
    <row r="393" spans="1:30">
      <c r="A393" s="456"/>
      <c r="B393" s="83" t="s">
        <v>184</v>
      </c>
      <c r="D393" s="5"/>
      <c r="I393" s="519">
        <v>-2.375</v>
      </c>
      <c r="J393" s="519">
        <f t="shared" ref="J393:AC393" si="178">I393</f>
        <v>-2.375</v>
      </c>
      <c r="K393" s="519">
        <f t="shared" si="178"/>
        <v>-2.375</v>
      </c>
      <c r="L393" s="519">
        <f t="shared" si="178"/>
        <v>-2.375</v>
      </c>
      <c r="M393" s="519">
        <f t="shared" si="178"/>
        <v>-2.375</v>
      </c>
      <c r="N393" s="519">
        <f t="shared" si="178"/>
        <v>-2.375</v>
      </c>
      <c r="O393" s="519">
        <f t="shared" si="178"/>
        <v>-2.375</v>
      </c>
      <c r="P393" s="519">
        <f t="shared" si="178"/>
        <v>-2.375</v>
      </c>
      <c r="Q393" s="519">
        <f t="shared" si="178"/>
        <v>-2.375</v>
      </c>
      <c r="R393" s="519">
        <f t="shared" si="178"/>
        <v>-2.375</v>
      </c>
      <c r="S393" s="519">
        <f t="shared" si="178"/>
        <v>-2.375</v>
      </c>
      <c r="T393" s="519">
        <f t="shared" si="178"/>
        <v>-2.375</v>
      </c>
      <c r="U393" s="519">
        <f t="shared" si="178"/>
        <v>-2.375</v>
      </c>
      <c r="V393" s="519">
        <f t="shared" si="178"/>
        <v>-2.375</v>
      </c>
      <c r="W393" s="519">
        <f t="shared" si="178"/>
        <v>-2.375</v>
      </c>
      <c r="X393" s="519">
        <f t="shared" si="178"/>
        <v>-2.375</v>
      </c>
      <c r="Y393" s="519">
        <f t="shared" si="178"/>
        <v>-2.375</v>
      </c>
      <c r="Z393" s="519">
        <f t="shared" si="178"/>
        <v>-2.375</v>
      </c>
      <c r="AA393" s="519">
        <f t="shared" si="178"/>
        <v>-2.375</v>
      </c>
      <c r="AB393" s="519">
        <f t="shared" si="178"/>
        <v>-2.375</v>
      </c>
      <c r="AC393" s="519">
        <f t="shared" si="178"/>
        <v>-2.375</v>
      </c>
    </row>
    <row r="394" spans="1:30">
      <c r="A394" s="193"/>
      <c r="B394" s="83" t="s">
        <v>185</v>
      </c>
      <c r="D394" s="5"/>
      <c r="I394" s="520">
        <f>+I392+I393</f>
        <v>-2.375</v>
      </c>
      <c r="J394" s="520">
        <f t="shared" ref="J394:Y394" ca="1" si="179">+J392+J393</f>
        <v>19.140888888888885</v>
      </c>
      <c r="K394" s="520">
        <f t="shared" ca="1" si="179"/>
        <v>16.611666666666665</v>
      </c>
      <c r="L394" s="520">
        <f t="shared" ca="1" si="179"/>
        <v>15.968166666666665</v>
      </c>
      <c r="M394" s="520">
        <f t="shared" ca="1" si="179"/>
        <v>16.046749999999999</v>
      </c>
      <c r="N394" s="520">
        <f t="shared" ca="1" si="179"/>
        <v>16.200749999999999</v>
      </c>
      <c r="O394" s="520">
        <f t="shared" ca="1" si="179"/>
        <v>16.356416666666668</v>
      </c>
      <c r="P394" s="520">
        <f t="shared" ca="1" si="179"/>
        <v>16.531166666666667</v>
      </c>
      <c r="Q394" s="520">
        <f t="shared" ca="1" si="179"/>
        <v>16.723166666666668</v>
      </c>
      <c r="R394" s="520">
        <f t="shared" ca="1" si="179"/>
        <v>16.925749999999997</v>
      </c>
      <c r="S394" s="520">
        <f t="shared" ca="1" si="179"/>
        <v>17.1355</v>
      </c>
      <c r="T394" s="520">
        <f t="shared" ca="1" si="179"/>
        <v>17.345083333333339</v>
      </c>
      <c r="U394" s="520">
        <f t="shared" ca="1" si="179"/>
        <v>17.555416666666662</v>
      </c>
      <c r="V394" s="520">
        <f t="shared" ca="1" si="179"/>
        <v>17.765416666666663</v>
      </c>
      <c r="W394" s="520">
        <f t="shared" ca="1" si="179"/>
        <v>17.975249999999999</v>
      </c>
      <c r="X394" s="520">
        <f t="shared" ca="1" si="179"/>
        <v>18.468916666666669</v>
      </c>
      <c r="Y394" s="520">
        <f t="shared" ca="1" si="179"/>
        <v>18.951833333333337</v>
      </c>
      <c r="Z394" s="520">
        <f ca="1">+Z392+Z393</f>
        <v>19.252249999999993</v>
      </c>
      <c r="AA394" s="520">
        <f ca="1">+AA392+AA393</f>
        <v>19.551999999999996</v>
      </c>
      <c r="AB394" s="520">
        <f ca="1">+AB392+AB393</f>
        <v>19.85166666666667</v>
      </c>
      <c r="AC394" s="520">
        <f ca="1">+AC392+AC393</f>
        <v>20.076999999999998</v>
      </c>
    </row>
    <row r="395" spans="1:30">
      <c r="A395" s="455"/>
      <c r="B395" s="5" t="str">
        <f>+"Oil Revenue ($"&amp;$F$5</f>
        <v>Oil Revenue ($Thousands)</v>
      </c>
      <c r="D395" s="5"/>
      <c r="E395" s="141"/>
      <c r="F395" s="141"/>
      <c r="G395" s="141"/>
      <c r="I395" s="615">
        <f t="shared" ref="I395:X395" si="180">I390*I394*1000/unit</f>
        <v>0</v>
      </c>
      <c r="J395" s="615">
        <f t="shared" ca="1" si="180"/>
        <v>0</v>
      </c>
      <c r="K395" s="615">
        <f t="shared" ca="1" si="180"/>
        <v>0</v>
      </c>
      <c r="L395" s="615">
        <f t="shared" ca="1" si="180"/>
        <v>0</v>
      </c>
      <c r="M395" s="615">
        <f t="shared" ca="1" si="180"/>
        <v>0</v>
      </c>
      <c r="N395" s="615">
        <f t="shared" ca="1" si="180"/>
        <v>0</v>
      </c>
      <c r="O395" s="615">
        <f t="shared" ca="1" si="180"/>
        <v>0</v>
      </c>
      <c r="P395" s="615">
        <f t="shared" ca="1" si="180"/>
        <v>0</v>
      </c>
      <c r="Q395" s="615">
        <f t="shared" ca="1" si="180"/>
        <v>0</v>
      </c>
      <c r="R395" s="615">
        <f t="shared" ca="1" si="180"/>
        <v>0</v>
      </c>
      <c r="S395" s="615">
        <f t="shared" ca="1" si="180"/>
        <v>0</v>
      </c>
      <c r="T395" s="615">
        <f t="shared" ca="1" si="180"/>
        <v>0</v>
      </c>
      <c r="U395" s="615">
        <f t="shared" ca="1" si="180"/>
        <v>0</v>
      </c>
      <c r="V395" s="615">
        <f t="shared" ca="1" si="180"/>
        <v>0</v>
      </c>
      <c r="W395" s="615">
        <f t="shared" ca="1" si="180"/>
        <v>0</v>
      </c>
      <c r="X395" s="615">
        <f t="shared" ca="1" si="180"/>
        <v>0</v>
      </c>
      <c r="Y395" s="615">
        <f ca="1">Y390*Y394*1000/unit</f>
        <v>0</v>
      </c>
      <c r="Z395" s="615">
        <f ca="1">Z390*Z394*1000/unit</f>
        <v>0</v>
      </c>
      <c r="AA395" s="615">
        <f ca="1">AA390*AA394*1000/unit</f>
        <v>0</v>
      </c>
      <c r="AB395" s="615">
        <f ca="1">AB390*AB394*1000/unit</f>
        <v>0</v>
      </c>
      <c r="AC395" s="615">
        <f ca="1">AC390*AC394*1000/unit</f>
        <v>0</v>
      </c>
    </row>
    <row r="396" spans="1:30">
      <c r="A396" s="455"/>
      <c r="B396" s="5"/>
      <c r="D396" s="5"/>
      <c r="E396" s="281" t="s">
        <v>392</v>
      </c>
      <c r="F396" s="281" t="s">
        <v>535</v>
      </c>
      <c r="G396" s="281" t="s">
        <v>394</v>
      </c>
      <c r="I396" s="623"/>
      <c r="J396" s="623"/>
      <c r="K396" s="623"/>
      <c r="L396" s="623"/>
      <c r="M396" s="623"/>
      <c r="N396" s="623"/>
      <c r="O396" s="623"/>
      <c r="P396" s="623"/>
      <c r="Q396" s="623"/>
      <c r="R396" s="623"/>
      <c r="S396" s="623"/>
      <c r="T396" s="623"/>
      <c r="U396" s="623"/>
      <c r="V396" s="623"/>
      <c r="W396" s="623"/>
      <c r="X396" s="623"/>
      <c r="Y396" s="622"/>
      <c r="Z396" s="622"/>
      <c r="AA396" s="622"/>
      <c r="AB396" s="622"/>
      <c r="AC396" s="622"/>
    </row>
    <row r="397" spans="1:30">
      <c r="A397" s="455"/>
      <c r="B397" s="5"/>
      <c r="D397" s="5"/>
      <c r="E397" s="690">
        <v>0.7</v>
      </c>
      <c r="F397" s="777">
        <v>1</v>
      </c>
      <c r="G397" s="690">
        <v>1.1499999999999999</v>
      </c>
      <c r="I397" s="623"/>
      <c r="J397" s="623"/>
      <c r="K397" s="623"/>
      <c r="L397" s="623"/>
      <c r="M397" s="623"/>
      <c r="N397" s="623"/>
      <c r="O397" s="623"/>
      <c r="P397" s="623"/>
      <c r="Q397" s="623"/>
      <c r="R397" s="623"/>
      <c r="S397" s="623"/>
      <c r="T397" s="623"/>
      <c r="U397" s="623"/>
      <c r="V397" s="623"/>
      <c r="W397" s="623"/>
      <c r="X397" s="623"/>
      <c r="Y397" s="622"/>
      <c r="Z397" s="622"/>
      <c r="AA397" s="622"/>
      <c r="AB397" s="622"/>
      <c r="AC397" s="622"/>
    </row>
    <row r="398" spans="1:30">
      <c r="A398" s="455"/>
      <c r="B398" s="5"/>
      <c r="D398" s="5"/>
      <c r="E398" s="141"/>
      <c r="F398" s="141"/>
      <c r="G398" s="141"/>
      <c r="I398" s="623">
        <v>16.143000000000001</v>
      </c>
      <c r="J398" s="623">
        <v>362.26400000000001</v>
      </c>
      <c r="K398" s="623">
        <v>611.79499999999996</v>
      </c>
      <c r="L398" s="623">
        <v>803.25900000000001</v>
      </c>
      <c r="M398" s="623">
        <v>888.62400000000002</v>
      </c>
      <c r="N398" s="623">
        <v>969.21400000000006</v>
      </c>
      <c r="O398" s="623">
        <v>902.53599999999994</v>
      </c>
      <c r="P398" s="623">
        <v>809.74300000000005</v>
      </c>
      <c r="Q398" s="623">
        <v>722.28800000000001</v>
      </c>
      <c r="R398" s="623">
        <v>621.26</v>
      </c>
      <c r="S398" s="623">
        <v>525.72</v>
      </c>
      <c r="T398" s="623">
        <v>436.47399999999999</v>
      </c>
      <c r="U398" s="623">
        <v>360.15100000000001</v>
      </c>
      <c r="V398" s="623">
        <v>283.33199999999999</v>
      </c>
      <c r="W398" s="623">
        <v>221.21600000000001</v>
      </c>
      <c r="X398" s="623">
        <v>167.08</v>
      </c>
      <c r="Y398" s="622">
        <v>115.00700000000001</v>
      </c>
      <c r="Z398" s="622">
        <v>59.917999999999999</v>
      </c>
      <c r="AA398" s="622">
        <v>29.212</v>
      </c>
      <c r="AB398" s="622">
        <v>8.9339999999999993</v>
      </c>
      <c r="AC398" s="622">
        <v>3.516</v>
      </c>
    </row>
    <row r="399" spans="1:30">
      <c r="A399" s="455" t="s">
        <v>14</v>
      </c>
      <c r="B399" s="83" t="s">
        <v>521</v>
      </c>
      <c r="D399" s="5"/>
      <c r="E399" s="141"/>
      <c r="F399" s="141"/>
      <c r="G399" s="141"/>
      <c r="I399" s="517">
        <f>I398*$F$397</f>
        <v>16.143000000000001</v>
      </c>
      <c r="J399" s="517">
        <f t="shared" ref="J399:Y399" si="181">J398*$F$397</f>
        <v>362.26400000000001</v>
      </c>
      <c r="K399" s="517">
        <f t="shared" si="181"/>
        <v>611.79499999999996</v>
      </c>
      <c r="L399" s="517">
        <f t="shared" si="181"/>
        <v>803.25900000000001</v>
      </c>
      <c r="M399" s="517">
        <f t="shared" si="181"/>
        <v>888.62400000000002</v>
      </c>
      <c r="N399" s="517">
        <f t="shared" si="181"/>
        <v>969.21400000000006</v>
      </c>
      <c r="O399" s="517">
        <f t="shared" si="181"/>
        <v>902.53599999999994</v>
      </c>
      <c r="P399" s="517">
        <f t="shared" si="181"/>
        <v>809.74300000000005</v>
      </c>
      <c r="Q399" s="517">
        <f t="shared" si="181"/>
        <v>722.28800000000001</v>
      </c>
      <c r="R399" s="517">
        <f t="shared" si="181"/>
        <v>621.26</v>
      </c>
      <c r="S399" s="517">
        <f t="shared" si="181"/>
        <v>525.72</v>
      </c>
      <c r="T399" s="517">
        <f t="shared" si="181"/>
        <v>436.47399999999999</v>
      </c>
      <c r="U399" s="517">
        <f t="shared" si="181"/>
        <v>360.15100000000001</v>
      </c>
      <c r="V399" s="517">
        <f t="shared" si="181"/>
        <v>283.33199999999999</v>
      </c>
      <c r="W399" s="517">
        <f t="shared" si="181"/>
        <v>221.21600000000001</v>
      </c>
      <c r="X399" s="517">
        <f t="shared" si="181"/>
        <v>167.08</v>
      </c>
      <c r="Y399" s="517">
        <f t="shared" si="181"/>
        <v>115.00700000000001</v>
      </c>
      <c r="Z399" s="517">
        <f>Z398*$F$397</f>
        <v>59.917999999999999</v>
      </c>
      <c r="AA399" s="517">
        <f>AA398*$F$397</f>
        <v>29.212</v>
      </c>
      <c r="AB399" s="517">
        <f>AB398*$F$397</f>
        <v>8.9339999999999993</v>
      </c>
      <c r="AC399" s="517">
        <f>AC398*$F$397</f>
        <v>3.516</v>
      </c>
      <c r="AD399" s="517">
        <v>0</v>
      </c>
    </row>
    <row r="400" spans="1:30">
      <c r="A400" s="455"/>
      <c r="B400" s="83" t="s">
        <v>517</v>
      </c>
      <c r="D400" s="5"/>
      <c r="E400" s="141"/>
      <c r="F400" s="141"/>
      <c r="G400" s="141"/>
      <c r="I400" s="667">
        <v>1</v>
      </c>
      <c r="J400" s="667">
        <f t="shared" ref="J400:AC400" si="182">I400</f>
        <v>1</v>
      </c>
      <c r="K400" s="667">
        <f t="shared" si="182"/>
        <v>1</v>
      </c>
      <c r="L400" s="667">
        <f t="shared" si="182"/>
        <v>1</v>
      </c>
      <c r="M400" s="667">
        <f t="shared" si="182"/>
        <v>1</v>
      </c>
      <c r="N400" s="667">
        <f t="shared" si="182"/>
        <v>1</v>
      </c>
      <c r="O400" s="667">
        <f t="shared" si="182"/>
        <v>1</v>
      </c>
      <c r="P400" s="667">
        <f t="shared" si="182"/>
        <v>1</v>
      </c>
      <c r="Q400" s="667">
        <f t="shared" si="182"/>
        <v>1</v>
      </c>
      <c r="R400" s="667">
        <f t="shared" si="182"/>
        <v>1</v>
      </c>
      <c r="S400" s="667">
        <f t="shared" si="182"/>
        <v>1</v>
      </c>
      <c r="T400" s="667">
        <f t="shared" si="182"/>
        <v>1</v>
      </c>
      <c r="U400" s="667">
        <f t="shared" si="182"/>
        <v>1</v>
      </c>
      <c r="V400" s="667">
        <f t="shared" si="182"/>
        <v>1</v>
      </c>
      <c r="W400" s="667">
        <f t="shared" si="182"/>
        <v>1</v>
      </c>
      <c r="X400" s="667">
        <f t="shared" si="182"/>
        <v>1</v>
      </c>
      <c r="Y400" s="667">
        <f t="shared" si="182"/>
        <v>1</v>
      </c>
      <c r="Z400" s="667">
        <f t="shared" si="182"/>
        <v>1</v>
      </c>
      <c r="AA400" s="667">
        <f t="shared" si="182"/>
        <v>1</v>
      </c>
      <c r="AB400" s="667">
        <f t="shared" si="182"/>
        <v>1</v>
      </c>
      <c r="AC400" s="667">
        <f t="shared" si="182"/>
        <v>1</v>
      </c>
    </row>
    <row r="401" spans="1:30">
      <c r="B401" s="83" t="s">
        <v>522</v>
      </c>
      <c r="D401" s="5"/>
      <c r="E401" s="141"/>
      <c r="F401" s="141"/>
      <c r="G401" s="141"/>
      <c r="H401" s="623"/>
      <c r="I401" s="666">
        <f>+I399*I400</f>
        <v>16.143000000000001</v>
      </c>
      <c r="J401" s="666">
        <f t="shared" ref="J401:Y401" si="183">+J399*J400</f>
        <v>362.26400000000001</v>
      </c>
      <c r="K401" s="666">
        <f t="shared" si="183"/>
        <v>611.79499999999996</v>
      </c>
      <c r="L401" s="666">
        <f t="shared" si="183"/>
        <v>803.25900000000001</v>
      </c>
      <c r="M401" s="666">
        <f t="shared" si="183"/>
        <v>888.62400000000002</v>
      </c>
      <c r="N401" s="666">
        <f t="shared" si="183"/>
        <v>969.21400000000006</v>
      </c>
      <c r="O401" s="666">
        <f t="shared" si="183"/>
        <v>902.53599999999994</v>
      </c>
      <c r="P401" s="666">
        <f t="shared" si="183"/>
        <v>809.74300000000005</v>
      </c>
      <c r="Q401" s="666">
        <f t="shared" si="183"/>
        <v>722.28800000000001</v>
      </c>
      <c r="R401" s="666">
        <f t="shared" si="183"/>
        <v>621.26</v>
      </c>
      <c r="S401" s="666">
        <f t="shared" si="183"/>
        <v>525.72</v>
      </c>
      <c r="T401" s="666">
        <f t="shared" si="183"/>
        <v>436.47399999999999</v>
      </c>
      <c r="U401" s="666">
        <f t="shared" si="183"/>
        <v>360.15100000000001</v>
      </c>
      <c r="V401" s="666">
        <f t="shared" si="183"/>
        <v>283.33199999999999</v>
      </c>
      <c r="W401" s="666">
        <f t="shared" si="183"/>
        <v>221.21600000000001</v>
      </c>
      <c r="X401" s="666">
        <f t="shared" si="183"/>
        <v>167.08</v>
      </c>
      <c r="Y401" s="666">
        <f t="shared" si="183"/>
        <v>115.00700000000001</v>
      </c>
      <c r="Z401" s="666">
        <f>+Z399*Z400</f>
        <v>59.917999999999999</v>
      </c>
      <c r="AA401" s="666">
        <f>+AA399*AA400</f>
        <v>29.212</v>
      </c>
      <c r="AB401" s="666">
        <f>+AB399*AB400</f>
        <v>8.9339999999999993</v>
      </c>
      <c r="AC401" s="666">
        <f>+AC399*AC400</f>
        <v>3.516</v>
      </c>
    </row>
    <row r="402" spans="1:30">
      <c r="A402" s="455"/>
      <c r="B402" s="5" t="s">
        <v>181</v>
      </c>
      <c r="D402" s="5"/>
      <c r="E402" s="141"/>
      <c r="F402" s="141"/>
      <c r="G402" s="141"/>
      <c r="H402" s="623"/>
      <c r="I402" s="667">
        <v>1</v>
      </c>
      <c r="J402" s="667">
        <f t="shared" ref="J402:AC402" si="184">I402</f>
        <v>1</v>
      </c>
      <c r="K402" s="667">
        <f t="shared" si="184"/>
        <v>1</v>
      </c>
      <c r="L402" s="667">
        <f t="shared" si="184"/>
        <v>1</v>
      </c>
      <c r="M402" s="667">
        <f t="shared" si="184"/>
        <v>1</v>
      </c>
      <c r="N402" s="667">
        <f t="shared" si="184"/>
        <v>1</v>
      </c>
      <c r="O402" s="667">
        <f t="shared" si="184"/>
        <v>1</v>
      </c>
      <c r="P402" s="667">
        <f t="shared" si="184"/>
        <v>1</v>
      </c>
      <c r="Q402" s="667">
        <f t="shared" si="184"/>
        <v>1</v>
      </c>
      <c r="R402" s="667">
        <f t="shared" si="184"/>
        <v>1</v>
      </c>
      <c r="S402" s="667">
        <f t="shared" si="184"/>
        <v>1</v>
      </c>
      <c r="T402" s="667">
        <f t="shared" si="184"/>
        <v>1</v>
      </c>
      <c r="U402" s="667">
        <f t="shared" si="184"/>
        <v>1</v>
      </c>
      <c r="V402" s="667">
        <f t="shared" si="184"/>
        <v>1</v>
      </c>
      <c r="W402" s="667">
        <f t="shared" si="184"/>
        <v>1</v>
      </c>
      <c r="X402" s="667">
        <f t="shared" si="184"/>
        <v>1</v>
      </c>
      <c r="Y402" s="667">
        <f t="shared" si="184"/>
        <v>1</v>
      </c>
      <c r="Z402" s="667">
        <f t="shared" si="184"/>
        <v>1</v>
      </c>
      <c r="AA402" s="667">
        <f t="shared" si="184"/>
        <v>1</v>
      </c>
      <c r="AB402" s="667">
        <f t="shared" si="184"/>
        <v>1</v>
      </c>
      <c r="AC402" s="667">
        <f t="shared" si="184"/>
        <v>1</v>
      </c>
    </row>
    <row r="403" spans="1:30">
      <c r="B403" s="83" t="s">
        <v>187</v>
      </c>
      <c r="D403" s="5"/>
      <c r="E403" s="141"/>
      <c r="F403" s="141"/>
      <c r="G403" s="141"/>
      <c r="H403" s="623"/>
      <c r="I403" s="666">
        <f>+I401*I402</f>
        <v>16.143000000000001</v>
      </c>
      <c r="J403" s="666">
        <f t="shared" ref="J403:Y403" si="185">+J401*J402</f>
        <v>362.26400000000001</v>
      </c>
      <c r="K403" s="666">
        <f t="shared" si="185"/>
        <v>611.79499999999996</v>
      </c>
      <c r="L403" s="666">
        <f t="shared" si="185"/>
        <v>803.25900000000001</v>
      </c>
      <c r="M403" s="666">
        <f t="shared" si="185"/>
        <v>888.62400000000002</v>
      </c>
      <c r="N403" s="666">
        <f t="shared" si="185"/>
        <v>969.21400000000006</v>
      </c>
      <c r="O403" s="666">
        <f t="shared" si="185"/>
        <v>902.53599999999994</v>
      </c>
      <c r="P403" s="666">
        <f t="shared" si="185"/>
        <v>809.74300000000005</v>
      </c>
      <c r="Q403" s="666">
        <f t="shared" si="185"/>
        <v>722.28800000000001</v>
      </c>
      <c r="R403" s="666">
        <f t="shared" si="185"/>
        <v>621.26</v>
      </c>
      <c r="S403" s="666">
        <f t="shared" si="185"/>
        <v>525.72</v>
      </c>
      <c r="T403" s="666">
        <f t="shared" si="185"/>
        <v>436.47399999999999</v>
      </c>
      <c r="U403" s="666">
        <f t="shared" si="185"/>
        <v>360.15100000000001</v>
      </c>
      <c r="V403" s="666">
        <f t="shared" si="185"/>
        <v>283.33199999999999</v>
      </c>
      <c r="W403" s="666">
        <f t="shared" si="185"/>
        <v>221.21600000000001</v>
      </c>
      <c r="X403" s="666">
        <f t="shared" si="185"/>
        <v>167.08</v>
      </c>
      <c r="Y403" s="666">
        <f t="shared" si="185"/>
        <v>115.00700000000001</v>
      </c>
      <c r="Z403" s="666">
        <f>+Z401*Z402</f>
        <v>59.917999999999999</v>
      </c>
      <c r="AA403" s="666">
        <f>+AA401*AA402</f>
        <v>29.212</v>
      </c>
      <c r="AB403" s="666">
        <f>+AB401*AB402</f>
        <v>8.9339999999999993</v>
      </c>
      <c r="AC403" s="666">
        <f>+AC401*AC402</f>
        <v>3.516</v>
      </c>
      <c r="AD403">
        <f>SUM(E403:AC403)</f>
        <v>8917.6859999999979</v>
      </c>
    </row>
    <row r="404" spans="1:30">
      <c r="A404" s="455"/>
      <c r="B404" s="339" t="s">
        <v>191</v>
      </c>
      <c r="D404" s="457" t="s">
        <v>164</v>
      </c>
      <c r="E404" s="458" t="s">
        <v>188</v>
      </c>
      <c r="F404" s="459" t="s">
        <v>189</v>
      </c>
      <c r="G404" s="459" t="s">
        <v>190</v>
      </c>
      <c r="H404" s="614"/>
      <c r="I404" s="623"/>
      <c r="J404" s="623"/>
      <c r="K404" s="623"/>
      <c r="L404" s="623"/>
      <c r="M404" s="623"/>
      <c r="N404" s="623"/>
      <c r="O404" s="623"/>
      <c r="P404" s="623"/>
      <c r="Q404" s="623"/>
      <c r="R404" s="623"/>
      <c r="S404" s="623"/>
      <c r="T404" s="623"/>
      <c r="U404" s="623"/>
      <c r="V404" s="623"/>
      <c r="W404" s="623"/>
      <c r="X404" s="623"/>
      <c r="Y404" s="623"/>
      <c r="Z404" s="623"/>
      <c r="AA404" s="623"/>
      <c r="AB404" s="623"/>
      <c r="AC404" s="623"/>
    </row>
    <row r="405" spans="1:30">
      <c r="A405" s="455"/>
      <c r="D405" s="502" t="s">
        <v>19</v>
      </c>
      <c r="E405" s="581"/>
      <c r="F405" s="581"/>
      <c r="G405" s="581"/>
      <c r="H405" s="614"/>
      <c r="I405" s="526">
        <v>1</v>
      </c>
      <c r="J405" s="526">
        <v>1</v>
      </c>
      <c r="K405" s="526">
        <v>1</v>
      </c>
      <c r="L405" s="526">
        <v>1</v>
      </c>
      <c r="M405" s="526">
        <v>1</v>
      </c>
      <c r="N405" s="526">
        <v>1</v>
      </c>
      <c r="O405" s="526">
        <v>1</v>
      </c>
      <c r="P405" s="526">
        <v>1</v>
      </c>
      <c r="Q405" s="526">
        <v>1</v>
      </c>
      <c r="R405" s="526">
        <v>1</v>
      </c>
      <c r="S405" s="526">
        <v>1</v>
      </c>
      <c r="T405" s="526">
        <v>1</v>
      </c>
      <c r="U405" s="526">
        <v>1</v>
      </c>
      <c r="V405" s="526">
        <v>1</v>
      </c>
      <c r="W405" s="526">
        <v>1</v>
      </c>
      <c r="X405" s="526">
        <v>1</v>
      </c>
      <c r="Y405" s="526">
        <v>1</v>
      </c>
      <c r="Z405" s="526">
        <v>1</v>
      </c>
      <c r="AA405" s="526">
        <v>1</v>
      </c>
      <c r="AB405" s="526">
        <v>1</v>
      </c>
      <c r="AC405" s="526">
        <v>1</v>
      </c>
    </row>
    <row r="406" spans="1:30">
      <c r="A406" s="455"/>
      <c r="B406" s="83" t="s">
        <v>192</v>
      </c>
      <c r="D406" s="5"/>
      <c r="I406" s="615">
        <f>+I405*I403</f>
        <v>16.143000000000001</v>
      </c>
      <c r="J406" s="615">
        <f t="shared" ref="J406:Y406" si="186">+J405*J403</f>
        <v>362.26400000000001</v>
      </c>
      <c r="K406" s="615">
        <f t="shared" si="186"/>
        <v>611.79499999999996</v>
      </c>
      <c r="L406" s="615">
        <f t="shared" si="186"/>
        <v>803.25900000000001</v>
      </c>
      <c r="M406" s="615">
        <f t="shared" si="186"/>
        <v>888.62400000000002</v>
      </c>
      <c r="N406" s="615">
        <f t="shared" si="186"/>
        <v>969.21400000000006</v>
      </c>
      <c r="O406" s="615">
        <f t="shared" si="186"/>
        <v>902.53599999999994</v>
      </c>
      <c r="P406" s="615">
        <f t="shared" si="186"/>
        <v>809.74300000000005</v>
      </c>
      <c r="Q406" s="615">
        <f t="shared" si="186"/>
        <v>722.28800000000001</v>
      </c>
      <c r="R406" s="615">
        <f t="shared" si="186"/>
        <v>621.26</v>
      </c>
      <c r="S406" s="615">
        <f t="shared" si="186"/>
        <v>525.72</v>
      </c>
      <c r="T406" s="615">
        <f t="shared" si="186"/>
        <v>436.47399999999999</v>
      </c>
      <c r="U406" s="615">
        <f t="shared" si="186"/>
        <v>360.15100000000001</v>
      </c>
      <c r="V406" s="615">
        <f t="shared" si="186"/>
        <v>283.33199999999999</v>
      </c>
      <c r="W406" s="615">
        <f t="shared" si="186"/>
        <v>221.21600000000001</v>
      </c>
      <c r="X406" s="615">
        <f t="shared" si="186"/>
        <v>167.08</v>
      </c>
      <c r="Y406" s="615">
        <f t="shared" si="186"/>
        <v>115.00700000000001</v>
      </c>
      <c r="Z406" s="615">
        <f>+Z405*Z403</f>
        <v>59.917999999999999</v>
      </c>
      <c r="AA406" s="615">
        <f>+AA405*AA403</f>
        <v>29.212</v>
      </c>
      <c r="AB406" s="615">
        <f>+AB405*AB403</f>
        <v>8.9339999999999993</v>
      </c>
      <c r="AC406" s="615">
        <f>+AC405*AC403</f>
        <v>3.516</v>
      </c>
    </row>
    <row r="407" spans="1:30">
      <c r="A407" s="455"/>
      <c r="B407" s="83"/>
      <c r="D407" s="5"/>
      <c r="I407" s="623"/>
      <c r="J407" s="623"/>
      <c r="K407" s="623"/>
      <c r="L407" s="623"/>
      <c r="M407" s="623"/>
      <c r="N407" s="623"/>
      <c r="O407" s="623"/>
      <c r="P407" s="623"/>
      <c r="Q407" s="623"/>
      <c r="R407" s="623"/>
      <c r="S407" s="623"/>
      <c r="T407" s="623"/>
      <c r="U407" s="623"/>
      <c r="V407" s="623"/>
      <c r="W407" s="623"/>
      <c r="X407" s="623"/>
      <c r="Y407" s="623"/>
      <c r="Z407" s="623"/>
      <c r="AA407" s="623"/>
      <c r="AB407" s="623"/>
      <c r="AC407" s="623"/>
    </row>
    <row r="408" spans="1:30">
      <c r="A408" s="455"/>
      <c r="B408" s="83" t="s">
        <v>523</v>
      </c>
      <c r="D408" s="219">
        <v>5</v>
      </c>
      <c r="I408" s="528">
        <f t="shared" ref="I408:AC408" si="187">IF($D408=1,I$197,IF($D408=2,I$200,IF($D408=3,I$202,IF($D408=4,I$204,IF($D408=5,I$206,IF($D408=5,I$208,I$197))))))</f>
        <v>0</v>
      </c>
      <c r="J408" s="528">
        <f t="shared" ca="1" si="187"/>
        <v>2.2389999999999999</v>
      </c>
      <c r="K408" s="528">
        <f t="shared" ca="1" si="187"/>
        <v>2.0167499999999996</v>
      </c>
      <c r="L408" s="528">
        <f t="shared" ca="1" si="187"/>
        <v>2.0158333333333331</v>
      </c>
      <c r="M408" s="528">
        <f t="shared" ca="1" si="187"/>
        <v>2.0045833333333336</v>
      </c>
      <c r="N408" s="528">
        <f t="shared" ca="1" si="187"/>
        <v>2.0054166666666666</v>
      </c>
      <c r="O408" s="528">
        <f t="shared" ca="1" si="187"/>
        <v>2.0133333333333332</v>
      </c>
      <c r="P408" s="528">
        <f t="shared" ca="1" si="187"/>
        <v>2.0291666666666663</v>
      </c>
      <c r="Q408" s="528">
        <f t="shared" ca="1" si="187"/>
        <v>2.0549999999999997</v>
      </c>
      <c r="R408" s="528">
        <f t="shared" ca="1" si="187"/>
        <v>2.0966666666666662</v>
      </c>
      <c r="S408" s="528">
        <f t="shared" ca="1" si="187"/>
        <v>2.1583333333333328</v>
      </c>
      <c r="T408" s="528">
        <f t="shared" ca="1" si="187"/>
        <v>2.2399999999999993</v>
      </c>
      <c r="U408" s="528">
        <f t="shared" ca="1" si="187"/>
        <v>2.3416666666666663</v>
      </c>
      <c r="V408" s="528">
        <f t="shared" ca="1" si="187"/>
        <v>2.4574999999999991</v>
      </c>
      <c r="W408" s="528">
        <f t="shared" ca="1" si="187"/>
        <v>2.5833333333333326</v>
      </c>
      <c r="X408" s="528">
        <f t="shared" ca="1" si="187"/>
        <v>2.7191666666666663</v>
      </c>
      <c r="Y408" s="528">
        <f t="shared" ca="1" si="187"/>
        <v>2.8649999999999998</v>
      </c>
      <c r="Z408" s="528">
        <f t="shared" ca="1" si="187"/>
        <v>3.0208333333333326</v>
      </c>
      <c r="AA408" s="528">
        <f t="shared" ca="1" si="187"/>
        <v>3.186666666666667</v>
      </c>
      <c r="AB408" s="528">
        <f t="shared" ca="1" si="187"/>
        <v>3.3625000000000003</v>
      </c>
      <c r="AC408" s="528">
        <f t="shared" ca="1" si="187"/>
        <v>3.5483333333333325</v>
      </c>
    </row>
    <row r="409" spans="1:30">
      <c r="A409" s="455"/>
      <c r="B409" s="83" t="s">
        <v>184</v>
      </c>
      <c r="D409" s="5"/>
      <c r="E409" s="444"/>
      <c r="F409" s="444"/>
      <c r="G409" s="444"/>
      <c r="H409" s="445"/>
      <c r="I409" s="526">
        <f>-0.375</f>
        <v>-0.375</v>
      </c>
      <c r="J409" s="526">
        <f t="shared" ref="J409:AC409" si="188">I409</f>
        <v>-0.375</v>
      </c>
      <c r="K409" s="526">
        <f t="shared" si="188"/>
        <v>-0.375</v>
      </c>
      <c r="L409" s="526">
        <f t="shared" si="188"/>
        <v>-0.375</v>
      </c>
      <c r="M409" s="526">
        <f t="shared" si="188"/>
        <v>-0.375</v>
      </c>
      <c r="N409" s="526">
        <f t="shared" si="188"/>
        <v>-0.375</v>
      </c>
      <c r="O409" s="526">
        <f t="shared" si="188"/>
        <v>-0.375</v>
      </c>
      <c r="P409" s="526">
        <f t="shared" si="188"/>
        <v>-0.375</v>
      </c>
      <c r="Q409" s="526">
        <f t="shared" si="188"/>
        <v>-0.375</v>
      </c>
      <c r="R409" s="526">
        <f t="shared" si="188"/>
        <v>-0.375</v>
      </c>
      <c r="S409" s="526">
        <f t="shared" si="188"/>
        <v>-0.375</v>
      </c>
      <c r="T409" s="526">
        <f t="shared" si="188"/>
        <v>-0.375</v>
      </c>
      <c r="U409" s="526">
        <f t="shared" si="188"/>
        <v>-0.375</v>
      </c>
      <c r="V409" s="526">
        <f t="shared" si="188"/>
        <v>-0.375</v>
      </c>
      <c r="W409" s="526">
        <f t="shared" si="188"/>
        <v>-0.375</v>
      </c>
      <c r="X409" s="526">
        <f t="shared" si="188"/>
        <v>-0.375</v>
      </c>
      <c r="Y409" s="526">
        <f t="shared" si="188"/>
        <v>-0.375</v>
      </c>
      <c r="Z409" s="526">
        <f t="shared" si="188"/>
        <v>-0.375</v>
      </c>
      <c r="AA409" s="526">
        <f t="shared" si="188"/>
        <v>-0.375</v>
      </c>
      <c r="AB409" s="526">
        <f t="shared" si="188"/>
        <v>-0.375</v>
      </c>
      <c r="AC409" s="526">
        <f t="shared" si="188"/>
        <v>-0.375</v>
      </c>
    </row>
    <row r="410" spans="1:30">
      <c r="A410" s="455"/>
      <c r="B410" s="83" t="s">
        <v>194</v>
      </c>
      <c r="D410" s="5"/>
      <c r="I410" s="532">
        <f>+I408+I409</f>
        <v>-0.375</v>
      </c>
      <c r="J410" s="532">
        <f t="shared" ref="J410:Y410" ca="1" si="189">+J408+J409</f>
        <v>1.8639999999999999</v>
      </c>
      <c r="K410" s="532">
        <f t="shared" ca="1" si="189"/>
        <v>1.6417499999999996</v>
      </c>
      <c r="L410" s="532">
        <f t="shared" ca="1" si="189"/>
        <v>1.6408333333333331</v>
      </c>
      <c r="M410" s="532">
        <f t="shared" ca="1" si="189"/>
        <v>1.6295833333333336</v>
      </c>
      <c r="N410" s="532">
        <f t="shared" ca="1" si="189"/>
        <v>1.6304166666666666</v>
      </c>
      <c r="O410" s="532">
        <f t="shared" ca="1" si="189"/>
        <v>1.6383333333333332</v>
      </c>
      <c r="P410" s="532">
        <f t="shared" ca="1" si="189"/>
        <v>1.6541666666666663</v>
      </c>
      <c r="Q410" s="532">
        <f t="shared" ca="1" si="189"/>
        <v>1.6799999999999997</v>
      </c>
      <c r="R410" s="532">
        <f t="shared" ca="1" si="189"/>
        <v>1.7216666666666662</v>
      </c>
      <c r="S410" s="532">
        <f t="shared" ca="1" si="189"/>
        <v>1.7833333333333328</v>
      </c>
      <c r="T410" s="532">
        <f t="shared" ca="1" si="189"/>
        <v>1.8649999999999993</v>
      </c>
      <c r="U410" s="532">
        <f t="shared" ca="1" si="189"/>
        <v>1.9666666666666663</v>
      </c>
      <c r="V410" s="532">
        <f t="shared" ca="1" si="189"/>
        <v>2.0824999999999991</v>
      </c>
      <c r="W410" s="532">
        <f t="shared" ca="1" si="189"/>
        <v>2.2083333333333326</v>
      </c>
      <c r="X410" s="532">
        <f t="shared" ca="1" si="189"/>
        <v>2.3441666666666663</v>
      </c>
      <c r="Y410" s="532">
        <f t="shared" ca="1" si="189"/>
        <v>2.4899999999999998</v>
      </c>
      <c r="Z410" s="532">
        <f ca="1">+Z408+Z409</f>
        <v>2.6458333333333326</v>
      </c>
      <c r="AA410" s="532">
        <f ca="1">+AA408+AA409</f>
        <v>2.811666666666667</v>
      </c>
      <c r="AB410" s="532">
        <f ca="1">+AB408+AB409</f>
        <v>2.9875000000000003</v>
      </c>
      <c r="AC410" s="532">
        <f ca="1">+AC408+AC409</f>
        <v>3.1733333333333325</v>
      </c>
    </row>
    <row r="411" spans="1:30">
      <c r="A411" s="455"/>
      <c r="B411" s="5" t="str">
        <f>+"Gas Revenues ($"&amp;$F$5</f>
        <v>Gas Revenues ($Thousands)</v>
      </c>
      <c r="D411" s="5"/>
      <c r="I411" s="615">
        <f>I406*1000*I410/unit</f>
        <v>-6.0536250000000003</v>
      </c>
      <c r="J411" s="615">
        <f t="shared" ref="J411:Y411" ca="1" si="190">J406*1000*J410/unit</f>
        <v>675.26009599999986</v>
      </c>
      <c r="K411" s="615">
        <f t="shared" ca="1" si="190"/>
        <v>1004.4144412499998</v>
      </c>
      <c r="L411" s="615">
        <f t="shared" ca="1" si="190"/>
        <v>1318.0141424999999</v>
      </c>
      <c r="M411" s="615">
        <f t="shared" ca="1" si="190"/>
        <v>1448.0868600000003</v>
      </c>
      <c r="N411" s="615">
        <f t="shared" ca="1" si="190"/>
        <v>1580.2226591666667</v>
      </c>
      <c r="O411" s="615">
        <f t="shared" ca="1" si="190"/>
        <v>1478.6548133333333</v>
      </c>
      <c r="P411" s="615">
        <f t="shared" ca="1" si="190"/>
        <v>1339.4498791666665</v>
      </c>
      <c r="Q411" s="615">
        <f t="shared" ca="1" si="190"/>
        <v>1213.4438399999999</v>
      </c>
      <c r="R411" s="615">
        <f t="shared" ca="1" si="190"/>
        <v>1069.602633333333</v>
      </c>
      <c r="S411" s="615">
        <f t="shared" ca="1" si="190"/>
        <v>937.53399999999965</v>
      </c>
      <c r="T411" s="615">
        <f t="shared" ca="1" si="190"/>
        <v>814.02400999999963</v>
      </c>
      <c r="U411" s="615">
        <f t="shared" ca="1" si="190"/>
        <v>708.29696666666655</v>
      </c>
      <c r="V411" s="615">
        <f t="shared" ca="1" si="190"/>
        <v>590.03888999999981</v>
      </c>
      <c r="W411" s="615">
        <f t="shared" ca="1" si="190"/>
        <v>488.51866666666649</v>
      </c>
      <c r="X411" s="615">
        <f t="shared" ca="1" si="190"/>
        <v>391.6633666666666</v>
      </c>
      <c r="Y411" s="615">
        <f t="shared" ca="1" si="190"/>
        <v>286.36743000000001</v>
      </c>
      <c r="Z411" s="615">
        <f ca="1">Z406*1000*Z410/unit</f>
        <v>158.53304166666663</v>
      </c>
      <c r="AA411" s="615">
        <f ca="1">AA406*1000*AA410/unit</f>
        <v>82.134406666666678</v>
      </c>
      <c r="AB411" s="615">
        <f ca="1">AB406*1000*AB410/unit</f>
        <v>26.690325000000001</v>
      </c>
      <c r="AC411" s="615">
        <f ca="1">AC406*1000*AC410/unit</f>
        <v>11.157439999999998</v>
      </c>
    </row>
    <row r="412" spans="1:30">
      <c r="A412" s="455"/>
      <c r="B412" s="5"/>
      <c r="D412" s="5"/>
      <c r="E412" s="141"/>
      <c r="F412" s="141"/>
      <c r="G412" s="141"/>
      <c r="H412" s="614"/>
      <c r="I412" s="623"/>
      <c r="J412" s="623"/>
      <c r="K412" s="623"/>
      <c r="L412" s="623"/>
      <c r="M412" s="623"/>
      <c r="N412" s="623"/>
      <c r="O412" s="623"/>
      <c r="P412" s="623"/>
      <c r="Q412" s="623"/>
      <c r="R412" s="623"/>
      <c r="S412" s="623"/>
      <c r="T412" s="623"/>
      <c r="U412" s="623"/>
      <c r="V412" s="623"/>
      <c r="W412" s="623"/>
      <c r="X412" s="623"/>
      <c r="Y412" s="624"/>
      <c r="Z412" s="624"/>
      <c r="AA412" s="624"/>
      <c r="AB412" s="624"/>
      <c r="AC412" s="624"/>
    </row>
    <row r="413" spans="1:30">
      <c r="A413" s="455" t="s">
        <v>524</v>
      </c>
      <c r="B413" s="5" t="s">
        <v>525</v>
      </c>
      <c r="D413" s="5"/>
      <c r="E413" s="141"/>
      <c r="F413" s="141"/>
      <c r="G413" s="141"/>
      <c r="H413" s="614"/>
      <c r="I413" s="517">
        <v>0</v>
      </c>
      <c r="J413" s="517">
        <v>0</v>
      </c>
      <c r="K413" s="517">
        <v>0</v>
      </c>
      <c r="L413" s="517">
        <v>0</v>
      </c>
      <c r="M413" s="517">
        <v>0</v>
      </c>
      <c r="N413" s="517">
        <v>0</v>
      </c>
      <c r="O413" s="517">
        <v>0</v>
      </c>
      <c r="P413" s="517">
        <v>0</v>
      </c>
      <c r="Q413" s="517">
        <v>0</v>
      </c>
      <c r="R413" s="517">
        <v>0</v>
      </c>
      <c r="S413" s="517">
        <v>0</v>
      </c>
      <c r="T413" s="517">
        <v>0</v>
      </c>
      <c r="U413" s="517">
        <v>0</v>
      </c>
      <c r="V413" s="517">
        <v>0</v>
      </c>
      <c r="W413" s="517">
        <v>0</v>
      </c>
      <c r="X413" s="517">
        <v>0</v>
      </c>
      <c r="Y413" s="517">
        <v>0</v>
      </c>
      <c r="Z413" s="517">
        <v>0</v>
      </c>
      <c r="AA413" s="517">
        <v>0</v>
      </c>
      <c r="AB413" s="517">
        <v>0</v>
      </c>
      <c r="AC413" s="517">
        <v>0</v>
      </c>
    </row>
    <row r="414" spans="1:30">
      <c r="A414" s="455"/>
      <c r="B414" s="83" t="s">
        <v>517</v>
      </c>
      <c r="D414" s="5"/>
      <c r="E414" s="141"/>
      <c r="F414" s="141"/>
      <c r="G414" s="141"/>
      <c r="H414" s="614"/>
      <c r="I414" s="667">
        <v>1</v>
      </c>
      <c r="J414" s="667">
        <f t="shared" ref="J414:AC414" si="191">I414</f>
        <v>1</v>
      </c>
      <c r="K414" s="667">
        <f t="shared" si="191"/>
        <v>1</v>
      </c>
      <c r="L414" s="667">
        <f t="shared" si="191"/>
        <v>1</v>
      </c>
      <c r="M414" s="667">
        <f t="shared" si="191"/>
        <v>1</v>
      </c>
      <c r="N414" s="667">
        <f t="shared" si="191"/>
        <v>1</v>
      </c>
      <c r="O414" s="667">
        <f t="shared" si="191"/>
        <v>1</v>
      </c>
      <c r="P414" s="667">
        <f t="shared" si="191"/>
        <v>1</v>
      </c>
      <c r="Q414" s="667">
        <f t="shared" si="191"/>
        <v>1</v>
      </c>
      <c r="R414" s="667">
        <f t="shared" si="191"/>
        <v>1</v>
      </c>
      <c r="S414" s="667">
        <f t="shared" si="191"/>
        <v>1</v>
      </c>
      <c r="T414" s="667">
        <f t="shared" si="191"/>
        <v>1</v>
      </c>
      <c r="U414" s="667">
        <f t="shared" si="191"/>
        <v>1</v>
      </c>
      <c r="V414" s="667">
        <f t="shared" si="191"/>
        <v>1</v>
      </c>
      <c r="W414" s="667">
        <f t="shared" si="191"/>
        <v>1</v>
      </c>
      <c r="X414" s="667">
        <f t="shared" si="191"/>
        <v>1</v>
      </c>
      <c r="Y414" s="667">
        <f t="shared" si="191"/>
        <v>1</v>
      </c>
      <c r="Z414" s="667">
        <f t="shared" si="191"/>
        <v>1</v>
      </c>
      <c r="AA414" s="667">
        <f t="shared" si="191"/>
        <v>1</v>
      </c>
      <c r="AB414" s="667">
        <f t="shared" si="191"/>
        <v>1</v>
      </c>
      <c r="AC414" s="667">
        <f t="shared" si="191"/>
        <v>1</v>
      </c>
    </row>
    <row r="415" spans="1:30">
      <c r="B415" s="83" t="s">
        <v>526</v>
      </c>
      <c r="D415" s="5"/>
      <c r="E415" s="418"/>
      <c r="F415" s="418"/>
      <c r="G415" s="418"/>
      <c r="H415" s="623"/>
      <c r="I415" s="666">
        <f>+I413*I414</f>
        <v>0</v>
      </c>
      <c r="J415" s="666">
        <f t="shared" ref="J415:Y415" si="192">+J413*J414</f>
        <v>0</v>
      </c>
      <c r="K415" s="666">
        <f t="shared" si="192"/>
        <v>0</v>
      </c>
      <c r="L415" s="666">
        <f t="shared" si="192"/>
        <v>0</v>
      </c>
      <c r="M415" s="666">
        <f t="shared" si="192"/>
        <v>0</v>
      </c>
      <c r="N415" s="666">
        <f t="shared" si="192"/>
        <v>0</v>
      </c>
      <c r="O415" s="666">
        <f t="shared" si="192"/>
        <v>0</v>
      </c>
      <c r="P415" s="666">
        <f t="shared" si="192"/>
        <v>0</v>
      </c>
      <c r="Q415" s="666">
        <f t="shared" si="192"/>
        <v>0</v>
      </c>
      <c r="R415" s="666">
        <f t="shared" si="192"/>
        <v>0</v>
      </c>
      <c r="S415" s="666">
        <f t="shared" si="192"/>
        <v>0</v>
      </c>
      <c r="T415" s="666">
        <f t="shared" si="192"/>
        <v>0</v>
      </c>
      <c r="U415" s="666">
        <f t="shared" si="192"/>
        <v>0</v>
      </c>
      <c r="V415" s="666">
        <f t="shared" si="192"/>
        <v>0</v>
      </c>
      <c r="W415" s="666">
        <f t="shared" si="192"/>
        <v>0</v>
      </c>
      <c r="X415" s="666">
        <f t="shared" si="192"/>
        <v>0</v>
      </c>
      <c r="Y415" s="666">
        <f t="shared" si="192"/>
        <v>0</v>
      </c>
      <c r="Z415" s="666">
        <f>+Z413*Z414</f>
        <v>0</v>
      </c>
      <c r="AA415" s="666">
        <f>+AA413*AA414</f>
        <v>0</v>
      </c>
      <c r="AB415" s="666">
        <f>+AB413*AB414</f>
        <v>0</v>
      </c>
      <c r="AC415" s="666">
        <f>+AC413*AC414</f>
        <v>0</v>
      </c>
    </row>
    <row r="416" spans="1:30">
      <c r="A416" s="455"/>
      <c r="B416" s="5" t="s">
        <v>181</v>
      </c>
      <c r="D416" s="5"/>
      <c r="E416" s="418"/>
      <c r="F416" s="418"/>
      <c r="G416" s="418"/>
      <c r="H416" s="623"/>
      <c r="I416" s="667">
        <v>1</v>
      </c>
      <c r="J416" s="667">
        <f t="shared" ref="J416:AC416" si="193">I416</f>
        <v>1</v>
      </c>
      <c r="K416" s="667">
        <f t="shared" si="193"/>
        <v>1</v>
      </c>
      <c r="L416" s="667">
        <f t="shared" si="193"/>
        <v>1</v>
      </c>
      <c r="M416" s="667">
        <f t="shared" si="193"/>
        <v>1</v>
      </c>
      <c r="N416" s="667">
        <f t="shared" si="193"/>
        <v>1</v>
      </c>
      <c r="O416" s="667">
        <f t="shared" si="193"/>
        <v>1</v>
      </c>
      <c r="P416" s="667">
        <f t="shared" si="193"/>
        <v>1</v>
      </c>
      <c r="Q416" s="667">
        <f t="shared" si="193"/>
        <v>1</v>
      </c>
      <c r="R416" s="667">
        <f t="shared" si="193"/>
        <v>1</v>
      </c>
      <c r="S416" s="667">
        <f t="shared" si="193"/>
        <v>1</v>
      </c>
      <c r="T416" s="667">
        <f t="shared" si="193"/>
        <v>1</v>
      </c>
      <c r="U416" s="667">
        <f t="shared" si="193"/>
        <v>1</v>
      </c>
      <c r="V416" s="667">
        <f t="shared" si="193"/>
        <v>1</v>
      </c>
      <c r="W416" s="667">
        <f t="shared" si="193"/>
        <v>1</v>
      </c>
      <c r="X416" s="667">
        <f t="shared" si="193"/>
        <v>1</v>
      </c>
      <c r="Y416" s="667">
        <f t="shared" si="193"/>
        <v>1</v>
      </c>
      <c r="Z416" s="667">
        <f t="shared" si="193"/>
        <v>1</v>
      </c>
      <c r="AA416" s="667">
        <f t="shared" si="193"/>
        <v>1</v>
      </c>
      <c r="AB416" s="667">
        <f t="shared" si="193"/>
        <v>1</v>
      </c>
      <c r="AC416" s="667">
        <f t="shared" si="193"/>
        <v>1</v>
      </c>
    </row>
    <row r="417" spans="1:29">
      <c r="B417" s="83" t="s">
        <v>527</v>
      </c>
      <c r="D417" s="5"/>
      <c r="I417" s="666">
        <f>+I415*I416</f>
        <v>0</v>
      </c>
      <c r="J417" s="666">
        <f t="shared" ref="J417:Y417" si="194">+J415*J416</f>
        <v>0</v>
      </c>
      <c r="K417" s="666">
        <f t="shared" si="194"/>
        <v>0</v>
      </c>
      <c r="L417" s="666">
        <f t="shared" si="194"/>
        <v>0</v>
      </c>
      <c r="M417" s="666">
        <f t="shared" si="194"/>
        <v>0</v>
      </c>
      <c r="N417" s="666">
        <f t="shared" si="194"/>
        <v>0</v>
      </c>
      <c r="O417" s="666">
        <f t="shared" si="194"/>
        <v>0</v>
      </c>
      <c r="P417" s="666">
        <f t="shared" si="194"/>
        <v>0</v>
      </c>
      <c r="Q417" s="666">
        <f t="shared" si="194"/>
        <v>0</v>
      </c>
      <c r="R417" s="666">
        <f t="shared" si="194"/>
        <v>0</v>
      </c>
      <c r="S417" s="666">
        <f t="shared" si="194"/>
        <v>0</v>
      </c>
      <c r="T417" s="666">
        <f t="shared" si="194"/>
        <v>0</v>
      </c>
      <c r="U417" s="666">
        <f t="shared" si="194"/>
        <v>0</v>
      </c>
      <c r="V417" s="666">
        <f t="shared" si="194"/>
        <v>0</v>
      </c>
      <c r="W417" s="666">
        <f t="shared" si="194"/>
        <v>0</v>
      </c>
      <c r="X417" s="666">
        <f t="shared" si="194"/>
        <v>0</v>
      </c>
      <c r="Y417" s="666">
        <f t="shared" si="194"/>
        <v>0</v>
      </c>
      <c r="Z417" s="666">
        <f>+Z415*Z416</f>
        <v>0</v>
      </c>
      <c r="AA417" s="666">
        <f>+AA415*AA416</f>
        <v>0</v>
      </c>
      <c r="AB417" s="666">
        <f>+AB415*AB416</f>
        <v>0</v>
      </c>
      <c r="AC417" s="666">
        <f>+AC415*AC416</f>
        <v>0</v>
      </c>
    </row>
    <row r="418" spans="1:29">
      <c r="D418" s="5"/>
    </row>
    <row r="419" spans="1:29">
      <c r="A419" s="15"/>
      <c r="B419" s="83" t="s">
        <v>528</v>
      </c>
      <c r="D419" s="219">
        <v>1</v>
      </c>
      <c r="I419" s="518">
        <f t="shared" ref="I419:AC419" si="195">IF($D419=1,I$227,IF($D419=2,I$230,IF($D419=3,I$232,IF($D419=4,I$234,IF($D419=5,I$236,I$227)))))</f>
        <v>0</v>
      </c>
      <c r="J419" s="518">
        <f t="shared" ca="1" si="195"/>
        <v>16.997552222222218</v>
      </c>
      <c r="K419" s="518">
        <f t="shared" ca="1" si="195"/>
        <v>14.999466666666665</v>
      </c>
      <c r="L419" s="518">
        <f t="shared" ca="1" si="195"/>
        <v>14.491101666666665</v>
      </c>
      <c r="M419" s="518">
        <f t="shared" ca="1" si="195"/>
        <v>14.5531825</v>
      </c>
      <c r="N419" s="518">
        <f t="shared" ca="1" si="195"/>
        <v>14.6748425</v>
      </c>
      <c r="O419" s="518">
        <f t="shared" ca="1" si="195"/>
        <v>14.797819166666669</v>
      </c>
      <c r="P419" s="518">
        <f t="shared" ca="1" si="195"/>
        <v>14.935871666666667</v>
      </c>
      <c r="Q419" s="518">
        <f t="shared" ca="1" si="195"/>
        <v>15.087551666666668</v>
      </c>
      <c r="R419" s="518">
        <f t="shared" ca="1" si="195"/>
        <v>15.247592499999998</v>
      </c>
      <c r="S419" s="518">
        <f t="shared" ca="1" si="195"/>
        <v>15.413295000000002</v>
      </c>
      <c r="T419" s="518">
        <f t="shared" ca="1" si="195"/>
        <v>15.578865833333339</v>
      </c>
      <c r="U419" s="518">
        <f t="shared" ca="1" si="195"/>
        <v>15.745029166666663</v>
      </c>
      <c r="V419" s="518">
        <f t="shared" ca="1" si="195"/>
        <v>15.910929166666664</v>
      </c>
      <c r="W419" s="518">
        <f t="shared" ca="1" si="195"/>
        <v>16.076697500000002</v>
      </c>
      <c r="X419" s="518">
        <f t="shared" ca="1" si="195"/>
        <v>16.46669416666667</v>
      </c>
      <c r="Y419" s="518">
        <f t="shared" ca="1" si="195"/>
        <v>16.848198333333336</v>
      </c>
      <c r="Z419" s="518">
        <f t="shared" ca="1" si="195"/>
        <v>17.085527499999994</v>
      </c>
      <c r="AA419" s="518">
        <f t="shared" ca="1" si="195"/>
        <v>17.322329999999997</v>
      </c>
      <c r="AB419" s="518">
        <f t="shared" ca="1" si="195"/>
        <v>17.55906666666667</v>
      </c>
      <c r="AC419" s="518">
        <f t="shared" ca="1" si="195"/>
        <v>17.737079999999999</v>
      </c>
    </row>
    <row r="420" spans="1:29">
      <c r="A420" s="15"/>
      <c r="B420" s="83" t="s">
        <v>184</v>
      </c>
      <c r="D420" s="5"/>
      <c r="I420" s="519">
        <v>0</v>
      </c>
      <c r="J420" s="519">
        <v>0</v>
      </c>
      <c r="K420" s="519">
        <v>0</v>
      </c>
      <c r="L420" s="519">
        <v>0</v>
      </c>
      <c r="M420" s="519">
        <v>0</v>
      </c>
      <c r="N420" s="519">
        <v>0</v>
      </c>
      <c r="O420" s="519">
        <v>0</v>
      </c>
      <c r="P420" s="519">
        <v>0</v>
      </c>
      <c r="Q420" s="519">
        <v>0</v>
      </c>
      <c r="R420" s="519">
        <v>0</v>
      </c>
      <c r="S420" s="519">
        <v>0</v>
      </c>
      <c r="T420" s="519">
        <v>0</v>
      </c>
      <c r="U420" s="519">
        <v>0</v>
      </c>
      <c r="V420" s="519">
        <v>0</v>
      </c>
      <c r="W420" s="519">
        <v>0</v>
      </c>
      <c r="X420" s="519">
        <v>0</v>
      </c>
      <c r="Y420" s="519">
        <v>0</v>
      </c>
      <c r="Z420" s="519">
        <v>0</v>
      </c>
      <c r="AA420" s="519">
        <v>0</v>
      </c>
      <c r="AB420" s="519">
        <v>0</v>
      </c>
      <c r="AC420" s="519">
        <v>0</v>
      </c>
    </row>
    <row r="421" spans="1:29">
      <c r="A421" s="15"/>
      <c r="B421" s="83" t="s">
        <v>529</v>
      </c>
      <c r="D421" s="5"/>
      <c r="I421" s="520">
        <f>+I419+I420</f>
        <v>0</v>
      </c>
      <c r="J421" s="520">
        <f t="shared" ref="J421:Z421" ca="1" si="196">+J419+J420</f>
        <v>16.997552222222218</v>
      </c>
      <c r="K421" s="520">
        <f t="shared" ca="1" si="196"/>
        <v>14.999466666666665</v>
      </c>
      <c r="L421" s="520">
        <f t="shared" ca="1" si="196"/>
        <v>14.491101666666665</v>
      </c>
      <c r="M421" s="520">
        <f t="shared" ca="1" si="196"/>
        <v>14.5531825</v>
      </c>
      <c r="N421" s="520">
        <f t="shared" ca="1" si="196"/>
        <v>14.6748425</v>
      </c>
      <c r="O421" s="520">
        <f t="shared" ca="1" si="196"/>
        <v>14.797819166666669</v>
      </c>
      <c r="P421" s="520">
        <f t="shared" ca="1" si="196"/>
        <v>14.935871666666667</v>
      </c>
      <c r="Q421" s="520">
        <f t="shared" ca="1" si="196"/>
        <v>15.087551666666668</v>
      </c>
      <c r="R421" s="520">
        <f t="shared" ca="1" si="196"/>
        <v>15.247592499999998</v>
      </c>
      <c r="S421" s="520">
        <f t="shared" ca="1" si="196"/>
        <v>15.413295000000002</v>
      </c>
      <c r="T421" s="520">
        <f t="shared" ca="1" si="196"/>
        <v>15.578865833333339</v>
      </c>
      <c r="U421" s="520">
        <f t="shared" ca="1" si="196"/>
        <v>15.745029166666663</v>
      </c>
      <c r="V421" s="520">
        <f t="shared" ca="1" si="196"/>
        <v>15.910929166666664</v>
      </c>
      <c r="W421" s="520">
        <f t="shared" ca="1" si="196"/>
        <v>16.076697500000002</v>
      </c>
      <c r="X421" s="520">
        <f t="shared" ca="1" si="196"/>
        <v>16.46669416666667</v>
      </c>
      <c r="Y421" s="520">
        <f t="shared" ca="1" si="196"/>
        <v>16.848198333333336</v>
      </c>
      <c r="Z421" s="520">
        <f t="shared" ca="1" si="196"/>
        <v>17.085527499999994</v>
      </c>
      <c r="AA421" s="520">
        <f ca="1">+AA419+AA420</f>
        <v>17.322329999999997</v>
      </c>
      <c r="AB421" s="520">
        <f ca="1">+AB419+AB420</f>
        <v>17.55906666666667</v>
      </c>
      <c r="AC421" s="520">
        <f ca="1">+AC419+AC420</f>
        <v>17.737079999999999</v>
      </c>
    </row>
    <row r="422" spans="1:29">
      <c r="A422" s="15"/>
      <c r="B422" s="5" t="str">
        <f>+"NGL Revenue ($"&amp;$F$5</f>
        <v>NGL Revenue ($Thousands)</v>
      </c>
      <c r="D422" s="5"/>
      <c r="I422" s="615">
        <f t="shared" ref="I422:X422" si="197">I417*I421*1000/unit</f>
        <v>0</v>
      </c>
      <c r="J422" s="615">
        <f t="shared" ca="1" si="197"/>
        <v>0</v>
      </c>
      <c r="K422" s="615">
        <f t="shared" ca="1" si="197"/>
        <v>0</v>
      </c>
      <c r="L422" s="615">
        <f t="shared" ca="1" si="197"/>
        <v>0</v>
      </c>
      <c r="M422" s="615">
        <f t="shared" ca="1" si="197"/>
        <v>0</v>
      </c>
      <c r="N422" s="615">
        <f t="shared" ca="1" si="197"/>
        <v>0</v>
      </c>
      <c r="O422" s="615">
        <f t="shared" ca="1" si="197"/>
        <v>0</v>
      </c>
      <c r="P422" s="615">
        <f t="shared" ca="1" si="197"/>
        <v>0</v>
      </c>
      <c r="Q422" s="615">
        <f t="shared" ca="1" si="197"/>
        <v>0</v>
      </c>
      <c r="R422" s="615">
        <f t="shared" ca="1" si="197"/>
        <v>0</v>
      </c>
      <c r="S422" s="615">
        <f t="shared" ca="1" si="197"/>
        <v>0</v>
      </c>
      <c r="T422" s="615">
        <f t="shared" ca="1" si="197"/>
        <v>0</v>
      </c>
      <c r="U422" s="615">
        <f t="shared" ca="1" si="197"/>
        <v>0</v>
      </c>
      <c r="V422" s="615">
        <f t="shared" ca="1" si="197"/>
        <v>0</v>
      </c>
      <c r="W422" s="615">
        <f t="shared" ca="1" si="197"/>
        <v>0</v>
      </c>
      <c r="X422" s="615">
        <f t="shared" ca="1" si="197"/>
        <v>0</v>
      </c>
      <c r="Y422" s="615">
        <f ca="1">Y417*Y421*1000/unit</f>
        <v>0</v>
      </c>
      <c r="Z422" s="615">
        <f ca="1">Z417*Z421*1000/unit</f>
        <v>0</v>
      </c>
      <c r="AA422" s="615">
        <f ca="1">AA417*AA421*1000/unit</f>
        <v>0</v>
      </c>
      <c r="AB422" s="615">
        <f ca="1">AB417*AB421*1000/unit</f>
        <v>0</v>
      </c>
      <c r="AC422" s="615">
        <f ca="1">AC417*AC421*1000/unit</f>
        <v>0</v>
      </c>
    </row>
    <row r="423" spans="1:29">
      <c r="A423" s="15"/>
      <c r="B423" s="5"/>
      <c r="D423" s="5"/>
      <c r="E423" s="418"/>
      <c r="F423" s="418"/>
      <c r="G423" s="418"/>
      <c r="H423" s="614"/>
      <c r="I423" s="623"/>
      <c r="J423" s="623"/>
      <c r="K423" s="623"/>
      <c r="L423" s="623"/>
      <c r="M423" s="623"/>
      <c r="N423" s="623"/>
      <c r="O423" s="623"/>
      <c r="P423" s="623"/>
      <c r="Q423" s="623"/>
      <c r="R423" s="623"/>
      <c r="S423" s="623"/>
      <c r="T423" s="623"/>
      <c r="U423" s="623"/>
      <c r="V423" s="623"/>
      <c r="W423" s="623"/>
      <c r="X423" s="623"/>
      <c r="Y423" s="624"/>
      <c r="Z423" s="624"/>
      <c r="AA423" s="624"/>
      <c r="AB423" s="624"/>
      <c r="AC423" s="624"/>
    </row>
    <row r="424" spans="1:29">
      <c r="A424" s="337" t="str">
        <f>+"Total Revenues - "&amp;C14</f>
        <v>Total Revenues - PUD</v>
      </c>
      <c r="D424" s="5"/>
      <c r="E424" s="484">
        <v>0</v>
      </c>
      <c r="F424" s="484">
        <v>0</v>
      </c>
      <c r="G424" s="484">
        <v>0</v>
      </c>
      <c r="H424" s="484">
        <v>0</v>
      </c>
      <c r="I424" s="623">
        <f>I411+I395+I422</f>
        <v>-6.0536250000000003</v>
      </c>
      <c r="J424" s="623">
        <f t="shared" ref="J424:Z424" ca="1" si="198">J411+J395+J422</f>
        <v>675.26009599999986</v>
      </c>
      <c r="K424" s="623">
        <f t="shared" ca="1" si="198"/>
        <v>1004.4144412499998</v>
      </c>
      <c r="L424" s="623">
        <f t="shared" ca="1" si="198"/>
        <v>1318.0141424999999</v>
      </c>
      <c r="M424" s="623">
        <f t="shared" ca="1" si="198"/>
        <v>1448.0868600000003</v>
      </c>
      <c r="N424" s="623">
        <f t="shared" ca="1" si="198"/>
        <v>1580.2226591666667</v>
      </c>
      <c r="O424" s="623">
        <f t="shared" ca="1" si="198"/>
        <v>1478.6548133333333</v>
      </c>
      <c r="P424" s="623">
        <f t="shared" ca="1" si="198"/>
        <v>1339.4498791666665</v>
      </c>
      <c r="Q424" s="623">
        <f t="shared" ca="1" si="198"/>
        <v>1213.4438399999999</v>
      </c>
      <c r="R424" s="623">
        <f t="shared" ca="1" si="198"/>
        <v>1069.602633333333</v>
      </c>
      <c r="S424" s="623">
        <f t="shared" ca="1" si="198"/>
        <v>937.53399999999965</v>
      </c>
      <c r="T424" s="623">
        <f t="shared" ca="1" si="198"/>
        <v>814.02400999999963</v>
      </c>
      <c r="U424" s="623">
        <f t="shared" ca="1" si="198"/>
        <v>708.29696666666655</v>
      </c>
      <c r="V424" s="623">
        <f t="shared" ca="1" si="198"/>
        <v>590.03888999999981</v>
      </c>
      <c r="W424" s="623">
        <f t="shared" ca="1" si="198"/>
        <v>488.51866666666649</v>
      </c>
      <c r="X424" s="623">
        <f t="shared" ca="1" si="198"/>
        <v>391.6633666666666</v>
      </c>
      <c r="Y424" s="623">
        <f t="shared" ca="1" si="198"/>
        <v>286.36743000000001</v>
      </c>
      <c r="Z424" s="623">
        <f t="shared" ca="1" si="198"/>
        <v>158.53304166666663</v>
      </c>
      <c r="AA424" s="623">
        <f ca="1">AA411+AA395+AA422</f>
        <v>82.134406666666678</v>
      </c>
      <c r="AB424" s="623">
        <f ca="1">AB411+AB395+AB422</f>
        <v>26.690325000000001</v>
      </c>
      <c r="AC424" s="623">
        <f ca="1">AC411+AC395+AC422</f>
        <v>11.157439999999998</v>
      </c>
    </row>
    <row r="425" spans="1:29" ht="12" thickBot="1">
      <c r="A425" s="15"/>
      <c r="B425" s="5"/>
      <c r="D425" s="5"/>
      <c r="E425" s="141"/>
      <c r="F425" s="141"/>
      <c r="G425" s="141"/>
      <c r="H425" s="614"/>
      <c r="I425" s="623"/>
      <c r="J425" s="623"/>
      <c r="K425" s="623"/>
      <c r="L425" s="623"/>
      <c r="M425" s="623"/>
      <c r="N425" s="623"/>
      <c r="O425" s="623"/>
      <c r="P425" s="623"/>
      <c r="Q425" s="623"/>
      <c r="R425" s="623"/>
      <c r="S425" s="623"/>
      <c r="T425" s="623"/>
      <c r="U425" s="623"/>
      <c r="V425" s="623"/>
      <c r="W425" s="623"/>
      <c r="X425" s="623"/>
      <c r="Y425" s="624"/>
      <c r="Z425" s="624"/>
      <c r="AA425" s="624"/>
      <c r="AB425" s="624"/>
      <c r="AC425" s="624"/>
    </row>
    <row r="426" spans="1:29" ht="12" thickTop="1">
      <c r="A426" s="443"/>
      <c r="B426" s="443"/>
      <c r="C426" s="443"/>
      <c r="D426" s="443"/>
      <c r="E426" s="443"/>
      <c r="F426" s="443"/>
      <c r="G426" s="443"/>
      <c r="H426" s="443"/>
      <c r="I426" s="443"/>
      <c r="J426" s="443"/>
      <c r="K426" s="443"/>
      <c r="L426" s="443"/>
      <c r="M426" s="443"/>
      <c r="N426" s="443"/>
      <c r="O426" s="443"/>
      <c r="P426" s="443"/>
      <c r="Q426" s="443"/>
      <c r="R426" s="443"/>
      <c r="S426" s="443"/>
      <c r="T426" s="443"/>
      <c r="U426" s="443"/>
      <c r="V426" s="443"/>
      <c r="W426" s="443"/>
      <c r="X426" s="443"/>
      <c r="Y426" s="443"/>
      <c r="Z426" s="443"/>
      <c r="AA426" s="443"/>
      <c r="AB426" s="443"/>
      <c r="AC426" s="443"/>
    </row>
    <row r="427" spans="1:29">
      <c r="A427" s="15"/>
      <c r="B427" s="15" t="s">
        <v>196</v>
      </c>
      <c r="C427" s="330"/>
      <c r="D427" s="330"/>
      <c r="E427" s="614"/>
      <c r="F427" s="614"/>
      <c r="G427" s="614"/>
      <c r="H427" s="614"/>
      <c r="I427" s="623"/>
      <c r="J427" s="623"/>
      <c r="K427" s="623"/>
      <c r="L427" s="623"/>
      <c r="M427" s="623"/>
      <c r="N427" s="623"/>
      <c r="O427" s="623"/>
      <c r="P427" s="623"/>
      <c r="Q427" s="623"/>
      <c r="R427" s="623"/>
      <c r="S427" s="623"/>
      <c r="T427" s="623"/>
      <c r="U427" s="623"/>
      <c r="V427" s="623"/>
      <c r="W427" s="623"/>
      <c r="X427" s="623"/>
      <c r="Y427" s="623"/>
      <c r="Z427" s="623"/>
      <c r="AA427" s="623"/>
      <c r="AB427" s="623"/>
      <c r="AC427" s="623"/>
    </row>
    <row r="428" spans="1:29">
      <c r="A428" s="15"/>
      <c r="B428" s="308" t="s">
        <v>197</v>
      </c>
      <c r="C428" s="416" t="s">
        <v>198</v>
      </c>
      <c r="D428" s="219">
        <v>6</v>
      </c>
      <c r="F428" s="614"/>
      <c r="G428" s="614"/>
      <c r="H428" s="618" t="s">
        <v>199</v>
      </c>
      <c r="I428" s="623">
        <f>(I390+(I406/$D428)+I417)*1000</f>
        <v>2690.5</v>
      </c>
      <c r="J428" s="623">
        <f t="shared" ref="J428:Y428" si="199">(J390+(J406/$D428)+J417)*1000</f>
        <v>60377.333333333336</v>
      </c>
      <c r="K428" s="623">
        <f t="shared" si="199"/>
        <v>101965.83333333333</v>
      </c>
      <c r="L428" s="623">
        <f t="shared" si="199"/>
        <v>133876.5</v>
      </c>
      <c r="M428" s="623">
        <f t="shared" si="199"/>
        <v>148104</v>
      </c>
      <c r="N428" s="623">
        <f t="shared" si="199"/>
        <v>161535.66666666669</v>
      </c>
      <c r="O428" s="623">
        <f t="shared" si="199"/>
        <v>150422.66666666666</v>
      </c>
      <c r="P428" s="623">
        <f t="shared" si="199"/>
        <v>134957.16666666666</v>
      </c>
      <c r="Q428" s="623">
        <f t="shared" si="199"/>
        <v>120381.33333333333</v>
      </c>
      <c r="R428" s="623">
        <f t="shared" si="199"/>
        <v>103543.33333333334</v>
      </c>
      <c r="S428" s="623">
        <f t="shared" si="199"/>
        <v>87620</v>
      </c>
      <c r="T428" s="623">
        <f t="shared" si="199"/>
        <v>72745.666666666672</v>
      </c>
      <c r="U428" s="623">
        <f t="shared" si="199"/>
        <v>60025.166666666672</v>
      </c>
      <c r="V428" s="623">
        <f t="shared" si="199"/>
        <v>47222</v>
      </c>
      <c r="W428" s="623">
        <f t="shared" si="199"/>
        <v>36869.333333333336</v>
      </c>
      <c r="X428" s="623">
        <f t="shared" si="199"/>
        <v>27846.666666666668</v>
      </c>
      <c r="Y428" s="623">
        <f t="shared" si="199"/>
        <v>19167.833333333336</v>
      </c>
      <c r="Z428" s="623">
        <f>(Z390+(Z406/$D428)+Z417)*1000</f>
        <v>9986.3333333333321</v>
      </c>
      <c r="AA428" s="623">
        <f>(AA390+(AA406/$D428)+AA417)*1000</f>
        <v>4868.666666666667</v>
      </c>
      <c r="AB428" s="623">
        <f>(AB390+(AB406/$D428)+AB417)*1000</f>
        <v>1488.9999999999998</v>
      </c>
      <c r="AC428" s="623">
        <f>(AC390+(AC406/$D428)+AC417)*1000</f>
        <v>586</v>
      </c>
    </row>
    <row r="429" spans="1:29">
      <c r="A429" s="15"/>
      <c r="B429" s="341"/>
      <c r="C429" s="416"/>
      <c r="D429" s="330"/>
      <c r="E429" s="614"/>
      <c r="F429" s="614"/>
      <c r="G429" s="614"/>
      <c r="H429" s="614"/>
      <c r="I429" s="623"/>
      <c r="J429" s="623"/>
      <c r="K429" s="623"/>
      <c r="L429" s="623"/>
      <c r="M429" s="623"/>
      <c r="N429" s="623"/>
      <c r="O429" s="623"/>
      <c r="P429" s="623"/>
      <c r="Q429" s="623"/>
      <c r="R429" s="623"/>
      <c r="S429" s="623"/>
      <c r="T429" s="623"/>
      <c r="U429" s="623"/>
      <c r="V429" s="623"/>
      <c r="W429" s="623"/>
      <c r="X429" s="623"/>
      <c r="Y429" s="623"/>
      <c r="Z429" s="623"/>
      <c r="AA429" s="623"/>
      <c r="AB429" s="623"/>
      <c r="AC429" s="623"/>
    </row>
    <row r="430" spans="1:29">
      <c r="A430" s="15"/>
      <c r="B430" s="346" t="s">
        <v>164</v>
      </c>
      <c r="C430" s="503" t="s">
        <v>19</v>
      </c>
      <c r="E430" s="339" t="s">
        <v>200</v>
      </c>
      <c r="H430" s="512">
        <v>0</v>
      </c>
      <c r="I430" s="695" t="s">
        <v>530</v>
      </c>
      <c r="J430" s="695" t="s">
        <v>537</v>
      </c>
      <c r="K430" s="695" t="s">
        <v>532</v>
      </c>
    </row>
    <row r="431" spans="1:29">
      <c r="A431" s="15"/>
      <c r="B431" s="339" t="s">
        <v>165</v>
      </c>
      <c r="C431" s="503"/>
      <c r="E431" t="s">
        <v>201</v>
      </c>
      <c r="H431" s="507">
        <v>1</v>
      </c>
      <c r="I431" s="695">
        <v>0.7</v>
      </c>
      <c r="J431" s="779">
        <v>1</v>
      </c>
      <c r="K431" s="695">
        <v>1.1499999999999999</v>
      </c>
    </row>
    <row r="432" spans="1:29">
      <c r="A432" s="15"/>
      <c r="B432" s="339" t="s">
        <v>166</v>
      </c>
      <c r="C432" s="503"/>
      <c r="E432" s="339" t="s">
        <v>202</v>
      </c>
      <c r="H432" s="476">
        <f>+H430*H431</f>
        <v>0</v>
      </c>
    </row>
    <row r="433" spans="1:29">
      <c r="A433" s="15"/>
      <c r="B433" s="339" t="s">
        <v>167</v>
      </c>
      <c r="C433" s="503"/>
      <c r="E433" s="339" t="s">
        <v>203</v>
      </c>
      <c r="H433" s="343">
        <v>3</v>
      </c>
      <c r="I433" s="694">
        <v>0</v>
      </c>
      <c r="J433" s="694">
        <v>0</v>
      </c>
      <c r="K433" s="694">
        <v>0</v>
      </c>
      <c r="L433" s="694">
        <v>0</v>
      </c>
      <c r="M433" s="694">
        <v>0</v>
      </c>
      <c r="N433" s="694">
        <v>0</v>
      </c>
      <c r="O433" s="694">
        <v>0</v>
      </c>
      <c r="P433" s="694">
        <v>0</v>
      </c>
      <c r="Q433" s="694">
        <v>0</v>
      </c>
      <c r="R433" s="694">
        <v>0</v>
      </c>
      <c r="S433" s="694">
        <v>0</v>
      </c>
      <c r="T433" s="694">
        <v>0</v>
      </c>
      <c r="U433" s="694">
        <v>0</v>
      </c>
      <c r="V433" s="694">
        <v>0</v>
      </c>
      <c r="W433" s="694">
        <v>0</v>
      </c>
      <c r="X433" s="694">
        <v>0</v>
      </c>
      <c r="Y433" s="694">
        <v>0</v>
      </c>
      <c r="Z433" s="694">
        <v>0</v>
      </c>
      <c r="AA433" s="694">
        <v>0</v>
      </c>
      <c r="AB433" s="694">
        <v>0</v>
      </c>
      <c r="AC433" s="694">
        <v>0</v>
      </c>
    </row>
    <row r="434" spans="1:29">
      <c r="A434" s="15"/>
      <c r="B434" s="411" t="s">
        <v>204</v>
      </c>
      <c r="E434" s="476"/>
      <c r="F434" s="476"/>
      <c r="G434" s="476"/>
      <c r="H434" s="476"/>
      <c r="I434" s="476">
        <f>I433*$J$431*$H$431</f>
        <v>0</v>
      </c>
      <c r="J434" s="476">
        <f t="shared" ref="J434:Y434" si="200">J433*$J$431*$H$431</f>
        <v>0</v>
      </c>
      <c r="K434" s="476">
        <f t="shared" si="200"/>
        <v>0</v>
      </c>
      <c r="L434" s="476">
        <f t="shared" si="200"/>
        <v>0</v>
      </c>
      <c r="M434" s="476">
        <f t="shared" si="200"/>
        <v>0</v>
      </c>
      <c r="N434" s="476">
        <f t="shared" si="200"/>
        <v>0</v>
      </c>
      <c r="O434" s="476">
        <f t="shared" si="200"/>
        <v>0</v>
      </c>
      <c r="P434" s="476">
        <f t="shared" si="200"/>
        <v>0</v>
      </c>
      <c r="Q434" s="476">
        <f t="shared" si="200"/>
        <v>0</v>
      </c>
      <c r="R434" s="476">
        <f t="shared" si="200"/>
        <v>0</v>
      </c>
      <c r="S434" s="476">
        <f t="shared" si="200"/>
        <v>0</v>
      </c>
      <c r="T434" s="476">
        <f t="shared" si="200"/>
        <v>0</v>
      </c>
      <c r="U434" s="476">
        <f t="shared" si="200"/>
        <v>0</v>
      </c>
      <c r="V434" s="476">
        <f t="shared" si="200"/>
        <v>0</v>
      </c>
      <c r="W434" s="476">
        <f t="shared" si="200"/>
        <v>0</v>
      </c>
      <c r="X434" s="476">
        <f t="shared" si="200"/>
        <v>0</v>
      </c>
      <c r="Y434" s="476">
        <f t="shared" si="200"/>
        <v>0</v>
      </c>
      <c r="Z434" s="476">
        <f>Z433*$J$431*$H$431</f>
        <v>0</v>
      </c>
      <c r="AA434" s="476">
        <f>AA433*$J$431*$H$431</f>
        <v>0</v>
      </c>
      <c r="AB434" s="476">
        <f>AB433*$J$431*$H$431</f>
        <v>0</v>
      </c>
      <c r="AC434" s="476">
        <f>AC433*$J$431*$H$431</f>
        <v>0</v>
      </c>
    </row>
    <row r="435" spans="1:29">
      <c r="A435" s="15"/>
      <c r="B435" s="411"/>
      <c r="E435" s="476"/>
      <c r="F435" s="476"/>
      <c r="G435" s="476"/>
      <c r="H435" s="476"/>
      <c r="I435" s="476"/>
      <c r="J435" s="476"/>
      <c r="K435" s="476"/>
      <c r="L435" s="476"/>
      <c r="M435" s="476"/>
      <c r="N435" s="476"/>
      <c r="O435" s="476"/>
      <c r="P435" s="476"/>
      <c r="Q435" s="476"/>
      <c r="R435" s="476"/>
      <c r="S435" s="476"/>
      <c r="T435" s="476"/>
      <c r="U435" s="476"/>
      <c r="V435" s="476"/>
      <c r="W435" s="476"/>
      <c r="X435" s="476"/>
      <c r="Y435" s="476"/>
      <c r="Z435" s="476"/>
      <c r="AA435" s="476"/>
      <c r="AB435" s="476"/>
      <c r="AC435" s="476"/>
    </row>
    <row r="436" spans="1:29">
      <c r="A436" s="15"/>
      <c r="B436" s="411" t="s">
        <v>205</v>
      </c>
      <c r="E436" s="476" t="s">
        <v>533</v>
      </c>
      <c r="F436" s="476"/>
      <c r="G436" s="476"/>
      <c r="H436" s="507">
        <v>9.1999999999999998E-2</v>
      </c>
      <c r="I436" s="476">
        <f>+$H436*I424</f>
        <v>-0.55693349999999997</v>
      </c>
      <c r="J436" s="476">
        <f t="shared" ref="J436:Z436" ca="1" si="201">+$H436*J424</f>
        <v>62.123928831999983</v>
      </c>
      <c r="K436" s="476">
        <f t="shared" ca="1" si="201"/>
        <v>92.40612859499997</v>
      </c>
      <c r="L436" s="476">
        <f t="shared" ca="1" si="201"/>
        <v>121.25730110999999</v>
      </c>
      <c r="M436" s="476">
        <f t="shared" ca="1" si="201"/>
        <v>133.22399112000002</v>
      </c>
      <c r="N436" s="476">
        <f t="shared" ca="1" si="201"/>
        <v>145.38048464333335</v>
      </c>
      <c r="O436" s="476">
        <f t="shared" ca="1" si="201"/>
        <v>136.03624282666667</v>
      </c>
      <c r="P436" s="476">
        <f t="shared" ca="1" si="201"/>
        <v>123.22938888333331</v>
      </c>
      <c r="Q436" s="476">
        <f t="shared" ca="1" si="201"/>
        <v>111.63683327999999</v>
      </c>
      <c r="R436" s="476">
        <f t="shared" ca="1" si="201"/>
        <v>98.40344226666663</v>
      </c>
      <c r="S436" s="476">
        <f t="shared" ca="1" si="201"/>
        <v>86.253127999999961</v>
      </c>
      <c r="T436" s="476">
        <f t="shared" ca="1" si="201"/>
        <v>74.890208919999964</v>
      </c>
      <c r="U436" s="476">
        <f t="shared" ca="1" si="201"/>
        <v>65.163320933333324</v>
      </c>
      <c r="V436" s="476">
        <f t="shared" ca="1" si="201"/>
        <v>54.283577879999982</v>
      </c>
      <c r="W436" s="476">
        <f t="shared" ca="1" si="201"/>
        <v>44.943717333333318</v>
      </c>
      <c r="X436" s="476">
        <f t="shared" ca="1" si="201"/>
        <v>36.033029733333329</v>
      </c>
      <c r="Y436" s="476">
        <f t="shared" ca="1" si="201"/>
        <v>26.34580356</v>
      </c>
      <c r="Z436" s="476">
        <f t="shared" ca="1" si="201"/>
        <v>14.58503983333333</v>
      </c>
      <c r="AA436" s="476">
        <f ca="1">+$H436*AA424</f>
        <v>7.5563654133333342</v>
      </c>
      <c r="AB436" s="476">
        <f ca="1">+$H436*AB424</f>
        <v>2.4555099</v>
      </c>
      <c r="AC436" s="476">
        <f ca="1">+$H436*AC424</f>
        <v>1.0264844799999997</v>
      </c>
    </row>
    <row r="437" spans="1:29">
      <c r="A437" s="15"/>
      <c r="B437" s="411"/>
      <c r="E437" s="476"/>
      <c r="F437" s="476"/>
      <c r="G437" s="476"/>
      <c r="H437" s="476"/>
      <c r="I437" s="476"/>
      <c r="J437" s="476"/>
      <c r="K437" s="476"/>
      <c r="L437" s="476"/>
      <c r="M437" s="476"/>
      <c r="N437" s="476"/>
      <c r="O437" s="476"/>
      <c r="P437" s="476"/>
      <c r="Q437" s="476"/>
      <c r="R437" s="476"/>
      <c r="S437" s="476"/>
      <c r="T437" s="476"/>
      <c r="U437" s="476"/>
      <c r="V437" s="476"/>
      <c r="W437" s="476"/>
      <c r="X437" s="476"/>
      <c r="Y437" s="476"/>
      <c r="Z437" s="476"/>
      <c r="AA437" s="476"/>
      <c r="AB437" s="476"/>
      <c r="AC437" s="476"/>
    </row>
    <row r="438" spans="1:29">
      <c r="A438" s="15"/>
      <c r="B438" s="346" t="s">
        <v>207</v>
      </c>
      <c r="E438" s="476"/>
      <c r="F438" s="476"/>
      <c r="G438" s="476"/>
      <c r="H438" s="476"/>
      <c r="I438" s="476"/>
      <c r="J438" s="476"/>
      <c r="K438" s="476"/>
      <c r="L438" s="476"/>
      <c r="M438" s="476"/>
      <c r="N438" s="476"/>
      <c r="O438" s="476"/>
      <c r="P438" s="476"/>
      <c r="Q438" s="476"/>
      <c r="R438" s="476"/>
      <c r="S438" s="476"/>
      <c r="T438" s="476"/>
      <c r="U438" s="476"/>
      <c r="V438" s="476"/>
      <c r="W438" s="476"/>
      <c r="X438" s="476"/>
      <c r="Y438" s="476"/>
      <c r="Z438" s="476"/>
      <c r="AA438" s="476"/>
      <c r="AB438" s="476"/>
      <c r="AC438" s="476"/>
    </row>
    <row r="439" spans="1:29">
      <c r="A439" s="15"/>
      <c r="B439" s="410" t="s">
        <v>164</v>
      </c>
      <c r="C439" s="503" t="s">
        <v>19</v>
      </c>
      <c r="E439" s="339" t="s">
        <v>208</v>
      </c>
      <c r="H439" s="343">
        <v>0</v>
      </c>
      <c r="I439" s="334"/>
      <c r="J439" s="334"/>
      <c r="K439" s="334"/>
      <c r="L439" s="334"/>
      <c r="M439" s="334"/>
      <c r="N439" s="334"/>
      <c r="O439" s="334"/>
      <c r="P439" s="334"/>
      <c r="Q439" s="334"/>
      <c r="R439" s="334"/>
      <c r="S439" s="334"/>
      <c r="T439" s="334"/>
      <c r="U439" s="334"/>
      <c r="V439" s="334"/>
      <c r="W439" s="334"/>
      <c r="X439" s="334"/>
      <c r="Y439" s="334"/>
      <c r="Z439" s="334"/>
      <c r="AA439" s="334"/>
      <c r="AB439" s="334"/>
      <c r="AC439" s="334"/>
    </row>
    <row r="440" spans="1:29">
      <c r="A440" s="15"/>
      <c r="B440" s="375" t="s">
        <v>165</v>
      </c>
      <c r="C440" s="503"/>
      <c r="E440" t="s">
        <v>201</v>
      </c>
      <c r="H440" s="507">
        <v>1</v>
      </c>
      <c r="I440" s="208"/>
      <c r="J440" s="208"/>
      <c r="K440" s="208"/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</row>
    <row r="441" spans="1:29">
      <c r="A441" s="15"/>
      <c r="B441" s="375" t="s">
        <v>166</v>
      </c>
      <c r="C441" s="503"/>
      <c r="E441" s="339" t="s">
        <v>202</v>
      </c>
      <c r="H441" s="476">
        <f>+H439*H440</f>
        <v>0</v>
      </c>
    </row>
    <row r="442" spans="1:29">
      <c r="A442" s="15"/>
      <c r="B442" s="375" t="s">
        <v>167</v>
      </c>
      <c r="C442" s="503"/>
      <c r="E442" s="339" t="s">
        <v>203</v>
      </c>
      <c r="H442" s="343">
        <v>1</v>
      </c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  <c r="AA442" s="335"/>
      <c r="AB442" s="335"/>
      <c r="AC442" s="335"/>
    </row>
    <row r="443" spans="1:29">
      <c r="A443" s="15"/>
      <c r="B443" s="411" t="s">
        <v>209</v>
      </c>
      <c r="E443" s="476"/>
      <c r="F443" s="476"/>
      <c r="G443" s="476"/>
      <c r="H443" s="476"/>
      <c r="I443" s="476">
        <f ca="1">($H441)*(IF($H442=1,I$185,IF($H442=2,I$188,IF($H442=3,I$191,0))))*(stub)</f>
        <v>0</v>
      </c>
      <c r="J443" s="476">
        <f ca="1">($H441)*(IF($H442=1,J$185,IF($H442=2,J$188,IF($H442=3,J$191,0))))</f>
        <v>0</v>
      </c>
      <c r="K443" s="476">
        <f t="shared" ref="K443:Z443" ca="1" si="202">($H441)*(IF($H442=1,K$185,IF($H442=2,K$188,IF($H442=3,K$191,0))))</f>
        <v>0</v>
      </c>
      <c r="L443" s="476">
        <f t="shared" ca="1" si="202"/>
        <v>0</v>
      </c>
      <c r="M443" s="476">
        <f t="shared" ca="1" si="202"/>
        <v>0</v>
      </c>
      <c r="N443" s="476">
        <f t="shared" ca="1" si="202"/>
        <v>0</v>
      </c>
      <c r="O443" s="476">
        <f t="shared" ca="1" si="202"/>
        <v>0</v>
      </c>
      <c r="P443" s="476">
        <f t="shared" ca="1" si="202"/>
        <v>0</v>
      </c>
      <c r="Q443" s="476">
        <f t="shared" ca="1" si="202"/>
        <v>0</v>
      </c>
      <c r="R443" s="476">
        <f t="shared" ca="1" si="202"/>
        <v>0</v>
      </c>
      <c r="S443" s="476">
        <f t="shared" ca="1" si="202"/>
        <v>0</v>
      </c>
      <c r="T443" s="476">
        <f t="shared" ca="1" si="202"/>
        <v>0</v>
      </c>
      <c r="U443" s="476">
        <f t="shared" ca="1" si="202"/>
        <v>0</v>
      </c>
      <c r="V443" s="476">
        <f t="shared" ca="1" si="202"/>
        <v>0</v>
      </c>
      <c r="W443" s="476">
        <f t="shared" ca="1" si="202"/>
        <v>0</v>
      </c>
      <c r="X443" s="476">
        <f t="shared" ca="1" si="202"/>
        <v>0</v>
      </c>
      <c r="Y443" s="476">
        <f t="shared" ca="1" si="202"/>
        <v>0</v>
      </c>
      <c r="Z443" s="476">
        <f t="shared" ca="1" si="202"/>
        <v>0</v>
      </c>
      <c r="AA443" s="476">
        <f ca="1">($H441)*(IF($H442=1,AA$185,IF($H442=2,AA$188,IF($H442=3,AA$191,0))))</f>
        <v>0</v>
      </c>
      <c r="AB443" s="476">
        <f ca="1">($H441)*(IF($H442=1,AB$185,IF($H442=2,AB$188,IF($H442=3,AB$191,0))))</f>
        <v>0</v>
      </c>
      <c r="AC443" s="476">
        <f ca="1">($H441)*(IF($H442=1,AC$185,IF($H442=2,AC$188,IF($H442=3,AC$191,0))))</f>
        <v>0</v>
      </c>
    </row>
    <row r="444" spans="1:29">
      <c r="A444" s="15"/>
      <c r="B444" s="411"/>
      <c r="E444" s="476"/>
      <c r="F444" s="476"/>
      <c r="G444" s="476"/>
      <c r="H444" s="476"/>
      <c r="I444" s="476"/>
      <c r="J444" s="476"/>
      <c r="K444" s="476"/>
      <c r="L444" s="476"/>
      <c r="M444" s="476"/>
      <c r="N444" s="476"/>
      <c r="O444" s="476"/>
      <c r="P444" s="476"/>
      <c r="Q444" s="476"/>
      <c r="R444" s="476"/>
      <c r="S444" s="476"/>
      <c r="T444" s="476"/>
      <c r="U444" s="476"/>
      <c r="V444" s="476"/>
      <c r="W444" s="476"/>
      <c r="X444" s="476"/>
      <c r="Y444" s="476"/>
      <c r="Z444" s="476"/>
      <c r="AA444" s="476"/>
      <c r="AB444" s="476"/>
      <c r="AC444" s="476"/>
    </row>
    <row r="445" spans="1:29">
      <c r="A445" s="15"/>
      <c r="B445" s="411" t="s">
        <v>210</v>
      </c>
      <c r="E445" s="476"/>
      <c r="F445" s="476"/>
      <c r="G445" s="476"/>
      <c r="H445" s="476"/>
      <c r="I445" s="536">
        <v>0</v>
      </c>
      <c r="J445" s="536">
        <v>0</v>
      </c>
      <c r="K445" s="536">
        <v>0</v>
      </c>
      <c r="L445" s="536">
        <v>0</v>
      </c>
      <c r="M445" s="536">
        <v>0</v>
      </c>
      <c r="N445" s="536">
        <v>0</v>
      </c>
      <c r="O445" s="536">
        <v>0</v>
      </c>
      <c r="P445" s="536">
        <v>0</v>
      </c>
      <c r="Q445" s="536">
        <v>0</v>
      </c>
      <c r="R445" s="536">
        <v>0</v>
      </c>
      <c r="S445" s="536">
        <v>0</v>
      </c>
      <c r="T445" s="536">
        <v>0</v>
      </c>
      <c r="U445" s="536">
        <v>0</v>
      </c>
      <c r="V445" s="536">
        <v>0</v>
      </c>
      <c r="W445" s="536">
        <v>0</v>
      </c>
      <c r="X445" s="536">
        <v>0</v>
      </c>
      <c r="Y445" s="536">
        <v>0</v>
      </c>
      <c r="Z445" s="536">
        <v>0</v>
      </c>
      <c r="AA445" s="536">
        <v>0</v>
      </c>
      <c r="AB445" s="536">
        <v>0</v>
      </c>
      <c r="AC445" s="536">
        <v>0</v>
      </c>
    </row>
    <row r="446" spans="1:29">
      <c r="A446" s="417" t="str">
        <f>"Total Production Costs - "&amp;C14</f>
        <v>Total Production Costs - PUD</v>
      </c>
      <c r="E446" s="505">
        <v>0</v>
      </c>
      <c r="F446" s="505">
        <v>0</v>
      </c>
      <c r="G446" s="505">
        <v>0</v>
      </c>
      <c r="H446" s="505">
        <v>0</v>
      </c>
      <c r="I446" s="620">
        <f ca="1">+I443+I434+I436+I445</f>
        <v>-0.55693349999999997</v>
      </c>
      <c r="J446" s="620">
        <f t="shared" ref="J446:Y446" ca="1" si="203">+J443+J434+J436+J445</f>
        <v>62.123928831999983</v>
      </c>
      <c r="K446" s="620">
        <f t="shared" ca="1" si="203"/>
        <v>92.40612859499997</v>
      </c>
      <c r="L446" s="620">
        <f t="shared" ca="1" si="203"/>
        <v>121.25730110999999</v>
      </c>
      <c r="M446" s="620">
        <f t="shared" ca="1" si="203"/>
        <v>133.22399112000002</v>
      </c>
      <c r="N446" s="620">
        <f t="shared" ca="1" si="203"/>
        <v>145.38048464333335</v>
      </c>
      <c r="O446" s="620">
        <f t="shared" ca="1" si="203"/>
        <v>136.03624282666667</v>
      </c>
      <c r="P446" s="620">
        <f t="shared" ca="1" si="203"/>
        <v>123.22938888333331</v>
      </c>
      <c r="Q446" s="620">
        <f t="shared" ca="1" si="203"/>
        <v>111.63683327999999</v>
      </c>
      <c r="R446" s="620">
        <f t="shared" ca="1" si="203"/>
        <v>98.40344226666663</v>
      </c>
      <c r="S446" s="620">
        <f t="shared" ca="1" si="203"/>
        <v>86.253127999999961</v>
      </c>
      <c r="T446" s="620">
        <f t="shared" ca="1" si="203"/>
        <v>74.890208919999964</v>
      </c>
      <c r="U446" s="620">
        <f t="shared" ca="1" si="203"/>
        <v>65.163320933333324</v>
      </c>
      <c r="V446" s="620">
        <f t="shared" ca="1" si="203"/>
        <v>54.283577879999982</v>
      </c>
      <c r="W446" s="620">
        <f t="shared" ca="1" si="203"/>
        <v>44.943717333333318</v>
      </c>
      <c r="X446" s="620">
        <f t="shared" ca="1" si="203"/>
        <v>36.033029733333329</v>
      </c>
      <c r="Y446" s="620">
        <f t="shared" ca="1" si="203"/>
        <v>26.34580356</v>
      </c>
      <c r="Z446" s="620">
        <f ca="1">+Z443+Z434+Z436+Z445</f>
        <v>14.58503983333333</v>
      </c>
      <c r="AA446" s="620">
        <f ca="1">+AA443+AA434+AA436+AA445</f>
        <v>7.5563654133333342</v>
      </c>
      <c r="AB446" s="620">
        <f ca="1">+AB443+AB434+AB436+AB445</f>
        <v>2.4555099</v>
      </c>
      <c r="AC446" s="620">
        <f ca="1">+AC443+AC434+AC436+AC445</f>
        <v>1.0264844799999997</v>
      </c>
    </row>
    <row r="447" spans="1:29">
      <c r="A447" s="15" t="str">
        <f>"Net Oil &amp; Gas Income - "&amp;C14</f>
        <v>Net Oil &amp; Gas Income - PUD</v>
      </c>
      <c r="D447" s="5"/>
      <c r="E447" s="617">
        <f>+E424-E446</f>
        <v>0</v>
      </c>
      <c r="F447" s="617">
        <f t="shared" ref="F447:U447" si="204">+F424-F446</f>
        <v>0</v>
      </c>
      <c r="G447" s="617">
        <f t="shared" si="204"/>
        <v>0</v>
      </c>
      <c r="H447" s="617">
        <f t="shared" si="204"/>
        <v>0</v>
      </c>
      <c r="I447" s="615">
        <f t="shared" ca="1" si="204"/>
        <v>-5.4966915000000007</v>
      </c>
      <c r="J447" s="615">
        <f t="shared" ca="1" si="204"/>
        <v>613.13616716799993</v>
      </c>
      <c r="K447" s="615">
        <f t="shared" ca="1" si="204"/>
        <v>912.00831265499983</v>
      </c>
      <c r="L447" s="615">
        <f t="shared" ca="1" si="204"/>
        <v>1196.7568413899999</v>
      </c>
      <c r="M447" s="615">
        <f t="shared" ca="1" si="204"/>
        <v>1314.8628688800004</v>
      </c>
      <c r="N447" s="615">
        <f t="shared" ca="1" si="204"/>
        <v>1434.8421745233334</v>
      </c>
      <c r="O447" s="615">
        <f t="shared" ca="1" si="204"/>
        <v>1342.6185705066666</v>
      </c>
      <c r="P447" s="615">
        <f t="shared" ca="1" si="204"/>
        <v>1216.2204902833332</v>
      </c>
      <c r="Q447" s="615">
        <f t="shared" ca="1" si="204"/>
        <v>1101.8070067199999</v>
      </c>
      <c r="R447" s="615">
        <f t="shared" ca="1" si="204"/>
        <v>971.19919106666634</v>
      </c>
      <c r="S447" s="615">
        <f t="shared" ca="1" si="204"/>
        <v>851.2808719999997</v>
      </c>
      <c r="T447" s="615">
        <f t="shared" ca="1" si="204"/>
        <v>739.13380107999967</v>
      </c>
      <c r="U447" s="615">
        <f t="shared" ca="1" si="204"/>
        <v>643.1336457333332</v>
      </c>
      <c r="V447" s="615">
        <f t="shared" ref="V447:AC447" ca="1" si="205">+V424-V446</f>
        <v>535.75531211999987</v>
      </c>
      <c r="W447" s="615">
        <f t="shared" ca="1" si="205"/>
        <v>443.57494933333317</v>
      </c>
      <c r="X447" s="615">
        <f t="shared" ca="1" si="205"/>
        <v>355.6303369333333</v>
      </c>
      <c r="Y447" s="615">
        <f t="shared" ca="1" si="205"/>
        <v>260.02162644000003</v>
      </c>
      <c r="Z447" s="615">
        <f t="shared" ca="1" si="205"/>
        <v>143.94800183333331</v>
      </c>
      <c r="AA447" s="615">
        <f t="shared" ca="1" si="205"/>
        <v>74.578041253333339</v>
      </c>
      <c r="AB447" s="615">
        <f t="shared" ca="1" si="205"/>
        <v>24.234815100000002</v>
      </c>
      <c r="AC447" s="615">
        <f t="shared" ca="1" si="205"/>
        <v>10.130955519999997</v>
      </c>
    </row>
    <row r="448" spans="1:29">
      <c r="A448" s="15"/>
      <c r="B448" s="5"/>
      <c r="D448" s="5"/>
      <c r="E448" s="141"/>
      <c r="F448" s="141"/>
      <c r="G448" s="141"/>
      <c r="H448" s="614"/>
      <c r="I448" s="623"/>
      <c r="J448" s="623"/>
      <c r="K448" s="623"/>
      <c r="L448" s="623"/>
      <c r="M448" s="623"/>
      <c r="N448" s="623"/>
      <c r="O448" s="623"/>
      <c r="P448" s="623"/>
      <c r="Q448" s="623"/>
      <c r="R448" s="623"/>
      <c r="S448" s="623"/>
      <c r="T448" s="623"/>
      <c r="U448" s="623"/>
      <c r="V448" s="623"/>
      <c r="W448" s="623"/>
      <c r="X448" s="623"/>
      <c r="Y448" s="624"/>
      <c r="Z448" s="624"/>
      <c r="AA448" s="624"/>
      <c r="AB448" s="624"/>
      <c r="AC448" s="624"/>
    </row>
    <row r="449" spans="1:30">
      <c r="A449" s="15"/>
      <c r="B449" s="5" t="str">
        <f>B306</f>
        <v>Allocated G&amp;A</v>
      </c>
      <c r="D449" s="5"/>
      <c r="E449" s="141"/>
      <c r="F449" s="141"/>
      <c r="G449" s="141"/>
      <c r="I449" s="517">
        <v>0</v>
      </c>
      <c r="J449" s="517">
        <v>0</v>
      </c>
      <c r="K449" s="517">
        <v>0</v>
      </c>
      <c r="L449" s="517">
        <v>0</v>
      </c>
      <c r="M449" s="517">
        <v>0</v>
      </c>
      <c r="N449" s="517">
        <v>0</v>
      </c>
      <c r="O449" s="517">
        <v>0</v>
      </c>
      <c r="P449" s="517">
        <v>0</v>
      </c>
      <c r="Q449" s="517">
        <v>0</v>
      </c>
      <c r="R449" s="517">
        <v>0</v>
      </c>
      <c r="S449" s="517">
        <v>0</v>
      </c>
      <c r="T449" s="517">
        <v>0</v>
      </c>
      <c r="U449" s="517">
        <v>0</v>
      </c>
      <c r="V449" s="517">
        <v>0</v>
      </c>
      <c r="W449" s="517">
        <v>0</v>
      </c>
      <c r="X449" s="517">
        <v>0</v>
      </c>
      <c r="Y449" s="538">
        <v>0</v>
      </c>
      <c r="Z449" s="538">
        <v>0</v>
      </c>
      <c r="AA449" s="538">
        <v>0</v>
      </c>
      <c r="AB449" s="538">
        <v>0</v>
      </c>
      <c r="AC449" s="538">
        <v>0</v>
      </c>
    </row>
    <row r="451" spans="1:30" ht="12" thickBot="1"/>
    <row r="452" spans="1:30" ht="12.75" thickTop="1" thickBot="1">
      <c r="A452" s="15" t="s">
        <v>178</v>
      </c>
      <c r="B452" s="5"/>
      <c r="C452" s="5"/>
      <c r="D452" s="5"/>
      <c r="E452" s="166" t="str">
        <f>+E$3</f>
        <v xml:space="preserve">1996 </v>
      </c>
      <c r="F452" s="166" t="str">
        <f>+F$3</f>
        <v xml:space="preserve">1997 </v>
      </c>
      <c r="G452" s="166" t="str">
        <f>+G$3</f>
        <v xml:space="preserve">1998 </v>
      </c>
      <c r="H452" s="166" t="str">
        <f ca="1">+H$3</f>
        <v xml:space="preserve">6 M/1999 </v>
      </c>
      <c r="I452" s="166" t="str">
        <f ca="1">+I$3</f>
        <v xml:space="preserve">6 M/1999 </v>
      </c>
      <c r="J452" s="166">
        <f t="shared" ref="J452:Z452" si="206">+J$3</f>
        <v>2000</v>
      </c>
      <c r="K452" s="166">
        <f t="shared" si="206"/>
        <v>2001</v>
      </c>
      <c r="L452" s="166">
        <f t="shared" si="206"/>
        <v>2002</v>
      </c>
      <c r="M452" s="166">
        <f t="shared" si="206"/>
        <v>2003</v>
      </c>
      <c r="N452" s="166">
        <f t="shared" si="206"/>
        <v>2004</v>
      </c>
      <c r="O452" s="166">
        <f t="shared" si="206"/>
        <v>2005</v>
      </c>
      <c r="P452" s="166">
        <f t="shared" si="206"/>
        <v>2006</v>
      </c>
      <c r="Q452" s="166">
        <f t="shared" si="206"/>
        <v>2007</v>
      </c>
      <c r="R452" s="166">
        <f t="shared" si="206"/>
        <v>2008</v>
      </c>
      <c r="S452" s="166">
        <f t="shared" si="206"/>
        <v>2009</v>
      </c>
      <c r="T452" s="166">
        <f t="shared" si="206"/>
        <v>2010</v>
      </c>
      <c r="U452" s="166">
        <f t="shared" si="206"/>
        <v>2011</v>
      </c>
      <c r="V452" s="166">
        <f t="shared" si="206"/>
        <v>2012</v>
      </c>
      <c r="W452" s="166">
        <f t="shared" si="206"/>
        <v>2013</v>
      </c>
      <c r="X452" s="166">
        <f t="shared" si="206"/>
        <v>2014</v>
      </c>
      <c r="Y452" s="166">
        <f t="shared" si="206"/>
        <v>2015</v>
      </c>
      <c r="Z452" s="166">
        <f t="shared" si="206"/>
        <v>2016</v>
      </c>
      <c r="AA452" s="166">
        <f>+AA$3</f>
        <v>2017</v>
      </c>
      <c r="AB452" s="166">
        <f>+AB$3</f>
        <v>2018</v>
      </c>
      <c r="AC452" s="166">
        <f>+AC$3</f>
        <v>2019</v>
      </c>
    </row>
    <row r="453" spans="1:30" ht="13.5" thickTop="1">
      <c r="A453" s="506" t="str">
        <f>+C16</f>
        <v>PROBABLES</v>
      </c>
      <c r="B453" s="5"/>
      <c r="C453" s="5"/>
      <c r="D453" s="5"/>
      <c r="E453" s="281" t="s">
        <v>392</v>
      </c>
      <c r="F453" s="281" t="s">
        <v>535</v>
      </c>
      <c r="G453" s="281" t="s">
        <v>394</v>
      </c>
      <c r="H453" s="281"/>
      <c r="I453" s="540"/>
      <c r="J453" s="540"/>
      <c r="K453" s="540"/>
      <c r="L453" s="540"/>
      <c r="M453" s="540"/>
      <c r="N453" s="540"/>
      <c r="O453" s="540"/>
      <c r="P453" s="540"/>
      <c r="Q453" s="540"/>
      <c r="R453" s="540"/>
      <c r="S453" s="540"/>
      <c r="T453" s="540"/>
      <c r="U453" s="540"/>
      <c r="V453" s="540"/>
      <c r="W453" s="540"/>
      <c r="X453" s="540"/>
      <c r="Y453" s="540"/>
      <c r="Z453" s="540"/>
      <c r="AA453" s="540"/>
      <c r="AB453" s="540"/>
      <c r="AC453" s="540"/>
    </row>
    <row r="454" spans="1:30" ht="12.75">
      <c r="A454" s="506"/>
      <c r="B454" s="5"/>
      <c r="C454" s="5"/>
      <c r="D454" s="5"/>
      <c r="E454" s="690">
        <v>0.6</v>
      </c>
      <c r="F454" s="777">
        <v>1</v>
      </c>
      <c r="G454" s="690">
        <v>1.4</v>
      </c>
      <c r="H454" s="281"/>
      <c r="I454" s="540"/>
      <c r="J454" s="540"/>
      <c r="K454" s="540"/>
      <c r="L454" s="540"/>
      <c r="M454" s="540"/>
      <c r="N454" s="540"/>
      <c r="O454" s="540"/>
      <c r="P454" s="540"/>
      <c r="Q454" s="540"/>
      <c r="R454" s="540"/>
      <c r="S454" s="540"/>
      <c r="T454" s="540"/>
      <c r="U454" s="540"/>
      <c r="V454" s="540"/>
      <c r="W454" s="540"/>
      <c r="X454" s="540"/>
      <c r="Y454" s="540"/>
      <c r="Z454" s="540"/>
      <c r="AA454" s="540"/>
      <c r="AB454" s="540"/>
      <c r="AC454" s="540"/>
    </row>
    <row r="455" spans="1:30" ht="12.75">
      <c r="A455" s="506"/>
      <c r="B455" s="5"/>
      <c r="C455" s="5"/>
      <c r="D455" s="5"/>
      <c r="E455" s="281"/>
      <c r="F455" s="281"/>
      <c r="G455" s="281"/>
      <c r="H455" s="281"/>
      <c r="I455" s="540">
        <v>0</v>
      </c>
      <c r="J455" s="540">
        <v>0</v>
      </c>
      <c r="K455" s="540">
        <v>0</v>
      </c>
      <c r="L455" s="540">
        <v>0</v>
      </c>
      <c r="M455" s="540">
        <v>0</v>
      </c>
      <c r="N455" s="540">
        <v>0</v>
      </c>
      <c r="O455" s="540">
        <v>0</v>
      </c>
      <c r="P455" s="540">
        <v>0</v>
      </c>
      <c r="Q455" s="540">
        <v>0</v>
      </c>
      <c r="R455" s="540">
        <v>0</v>
      </c>
      <c r="S455" s="540">
        <v>0</v>
      </c>
      <c r="T455" s="540">
        <v>0</v>
      </c>
      <c r="U455" s="540">
        <v>0</v>
      </c>
      <c r="V455" s="540">
        <v>0</v>
      </c>
      <c r="W455" s="540">
        <v>0</v>
      </c>
      <c r="X455" s="540">
        <v>0</v>
      </c>
      <c r="Y455" s="540">
        <v>0</v>
      </c>
      <c r="Z455" s="540">
        <v>0</v>
      </c>
      <c r="AA455" s="540">
        <v>0</v>
      </c>
      <c r="AB455" s="540">
        <v>0</v>
      </c>
      <c r="AC455" s="540"/>
    </row>
    <row r="456" spans="1:30">
      <c r="A456" s="455" t="s">
        <v>15</v>
      </c>
      <c r="B456" s="83" t="s">
        <v>515</v>
      </c>
      <c r="C456" s="5"/>
      <c r="D456" s="5"/>
      <c r="E456" s="281"/>
      <c r="F456" s="281"/>
      <c r="G456" s="281"/>
      <c r="H456" s="281"/>
      <c r="I456" s="517">
        <f>I455*$F$454</f>
        <v>0</v>
      </c>
      <c r="J456" s="517">
        <f t="shared" ref="J456:Y456" si="207">J455*$F$454</f>
        <v>0</v>
      </c>
      <c r="K456" s="517">
        <f t="shared" si="207"/>
        <v>0</v>
      </c>
      <c r="L456" s="517">
        <f t="shared" si="207"/>
        <v>0</v>
      </c>
      <c r="M456" s="517">
        <f t="shared" si="207"/>
        <v>0</v>
      </c>
      <c r="N456" s="517">
        <f t="shared" si="207"/>
        <v>0</v>
      </c>
      <c r="O456" s="517">
        <f t="shared" si="207"/>
        <v>0</v>
      </c>
      <c r="P456" s="517">
        <f t="shared" si="207"/>
        <v>0</v>
      </c>
      <c r="Q456" s="517">
        <f t="shared" si="207"/>
        <v>0</v>
      </c>
      <c r="R456" s="517">
        <f t="shared" si="207"/>
        <v>0</v>
      </c>
      <c r="S456" s="517">
        <f t="shared" si="207"/>
        <v>0</v>
      </c>
      <c r="T456" s="517">
        <f t="shared" si="207"/>
        <v>0</v>
      </c>
      <c r="U456" s="517">
        <f t="shared" si="207"/>
        <v>0</v>
      </c>
      <c r="V456" s="517">
        <f t="shared" si="207"/>
        <v>0</v>
      </c>
      <c r="W456" s="517">
        <f t="shared" si="207"/>
        <v>0</v>
      </c>
      <c r="X456" s="517">
        <f t="shared" si="207"/>
        <v>0</v>
      </c>
      <c r="Y456" s="517">
        <f t="shared" si="207"/>
        <v>0</v>
      </c>
      <c r="Z456" s="517">
        <f>Z455*$F$454</f>
        <v>0</v>
      </c>
      <c r="AA456" s="517">
        <f>AA455*$F$454</f>
        <v>0</v>
      </c>
      <c r="AB456" s="517">
        <f>AB455*$F$454</f>
        <v>0</v>
      </c>
      <c r="AC456" s="517">
        <f>AC455*$F$454</f>
        <v>0</v>
      </c>
      <c r="AD456" s="517">
        <v>0</v>
      </c>
    </row>
    <row r="457" spans="1:30" ht="12.75">
      <c r="A457" s="506"/>
      <c r="B457" s="83" t="s">
        <v>517</v>
      </c>
      <c r="C457" s="5"/>
      <c r="D457" s="5"/>
      <c r="E457" s="281"/>
      <c r="F457" s="281"/>
      <c r="G457" s="281"/>
      <c r="H457" s="281"/>
      <c r="I457" s="667">
        <v>1</v>
      </c>
      <c r="J457" s="667">
        <f t="shared" ref="J457:AC457" si="208">I457</f>
        <v>1</v>
      </c>
      <c r="K457" s="667">
        <f t="shared" si="208"/>
        <v>1</v>
      </c>
      <c r="L457" s="667">
        <f t="shared" si="208"/>
        <v>1</v>
      </c>
      <c r="M457" s="667">
        <f t="shared" si="208"/>
        <v>1</v>
      </c>
      <c r="N457" s="667">
        <f t="shared" si="208"/>
        <v>1</v>
      </c>
      <c r="O457" s="667">
        <f t="shared" si="208"/>
        <v>1</v>
      </c>
      <c r="P457" s="667">
        <f t="shared" si="208"/>
        <v>1</v>
      </c>
      <c r="Q457" s="667">
        <f t="shared" si="208"/>
        <v>1</v>
      </c>
      <c r="R457" s="667">
        <f t="shared" si="208"/>
        <v>1</v>
      </c>
      <c r="S457" s="667">
        <f t="shared" si="208"/>
        <v>1</v>
      </c>
      <c r="T457" s="667">
        <f t="shared" si="208"/>
        <v>1</v>
      </c>
      <c r="U457" s="667">
        <f t="shared" si="208"/>
        <v>1</v>
      </c>
      <c r="V457" s="667">
        <f t="shared" si="208"/>
        <v>1</v>
      </c>
      <c r="W457" s="667">
        <f t="shared" si="208"/>
        <v>1</v>
      </c>
      <c r="X457" s="667">
        <f t="shared" si="208"/>
        <v>1</v>
      </c>
      <c r="Y457" s="667">
        <f t="shared" si="208"/>
        <v>1</v>
      </c>
      <c r="Z457" s="667">
        <f t="shared" si="208"/>
        <v>1</v>
      </c>
      <c r="AA457" s="667">
        <f t="shared" si="208"/>
        <v>1</v>
      </c>
      <c r="AB457" s="667">
        <f t="shared" si="208"/>
        <v>1</v>
      </c>
      <c r="AC457" s="667">
        <f t="shared" si="208"/>
        <v>1</v>
      </c>
    </row>
    <row r="458" spans="1:30">
      <c r="B458" s="83" t="s">
        <v>518</v>
      </c>
      <c r="C458" s="5"/>
      <c r="D458" s="5"/>
      <c r="E458" s="281"/>
      <c r="F458" s="281"/>
      <c r="G458" s="281"/>
      <c r="H458" s="540"/>
      <c r="I458" s="666">
        <f>+I456*I457</f>
        <v>0</v>
      </c>
      <c r="J458" s="666">
        <f t="shared" ref="J458:Y458" si="209">+J456*J457</f>
        <v>0</v>
      </c>
      <c r="K458" s="666">
        <f t="shared" si="209"/>
        <v>0</v>
      </c>
      <c r="L458" s="666">
        <f t="shared" si="209"/>
        <v>0</v>
      </c>
      <c r="M458" s="666">
        <f t="shared" si="209"/>
        <v>0</v>
      </c>
      <c r="N458" s="666">
        <f t="shared" si="209"/>
        <v>0</v>
      </c>
      <c r="O458" s="666">
        <f t="shared" si="209"/>
        <v>0</v>
      </c>
      <c r="P458" s="666">
        <f t="shared" si="209"/>
        <v>0</v>
      </c>
      <c r="Q458" s="666">
        <f t="shared" si="209"/>
        <v>0</v>
      </c>
      <c r="R458" s="666">
        <f t="shared" si="209"/>
        <v>0</v>
      </c>
      <c r="S458" s="666">
        <f t="shared" si="209"/>
        <v>0</v>
      </c>
      <c r="T458" s="666">
        <f t="shared" si="209"/>
        <v>0</v>
      </c>
      <c r="U458" s="666">
        <f t="shared" si="209"/>
        <v>0</v>
      </c>
      <c r="V458" s="666">
        <f t="shared" si="209"/>
        <v>0</v>
      </c>
      <c r="W458" s="666">
        <f t="shared" si="209"/>
        <v>0</v>
      </c>
      <c r="X458" s="666">
        <f t="shared" si="209"/>
        <v>0</v>
      </c>
      <c r="Y458" s="666">
        <f t="shared" si="209"/>
        <v>0</v>
      </c>
      <c r="Z458" s="666">
        <f>+Z456*Z457</f>
        <v>0</v>
      </c>
      <c r="AA458" s="666">
        <f>+AA456*AA457</f>
        <v>0</v>
      </c>
      <c r="AB458" s="666">
        <f>+AB456*AB457</f>
        <v>0</v>
      </c>
      <c r="AC458" s="666">
        <f>+AC456*AC457</f>
        <v>0</v>
      </c>
    </row>
    <row r="459" spans="1:30" ht="12.75">
      <c r="A459" s="506"/>
      <c r="B459" s="5" t="s">
        <v>181</v>
      </c>
      <c r="C459" s="5"/>
      <c r="D459" s="5"/>
      <c r="E459" s="281"/>
      <c r="F459" s="281"/>
      <c r="G459" s="281"/>
      <c r="H459" s="540"/>
      <c r="I459" s="667">
        <v>0</v>
      </c>
      <c r="J459" s="667">
        <f t="shared" ref="J459:AC459" si="210">I459</f>
        <v>0</v>
      </c>
      <c r="K459" s="667">
        <f t="shared" si="210"/>
        <v>0</v>
      </c>
      <c r="L459" s="667">
        <f t="shared" si="210"/>
        <v>0</v>
      </c>
      <c r="M459" s="667">
        <f t="shared" si="210"/>
        <v>0</v>
      </c>
      <c r="N459" s="667">
        <f t="shared" si="210"/>
        <v>0</v>
      </c>
      <c r="O459" s="667">
        <f t="shared" si="210"/>
        <v>0</v>
      </c>
      <c r="P459" s="667">
        <f t="shared" si="210"/>
        <v>0</v>
      </c>
      <c r="Q459" s="667">
        <f t="shared" si="210"/>
        <v>0</v>
      </c>
      <c r="R459" s="667">
        <f t="shared" si="210"/>
        <v>0</v>
      </c>
      <c r="S459" s="667">
        <f t="shared" si="210"/>
        <v>0</v>
      </c>
      <c r="T459" s="667">
        <f t="shared" si="210"/>
        <v>0</v>
      </c>
      <c r="U459" s="667">
        <f t="shared" si="210"/>
        <v>0</v>
      </c>
      <c r="V459" s="667">
        <f t="shared" si="210"/>
        <v>0</v>
      </c>
      <c r="W459" s="667">
        <f t="shared" si="210"/>
        <v>0</v>
      </c>
      <c r="X459" s="667">
        <f t="shared" si="210"/>
        <v>0</v>
      </c>
      <c r="Y459" s="667">
        <f t="shared" si="210"/>
        <v>0</v>
      </c>
      <c r="Z459" s="667">
        <f t="shared" si="210"/>
        <v>0</v>
      </c>
      <c r="AA459" s="667">
        <f t="shared" si="210"/>
        <v>0</v>
      </c>
      <c r="AB459" s="667">
        <f t="shared" si="210"/>
        <v>0</v>
      </c>
      <c r="AC459" s="667">
        <f t="shared" si="210"/>
        <v>0</v>
      </c>
    </row>
    <row r="460" spans="1:30">
      <c r="B460" s="83" t="s">
        <v>519</v>
      </c>
      <c r="D460" s="5"/>
      <c r="E460" s="141"/>
      <c r="F460" s="141"/>
      <c r="H460" s="623"/>
      <c r="I460" s="666">
        <f>+I458*I459</f>
        <v>0</v>
      </c>
      <c r="J460" s="666">
        <f t="shared" ref="J460:Y460" si="211">+J458*J459</f>
        <v>0</v>
      </c>
      <c r="K460" s="666">
        <f t="shared" si="211"/>
        <v>0</v>
      </c>
      <c r="L460" s="666">
        <f t="shared" si="211"/>
        <v>0</v>
      </c>
      <c r="M460" s="666">
        <f t="shared" si="211"/>
        <v>0</v>
      </c>
      <c r="N460" s="666">
        <f t="shared" si="211"/>
        <v>0</v>
      </c>
      <c r="O460" s="666">
        <f t="shared" si="211"/>
        <v>0</v>
      </c>
      <c r="P460" s="666">
        <f t="shared" si="211"/>
        <v>0</v>
      </c>
      <c r="Q460" s="666">
        <f t="shared" si="211"/>
        <v>0</v>
      </c>
      <c r="R460" s="666">
        <f t="shared" si="211"/>
        <v>0</v>
      </c>
      <c r="S460" s="666">
        <f t="shared" si="211"/>
        <v>0</v>
      </c>
      <c r="T460" s="666">
        <f t="shared" si="211"/>
        <v>0</v>
      </c>
      <c r="U460" s="666">
        <f t="shared" si="211"/>
        <v>0</v>
      </c>
      <c r="V460" s="666">
        <f t="shared" si="211"/>
        <v>0</v>
      </c>
      <c r="W460" s="666">
        <f t="shared" si="211"/>
        <v>0</v>
      </c>
      <c r="X460" s="666">
        <f t="shared" si="211"/>
        <v>0</v>
      </c>
      <c r="Y460" s="666">
        <f t="shared" si="211"/>
        <v>0</v>
      </c>
      <c r="Z460" s="666">
        <f>+Z458*Z459</f>
        <v>0</v>
      </c>
      <c r="AA460" s="666">
        <f>+AA458*AA459</f>
        <v>0</v>
      </c>
      <c r="AB460" s="666">
        <f>+AB458*AB459</f>
        <v>0</v>
      </c>
      <c r="AC460" s="666">
        <f>+AC458*AC459</f>
        <v>0</v>
      </c>
      <c r="AD460">
        <f>SUM(E460:AC460)</f>
        <v>0</v>
      </c>
    </row>
    <row r="461" spans="1:30">
      <c r="D461" s="5"/>
      <c r="E461" s="141"/>
      <c r="F461" s="141"/>
      <c r="G461" s="141"/>
    </row>
    <row r="462" spans="1:30">
      <c r="A462" s="455"/>
      <c r="B462" s="83" t="s">
        <v>520</v>
      </c>
      <c r="D462" s="219">
        <v>5</v>
      </c>
      <c r="I462" s="518">
        <f t="shared" ref="I462:AC462" si="212">IF($D462=1,I$212,IF($D462=2,I$215,IF($D462=3,I$217,IF($D462=4,I$219,IF($D462=5,I$221,IF($D462=5,I$223,I$212))))))</f>
        <v>0</v>
      </c>
      <c r="J462" s="518">
        <f t="shared" ca="1" si="212"/>
        <v>21.515888888888885</v>
      </c>
      <c r="K462" s="518">
        <f t="shared" ca="1" si="212"/>
        <v>18.986666666666665</v>
      </c>
      <c r="L462" s="518">
        <f t="shared" ca="1" si="212"/>
        <v>18.343166666666665</v>
      </c>
      <c r="M462" s="518">
        <f t="shared" ca="1" si="212"/>
        <v>18.421749999999999</v>
      </c>
      <c r="N462" s="518">
        <f t="shared" ca="1" si="212"/>
        <v>18.575749999999999</v>
      </c>
      <c r="O462" s="518">
        <f t="shared" ca="1" si="212"/>
        <v>18.731416666666668</v>
      </c>
      <c r="P462" s="518">
        <f t="shared" ca="1" si="212"/>
        <v>18.906166666666667</v>
      </c>
      <c r="Q462" s="518">
        <f t="shared" ca="1" si="212"/>
        <v>19.098166666666668</v>
      </c>
      <c r="R462" s="518">
        <f t="shared" ca="1" si="212"/>
        <v>19.300749999999997</v>
      </c>
      <c r="S462" s="518">
        <f t="shared" ca="1" si="212"/>
        <v>19.5105</v>
      </c>
      <c r="T462" s="518">
        <f t="shared" ca="1" si="212"/>
        <v>19.720083333333339</v>
      </c>
      <c r="U462" s="518">
        <f t="shared" ca="1" si="212"/>
        <v>19.930416666666662</v>
      </c>
      <c r="V462" s="518">
        <f t="shared" ca="1" si="212"/>
        <v>20.140416666666663</v>
      </c>
      <c r="W462" s="518">
        <f t="shared" ca="1" si="212"/>
        <v>20.350249999999999</v>
      </c>
      <c r="X462" s="518">
        <f t="shared" ca="1" si="212"/>
        <v>20.843916666666669</v>
      </c>
      <c r="Y462" s="518">
        <f t="shared" ca="1" si="212"/>
        <v>21.326833333333337</v>
      </c>
      <c r="Z462" s="518">
        <f t="shared" ca="1" si="212"/>
        <v>21.627249999999993</v>
      </c>
      <c r="AA462" s="518">
        <f t="shared" ca="1" si="212"/>
        <v>21.926999999999996</v>
      </c>
      <c r="AB462" s="518">
        <f t="shared" ca="1" si="212"/>
        <v>22.22666666666667</v>
      </c>
      <c r="AC462" s="518">
        <f t="shared" ca="1" si="212"/>
        <v>22.451999999999998</v>
      </c>
    </row>
    <row r="463" spans="1:30">
      <c r="A463" s="456"/>
      <c r="B463" s="83" t="s">
        <v>184</v>
      </c>
      <c r="D463" s="5"/>
      <c r="I463" s="519">
        <v>-2.375</v>
      </c>
      <c r="J463" s="519">
        <f t="shared" ref="J463:AC463" si="213">I463</f>
        <v>-2.375</v>
      </c>
      <c r="K463" s="519">
        <f t="shared" si="213"/>
        <v>-2.375</v>
      </c>
      <c r="L463" s="519">
        <f t="shared" si="213"/>
        <v>-2.375</v>
      </c>
      <c r="M463" s="519">
        <f t="shared" si="213"/>
        <v>-2.375</v>
      </c>
      <c r="N463" s="519">
        <f t="shared" si="213"/>
        <v>-2.375</v>
      </c>
      <c r="O463" s="519">
        <f t="shared" si="213"/>
        <v>-2.375</v>
      </c>
      <c r="P463" s="519">
        <f t="shared" si="213"/>
        <v>-2.375</v>
      </c>
      <c r="Q463" s="519">
        <f t="shared" si="213"/>
        <v>-2.375</v>
      </c>
      <c r="R463" s="519">
        <f t="shared" si="213"/>
        <v>-2.375</v>
      </c>
      <c r="S463" s="519">
        <f t="shared" si="213"/>
        <v>-2.375</v>
      </c>
      <c r="T463" s="519">
        <f t="shared" si="213"/>
        <v>-2.375</v>
      </c>
      <c r="U463" s="519">
        <f t="shared" si="213"/>
        <v>-2.375</v>
      </c>
      <c r="V463" s="519">
        <f t="shared" si="213"/>
        <v>-2.375</v>
      </c>
      <c r="W463" s="519">
        <f t="shared" si="213"/>
        <v>-2.375</v>
      </c>
      <c r="X463" s="519">
        <f t="shared" si="213"/>
        <v>-2.375</v>
      </c>
      <c r="Y463" s="519">
        <f t="shared" si="213"/>
        <v>-2.375</v>
      </c>
      <c r="Z463" s="519">
        <f t="shared" si="213"/>
        <v>-2.375</v>
      </c>
      <c r="AA463" s="519">
        <f t="shared" si="213"/>
        <v>-2.375</v>
      </c>
      <c r="AB463" s="519">
        <f t="shared" si="213"/>
        <v>-2.375</v>
      </c>
      <c r="AC463" s="519">
        <f t="shared" si="213"/>
        <v>-2.375</v>
      </c>
    </row>
    <row r="464" spans="1:30">
      <c r="A464" s="193"/>
      <c r="B464" s="83" t="s">
        <v>185</v>
      </c>
      <c r="D464" s="5"/>
      <c r="I464" s="520">
        <f>+I462+I463</f>
        <v>-2.375</v>
      </c>
      <c r="J464" s="520">
        <f t="shared" ref="J464:Y464" ca="1" si="214">+J462+J463</f>
        <v>19.140888888888885</v>
      </c>
      <c r="K464" s="520">
        <f t="shared" ca="1" si="214"/>
        <v>16.611666666666665</v>
      </c>
      <c r="L464" s="520">
        <f t="shared" ca="1" si="214"/>
        <v>15.968166666666665</v>
      </c>
      <c r="M464" s="520">
        <f t="shared" ca="1" si="214"/>
        <v>16.046749999999999</v>
      </c>
      <c r="N464" s="520">
        <f t="shared" ca="1" si="214"/>
        <v>16.200749999999999</v>
      </c>
      <c r="O464" s="520">
        <f t="shared" ca="1" si="214"/>
        <v>16.356416666666668</v>
      </c>
      <c r="P464" s="520">
        <f t="shared" ca="1" si="214"/>
        <v>16.531166666666667</v>
      </c>
      <c r="Q464" s="520">
        <f t="shared" ca="1" si="214"/>
        <v>16.723166666666668</v>
      </c>
      <c r="R464" s="520">
        <f t="shared" ca="1" si="214"/>
        <v>16.925749999999997</v>
      </c>
      <c r="S464" s="520">
        <f t="shared" ca="1" si="214"/>
        <v>17.1355</v>
      </c>
      <c r="T464" s="520">
        <f t="shared" ca="1" si="214"/>
        <v>17.345083333333339</v>
      </c>
      <c r="U464" s="520">
        <f t="shared" ca="1" si="214"/>
        <v>17.555416666666662</v>
      </c>
      <c r="V464" s="520">
        <f t="shared" ca="1" si="214"/>
        <v>17.765416666666663</v>
      </c>
      <c r="W464" s="520">
        <f t="shared" ca="1" si="214"/>
        <v>17.975249999999999</v>
      </c>
      <c r="X464" s="520">
        <f t="shared" ca="1" si="214"/>
        <v>18.468916666666669</v>
      </c>
      <c r="Y464" s="520">
        <f t="shared" ca="1" si="214"/>
        <v>18.951833333333337</v>
      </c>
      <c r="Z464" s="520">
        <f ca="1">+Z462+Z463</f>
        <v>19.252249999999993</v>
      </c>
      <c r="AA464" s="520">
        <f ca="1">+AA462+AA463</f>
        <v>19.551999999999996</v>
      </c>
      <c r="AB464" s="520">
        <f ca="1">+AB462+AB463</f>
        <v>19.85166666666667</v>
      </c>
      <c r="AC464" s="520">
        <f ca="1">+AC462+AC463</f>
        <v>20.076999999999998</v>
      </c>
    </row>
    <row r="465" spans="1:30">
      <c r="A465" s="455"/>
      <c r="B465" s="5" t="str">
        <f>+"Oil Revenue ($"&amp;$F$5</f>
        <v>Oil Revenue ($Thousands)</v>
      </c>
      <c r="D465" s="5"/>
      <c r="E465" s="141"/>
      <c r="F465" s="141"/>
      <c r="G465" s="141"/>
      <c r="H465" s="614"/>
      <c r="I465" s="615">
        <f t="shared" ref="I465:X465" si="215">I460*I464*1000/unit</f>
        <v>0</v>
      </c>
      <c r="J465" s="615">
        <f t="shared" ca="1" si="215"/>
        <v>0</v>
      </c>
      <c r="K465" s="615">
        <f t="shared" ca="1" si="215"/>
        <v>0</v>
      </c>
      <c r="L465" s="615">
        <f t="shared" ca="1" si="215"/>
        <v>0</v>
      </c>
      <c r="M465" s="615">
        <f t="shared" ca="1" si="215"/>
        <v>0</v>
      </c>
      <c r="N465" s="615">
        <f t="shared" ca="1" si="215"/>
        <v>0</v>
      </c>
      <c r="O465" s="615">
        <f t="shared" ca="1" si="215"/>
        <v>0</v>
      </c>
      <c r="P465" s="615">
        <f t="shared" ca="1" si="215"/>
        <v>0</v>
      </c>
      <c r="Q465" s="615">
        <f t="shared" ca="1" si="215"/>
        <v>0</v>
      </c>
      <c r="R465" s="615">
        <f t="shared" ca="1" si="215"/>
        <v>0</v>
      </c>
      <c r="S465" s="615">
        <f t="shared" ca="1" si="215"/>
        <v>0</v>
      </c>
      <c r="T465" s="615">
        <f t="shared" ca="1" si="215"/>
        <v>0</v>
      </c>
      <c r="U465" s="615">
        <f t="shared" ca="1" si="215"/>
        <v>0</v>
      </c>
      <c r="V465" s="615">
        <f t="shared" ca="1" si="215"/>
        <v>0</v>
      </c>
      <c r="W465" s="615">
        <f t="shared" ca="1" si="215"/>
        <v>0</v>
      </c>
      <c r="X465" s="615">
        <f t="shared" ca="1" si="215"/>
        <v>0</v>
      </c>
      <c r="Y465" s="615">
        <f ca="1">Y460*Y464*1000/unit</f>
        <v>0</v>
      </c>
      <c r="Z465" s="615">
        <f ca="1">Z460*Z464*1000/unit</f>
        <v>0</v>
      </c>
      <c r="AA465" s="615">
        <f ca="1">AA460*AA464*1000/unit</f>
        <v>0</v>
      </c>
      <c r="AB465" s="615">
        <f ca="1">AB460*AB464*1000/unit</f>
        <v>0</v>
      </c>
      <c r="AC465" s="615">
        <f ca="1">AC460*AC464*1000/unit</f>
        <v>0</v>
      </c>
    </row>
    <row r="466" spans="1:30">
      <c r="A466" s="455"/>
      <c r="B466" s="5"/>
      <c r="D466" s="5"/>
      <c r="E466" s="281" t="s">
        <v>392</v>
      </c>
      <c r="F466" s="281" t="s">
        <v>535</v>
      </c>
      <c r="G466" s="281" t="s">
        <v>394</v>
      </c>
      <c r="H466" s="614"/>
      <c r="I466" s="623"/>
      <c r="J466" s="623"/>
      <c r="K466" s="623"/>
      <c r="L466" s="623"/>
      <c r="M466" s="623"/>
      <c r="N466" s="623"/>
      <c r="O466" s="623"/>
      <c r="P466" s="623"/>
      <c r="Q466" s="623"/>
      <c r="R466" s="623"/>
      <c r="S466" s="623"/>
      <c r="T466" s="623"/>
      <c r="U466" s="623"/>
      <c r="V466" s="623"/>
      <c r="W466" s="623"/>
      <c r="X466" s="623"/>
      <c r="Y466" s="622"/>
      <c r="Z466" s="622"/>
      <c r="AA466" s="622"/>
      <c r="AB466" s="622"/>
      <c r="AC466" s="622"/>
    </row>
    <row r="467" spans="1:30">
      <c r="A467" s="455"/>
      <c r="B467" s="5"/>
      <c r="D467" s="5"/>
      <c r="E467" s="690">
        <v>0.6</v>
      </c>
      <c r="F467" s="777">
        <v>1</v>
      </c>
      <c r="G467" s="690">
        <v>1.4</v>
      </c>
      <c r="H467" s="614"/>
      <c r="I467" s="623"/>
      <c r="J467" s="623"/>
      <c r="K467" s="623"/>
      <c r="L467" s="623"/>
      <c r="M467" s="623"/>
      <c r="N467" s="623"/>
      <c r="O467" s="623"/>
      <c r="P467" s="623"/>
      <c r="Q467" s="623"/>
      <c r="R467" s="623"/>
      <c r="S467" s="623"/>
      <c r="T467" s="623"/>
      <c r="U467" s="623"/>
      <c r="V467" s="623"/>
      <c r="W467" s="623"/>
      <c r="X467" s="623"/>
      <c r="Y467" s="622"/>
      <c r="Z467" s="622"/>
      <c r="AA467" s="622"/>
      <c r="AB467" s="622"/>
      <c r="AC467" s="622"/>
    </row>
    <row r="468" spans="1:30">
      <c r="A468" s="455"/>
      <c r="B468" s="5"/>
      <c r="D468" s="5"/>
      <c r="E468" s="141"/>
      <c r="F468" s="141"/>
      <c r="G468" s="141"/>
      <c r="H468" s="614"/>
      <c r="I468" s="623">
        <v>0</v>
      </c>
      <c r="J468" s="623">
        <v>0</v>
      </c>
      <c r="K468" s="623">
        <v>0</v>
      </c>
      <c r="L468" s="623">
        <v>0</v>
      </c>
      <c r="M468" s="623">
        <v>0</v>
      </c>
      <c r="N468" s="623">
        <v>0</v>
      </c>
      <c r="O468" s="623">
        <v>0</v>
      </c>
      <c r="P468" s="623">
        <v>0</v>
      </c>
      <c r="Q468" s="623">
        <v>0</v>
      </c>
      <c r="R468" s="623">
        <v>0</v>
      </c>
      <c r="S468" s="623">
        <v>0</v>
      </c>
      <c r="T468" s="623">
        <v>0</v>
      </c>
      <c r="U468" s="623">
        <v>0</v>
      </c>
      <c r="V468" s="623">
        <v>0</v>
      </c>
      <c r="W468" s="623">
        <v>0</v>
      </c>
      <c r="X468" s="623">
        <v>0</v>
      </c>
      <c r="Y468" s="622">
        <v>0</v>
      </c>
      <c r="Z468" s="622">
        <v>0</v>
      </c>
      <c r="AA468" s="622">
        <v>0</v>
      </c>
      <c r="AB468" s="622">
        <v>0</v>
      </c>
      <c r="AC468" s="622"/>
    </row>
    <row r="469" spans="1:30">
      <c r="A469" s="455" t="s">
        <v>14</v>
      </c>
      <c r="B469" s="83" t="s">
        <v>521</v>
      </c>
      <c r="D469" s="5"/>
      <c r="E469" s="141"/>
      <c r="F469" s="141"/>
      <c r="G469" s="141"/>
      <c r="H469" s="614"/>
      <c r="I469" s="517">
        <f>I468*$F$467</f>
        <v>0</v>
      </c>
      <c r="J469" s="517">
        <f t="shared" ref="J469:Y469" si="216">J468*$F$467</f>
        <v>0</v>
      </c>
      <c r="K469" s="517">
        <f t="shared" si="216"/>
        <v>0</v>
      </c>
      <c r="L469" s="517">
        <f t="shared" si="216"/>
        <v>0</v>
      </c>
      <c r="M469" s="517">
        <f t="shared" si="216"/>
        <v>0</v>
      </c>
      <c r="N469" s="517">
        <f t="shared" si="216"/>
        <v>0</v>
      </c>
      <c r="O469" s="517">
        <f t="shared" si="216"/>
        <v>0</v>
      </c>
      <c r="P469" s="517">
        <f t="shared" si="216"/>
        <v>0</v>
      </c>
      <c r="Q469" s="517">
        <f t="shared" si="216"/>
        <v>0</v>
      </c>
      <c r="R469" s="517">
        <f t="shared" si="216"/>
        <v>0</v>
      </c>
      <c r="S469" s="517">
        <f t="shared" si="216"/>
        <v>0</v>
      </c>
      <c r="T469" s="517">
        <f t="shared" si="216"/>
        <v>0</v>
      </c>
      <c r="U469" s="517">
        <f t="shared" si="216"/>
        <v>0</v>
      </c>
      <c r="V469" s="517">
        <f t="shared" si="216"/>
        <v>0</v>
      </c>
      <c r="W469" s="517">
        <f t="shared" si="216"/>
        <v>0</v>
      </c>
      <c r="X469" s="517">
        <f t="shared" si="216"/>
        <v>0</v>
      </c>
      <c r="Y469" s="517">
        <f t="shared" si="216"/>
        <v>0</v>
      </c>
      <c r="Z469" s="517">
        <f>Z468*$F$467</f>
        <v>0</v>
      </c>
      <c r="AA469" s="517">
        <f>AA468*$F$467</f>
        <v>0</v>
      </c>
      <c r="AB469" s="517">
        <f>AB468*$F$467</f>
        <v>0</v>
      </c>
      <c r="AC469" s="517">
        <f>AC468*$F$467</f>
        <v>0</v>
      </c>
    </row>
    <row r="470" spans="1:30">
      <c r="A470" s="455"/>
      <c r="B470" s="83" t="s">
        <v>517</v>
      </c>
      <c r="D470" s="5"/>
      <c r="E470" s="141"/>
      <c r="F470" s="141"/>
      <c r="G470" s="141"/>
      <c r="H470" s="614"/>
      <c r="I470" s="667">
        <v>1</v>
      </c>
      <c r="J470" s="667">
        <v>0</v>
      </c>
      <c r="K470" s="667">
        <v>0</v>
      </c>
      <c r="L470" s="667">
        <f>K470</f>
        <v>0</v>
      </c>
      <c r="M470" s="667">
        <v>0</v>
      </c>
      <c r="N470" s="667">
        <v>0</v>
      </c>
      <c r="O470" s="667">
        <v>0</v>
      </c>
      <c r="P470" s="667">
        <f>O470</f>
        <v>0</v>
      </c>
      <c r="Q470" s="667">
        <v>0</v>
      </c>
      <c r="R470" s="667">
        <v>0</v>
      </c>
      <c r="S470" s="667">
        <v>0</v>
      </c>
      <c r="T470" s="667">
        <v>0</v>
      </c>
      <c r="U470" s="667">
        <v>0</v>
      </c>
      <c r="V470" s="667">
        <v>0</v>
      </c>
      <c r="W470" s="667">
        <v>0</v>
      </c>
      <c r="X470" s="667">
        <v>0</v>
      </c>
      <c r="Y470" s="667">
        <v>0</v>
      </c>
      <c r="Z470" s="667">
        <v>0</v>
      </c>
      <c r="AA470" s="667">
        <v>0</v>
      </c>
      <c r="AB470" s="667">
        <v>0</v>
      </c>
      <c r="AC470" s="667">
        <f>AB470</f>
        <v>0</v>
      </c>
    </row>
    <row r="471" spans="1:30">
      <c r="B471" s="83" t="s">
        <v>522</v>
      </c>
      <c r="D471" s="5"/>
      <c r="E471" s="141"/>
      <c r="F471" s="141"/>
      <c r="G471" s="141"/>
      <c r="H471" s="623"/>
      <c r="I471" s="666">
        <f>+I469*I470</f>
        <v>0</v>
      </c>
      <c r="J471" s="666">
        <f t="shared" ref="J471:Y471" si="217">+J469*J470</f>
        <v>0</v>
      </c>
      <c r="K471" s="666">
        <f t="shared" si="217"/>
        <v>0</v>
      </c>
      <c r="L471" s="666">
        <f t="shared" si="217"/>
        <v>0</v>
      </c>
      <c r="M471" s="666">
        <f t="shared" si="217"/>
        <v>0</v>
      </c>
      <c r="N471" s="666">
        <f t="shared" si="217"/>
        <v>0</v>
      </c>
      <c r="O471" s="666">
        <f t="shared" si="217"/>
        <v>0</v>
      </c>
      <c r="P471" s="666">
        <f t="shared" si="217"/>
        <v>0</v>
      </c>
      <c r="Q471" s="666">
        <f t="shared" si="217"/>
        <v>0</v>
      </c>
      <c r="R471" s="666">
        <f t="shared" si="217"/>
        <v>0</v>
      </c>
      <c r="S471" s="666">
        <f t="shared" si="217"/>
        <v>0</v>
      </c>
      <c r="T471" s="666">
        <f t="shared" si="217"/>
        <v>0</v>
      </c>
      <c r="U471" s="666">
        <f t="shared" si="217"/>
        <v>0</v>
      </c>
      <c r="V471" s="666">
        <f t="shared" si="217"/>
        <v>0</v>
      </c>
      <c r="W471" s="666">
        <f t="shared" si="217"/>
        <v>0</v>
      </c>
      <c r="X471" s="666">
        <f t="shared" si="217"/>
        <v>0</v>
      </c>
      <c r="Y471" s="666">
        <f t="shared" si="217"/>
        <v>0</v>
      </c>
      <c r="Z471" s="666">
        <f>+Z469*Z470</f>
        <v>0</v>
      </c>
      <c r="AA471" s="666">
        <f>+AA469*AA470</f>
        <v>0</v>
      </c>
      <c r="AB471" s="666">
        <f>+AB469*AB470</f>
        <v>0</v>
      </c>
      <c r="AC471" s="666">
        <f>+AC469*AC470</f>
        <v>0</v>
      </c>
    </row>
    <row r="472" spans="1:30">
      <c r="A472" s="455"/>
      <c r="B472" s="5" t="s">
        <v>181</v>
      </c>
      <c r="D472" s="5"/>
      <c r="E472" s="141"/>
      <c r="F472" s="141"/>
      <c r="G472" s="141"/>
      <c r="H472" s="623"/>
      <c r="I472" s="667">
        <v>0</v>
      </c>
      <c r="J472" s="667">
        <f t="shared" ref="J472:AC472" si="218">I472</f>
        <v>0</v>
      </c>
      <c r="K472" s="667">
        <f t="shared" si="218"/>
        <v>0</v>
      </c>
      <c r="L472" s="667">
        <f t="shared" si="218"/>
        <v>0</v>
      </c>
      <c r="M472" s="667">
        <f t="shared" si="218"/>
        <v>0</v>
      </c>
      <c r="N472" s="667">
        <f t="shared" si="218"/>
        <v>0</v>
      </c>
      <c r="O472" s="667">
        <f t="shared" si="218"/>
        <v>0</v>
      </c>
      <c r="P472" s="667">
        <f t="shared" si="218"/>
        <v>0</v>
      </c>
      <c r="Q472" s="667">
        <f t="shared" si="218"/>
        <v>0</v>
      </c>
      <c r="R472" s="667">
        <f t="shared" si="218"/>
        <v>0</v>
      </c>
      <c r="S472" s="667">
        <f t="shared" si="218"/>
        <v>0</v>
      </c>
      <c r="T472" s="667">
        <f t="shared" si="218"/>
        <v>0</v>
      </c>
      <c r="U472" s="667">
        <f t="shared" si="218"/>
        <v>0</v>
      </c>
      <c r="V472" s="667">
        <f t="shared" si="218"/>
        <v>0</v>
      </c>
      <c r="W472" s="667">
        <f t="shared" si="218"/>
        <v>0</v>
      </c>
      <c r="X472" s="667">
        <f t="shared" si="218"/>
        <v>0</v>
      </c>
      <c r="Y472" s="667">
        <f t="shared" si="218"/>
        <v>0</v>
      </c>
      <c r="Z472" s="667">
        <f t="shared" si="218"/>
        <v>0</v>
      </c>
      <c r="AA472" s="667">
        <f t="shared" si="218"/>
        <v>0</v>
      </c>
      <c r="AB472" s="667">
        <f t="shared" si="218"/>
        <v>0</v>
      </c>
      <c r="AC472" s="667">
        <f t="shared" si="218"/>
        <v>0</v>
      </c>
    </row>
    <row r="473" spans="1:30">
      <c r="B473" s="83" t="s">
        <v>187</v>
      </c>
      <c r="D473" s="5"/>
      <c r="E473" s="141"/>
      <c r="F473" s="141"/>
      <c r="G473" s="141"/>
      <c r="H473" s="623"/>
      <c r="I473" s="666">
        <f>+I471*I472</f>
        <v>0</v>
      </c>
      <c r="J473" s="666">
        <f t="shared" ref="J473:Y473" si="219">+J471*J472</f>
        <v>0</v>
      </c>
      <c r="K473" s="666">
        <f t="shared" si="219"/>
        <v>0</v>
      </c>
      <c r="L473" s="666">
        <f t="shared" si="219"/>
        <v>0</v>
      </c>
      <c r="M473" s="666">
        <f t="shared" si="219"/>
        <v>0</v>
      </c>
      <c r="N473" s="666">
        <f t="shared" si="219"/>
        <v>0</v>
      </c>
      <c r="O473" s="666">
        <f t="shared" si="219"/>
        <v>0</v>
      </c>
      <c r="P473" s="666">
        <f t="shared" si="219"/>
        <v>0</v>
      </c>
      <c r="Q473" s="666">
        <f t="shared" si="219"/>
        <v>0</v>
      </c>
      <c r="R473" s="666">
        <f t="shared" si="219"/>
        <v>0</v>
      </c>
      <c r="S473" s="666">
        <f t="shared" si="219"/>
        <v>0</v>
      </c>
      <c r="T473" s="666">
        <f t="shared" si="219"/>
        <v>0</v>
      </c>
      <c r="U473" s="666">
        <f t="shared" si="219"/>
        <v>0</v>
      </c>
      <c r="V473" s="666">
        <f t="shared" si="219"/>
        <v>0</v>
      </c>
      <c r="W473" s="666">
        <f t="shared" si="219"/>
        <v>0</v>
      </c>
      <c r="X473" s="666">
        <f t="shared" si="219"/>
        <v>0</v>
      </c>
      <c r="Y473" s="666">
        <f t="shared" si="219"/>
        <v>0</v>
      </c>
      <c r="Z473" s="666">
        <f>+Z471*Z472</f>
        <v>0</v>
      </c>
      <c r="AA473" s="666">
        <f>+AA471*AA472</f>
        <v>0</v>
      </c>
      <c r="AB473" s="666">
        <f>+AB471*AB472</f>
        <v>0</v>
      </c>
      <c r="AC473" s="666">
        <f>+AC471*AC472</f>
        <v>0</v>
      </c>
      <c r="AD473">
        <f>SUM(E473:AC473)</f>
        <v>0</v>
      </c>
    </row>
    <row r="474" spans="1:30">
      <c r="A474" s="455"/>
      <c r="B474" s="339" t="s">
        <v>191</v>
      </c>
      <c r="D474" s="457" t="s">
        <v>164</v>
      </c>
      <c r="E474" s="458" t="s">
        <v>188</v>
      </c>
      <c r="F474" s="459" t="s">
        <v>189</v>
      </c>
      <c r="G474" s="459" t="s">
        <v>190</v>
      </c>
      <c r="H474" s="614"/>
      <c r="I474" s="623"/>
      <c r="J474" s="623"/>
      <c r="K474" s="623"/>
      <c r="L474" s="623"/>
      <c r="M474" s="623"/>
      <c r="N474" s="623"/>
      <c r="O474" s="623"/>
      <c r="P474" s="623"/>
      <c r="Q474" s="623"/>
      <c r="R474" s="623"/>
      <c r="S474" s="623"/>
      <c r="T474" s="623"/>
      <c r="U474" s="623"/>
      <c r="V474" s="623"/>
      <c r="W474" s="623"/>
      <c r="X474" s="623"/>
      <c r="Y474" s="623"/>
      <c r="Z474" s="623"/>
      <c r="AA474" s="623"/>
      <c r="AB474" s="623"/>
      <c r="AC474" s="623"/>
    </row>
    <row r="475" spans="1:30">
      <c r="A475" s="455"/>
      <c r="D475" s="502" t="s">
        <v>19</v>
      </c>
      <c r="E475" s="581"/>
      <c r="F475" s="581"/>
      <c r="G475" s="581"/>
      <c r="H475" s="614"/>
      <c r="I475" s="526">
        <v>1</v>
      </c>
      <c r="J475" s="526">
        <v>1</v>
      </c>
      <c r="K475" s="526">
        <v>1</v>
      </c>
      <c r="L475" s="526">
        <v>1</v>
      </c>
      <c r="M475" s="526">
        <v>1</v>
      </c>
      <c r="N475" s="526">
        <v>1</v>
      </c>
      <c r="O475" s="526">
        <v>1</v>
      </c>
      <c r="P475" s="526">
        <v>1</v>
      </c>
      <c r="Q475" s="526">
        <v>1</v>
      </c>
      <c r="R475" s="526">
        <v>1</v>
      </c>
      <c r="S475" s="526">
        <v>1</v>
      </c>
      <c r="T475" s="526">
        <v>1</v>
      </c>
      <c r="U475" s="526">
        <v>1</v>
      </c>
      <c r="V475" s="526">
        <v>1</v>
      </c>
      <c r="W475" s="526">
        <v>1</v>
      </c>
      <c r="X475" s="526">
        <v>1</v>
      </c>
      <c r="Y475" s="526">
        <v>1</v>
      </c>
      <c r="Z475" s="526">
        <v>1</v>
      </c>
      <c r="AA475" s="526">
        <v>1</v>
      </c>
      <c r="AB475" s="526">
        <v>1</v>
      </c>
      <c r="AC475" s="526">
        <v>1</v>
      </c>
    </row>
    <row r="476" spans="1:30">
      <c r="A476" s="455"/>
      <c r="B476" s="83" t="s">
        <v>192</v>
      </c>
      <c r="D476" s="5"/>
      <c r="I476" s="615">
        <f>+I475*I473</f>
        <v>0</v>
      </c>
      <c r="J476" s="615">
        <f t="shared" ref="J476:Y476" si="220">+J475*J473</f>
        <v>0</v>
      </c>
      <c r="K476" s="615">
        <f t="shared" si="220"/>
        <v>0</v>
      </c>
      <c r="L476" s="615">
        <f t="shared" si="220"/>
        <v>0</v>
      </c>
      <c r="M476" s="615">
        <f t="shared" si="220"/>
        <v>0</v>
      </c>
      <c r="N476" s="615">
        <f t="shared" si="220"/>
        <v>0</v>
      </c>
      <c r="O476" s="615">
        <f t="shared" si="220"/>
        <v>0</v>
      </c>
      <c r="P476" s="615">
        <f t="shared" si="220"/>
        <v>0</v>
      </c>
      <c r="Q476" s="615">
        <f t="shared" si="220"/>
        <v>0</v>
      </c>
      <c r="R476" s="615">
        <f t="shared" si="220"/>
        <v>0</v>
      </c>
      <c r="S476" s="615">
        <f t="shared" si="220"/>
        <v>0</v>
      </c>
      <c r="T476" s="615">
        <f t="shared" si="220"/>
        <v>0</v>
      </c>
      <c r="U476" s="615">
        <f t="shared" si="220"/>
        <v>0</v>
      </c>
      <c r="V476" s="615">
        <f t="shared" si="220"/>
        <v>0</v>
      </c>
      <c r="W476" s="615">
        <f t="shared" si="220"/>
        <v>0</v>
      </c>
      <c r="X476" s="615">
        <f t="shared" si="220"/>
        <v>0</v>
      </c>
      <c r="Y476" s="615">
        <f t="shared" si="220"/>
        <v>0</v>
      </c>
      <c r="Z476" s="615">
        <f>+Z475*Z473</f>
        <v>0</v>
      </c>
      <c r="AA476" s="615">
        <f>+AA475*AA473</f>
        <v>0</v>
      </c>
      <c r="AB476" s="615">
        <f>+AB475*AB473</f>
        <v>0</v>
      </c>
      <c r="AC476" s="615">
        <f>+AC475*AC473</f>
        <v>0</v>
      </c>
    </row>
    <row r="477" spans="1:30">
      <c r="A477" s="455"/>
      <c r="B477" s="83"/>
      <c r="D477" s="5"/>
      <c r="I477" s="623"/>
      <c r="J477" s="623"/>
      <c r="K477" s="623"/>
      <c r="L477" s="623"/>
      <c r="M477" s="623"/>
      <c r="N477" s="623"/>
      <c r="O477" s="623"/>
      <c r="P477" s="623"/>
      <c r="Q477" s="623"/>
      <c r="R477" s="623"/>
      <c r="S477" s="623"/>
      <c r="T477" s="623"/>
      <c r="U477" s="623"/>
      <c r="V477" s="623"/>
      <c r="W477" s="623"/>
      <c r="X477" s="623"/>
      <c r="Y477" s="623"/>
      <c r="Z477" s="623"/>
      <c r="AA477" s="623"/>
      <c r="AB477" s="623"/>
      <c r="AC477" s="623"/>
    </row>
    <row r="478" spans="1:30">
      <c r="A478" s="455"/>
      <c r="B478" s="83" t="s">
        <v>523</v>
      </c>
      <c r="D478" s="219">
        <v>5</v>
      </c>
      <c r="I478" s="528">
        <f t="shared" ref="I478:AC478" si="221">IF($D478=1,I$197,IF($D478=2,I$200,IF($D478=3,I$202,IF($D478=4,I$204,IF($D478=5,I$206,IF($D478=5,I$208,I$197))))))</f>
        <v>0</v>
      </c>
      <c r="J478" s="528">
        <f t="shared" ca="1" si="221"/>
        <v>2.2389999999999999</v>
      </c>
      <c r="K478" s="528">
        <f t="shared" ca="1" si="221"/>
        <v>2.0167499999999996</v>
      </c>
      <c r="L478" s="528">
        <f t="shared" ca="1" si="221"/>
        <v>2.0158333333333331</v>
      </c>
      <c r="M478" s="528">
        <f t="shared" ca="1" si="221"/>
        <v>2.0045833333333336</v>
      </c>
      <c r="N478" s="528">
        <f t="shared" ca="1" si="221"/>
        <v>2.0054166666666666</v>
      </c>
      <c r="O478" s="528">
        <f t="shared" ca="1" si="221"/>
        <v>2.0133333333333332</v>
      </c>
      <c r="P478" s="528">
        <f t="shared" ca="1" si="221"/>
        <v>2.0291666666666663</v>
      </c>
      <c r="Q478" s="528">
        <f t="shared" ca="1" si="221"/>
        <v>2.0549999999999997</v>
      </c>
      <c r="R478" s="528">
        <f t="shared" ca="1" si="221"/>
        <v>2.0966666666666662</v>
      </c>
      <c r="S478" s="528">
        <f t="shared" ca="1" si="221"/>
        <v>2.1583333333333328</v>
      </c>
      <c r="T478" s="528">
        <f t="shared" ca="1" si="221"/>
        <v>2.2399999999999993</v>
      </c>
      <c r="U478" s="528">
        <f t="shared" ca="1" si="221"/>
        <v>2.3416666666666663</v>
      </c>
      <c r="V478" s="528">
        <f t="shared" ca="1" si="221"/>
        <v>2.4574999999999991</v>
      </c>
      <c r="W478" s="528">
        <f t="shared" ca="1" si="221"/>
        <v>2.5833333333333326</v>
      </c>
      <c r="X478" s="528">
        <f t="shared" ca="1" si="221"/>
        <v>2.7191666666666663</v>
      </c>
      <c r="Y478" s="528">
        <f t="shared" ca="1" si="221"/>
        <v>2.8649999999999998</v>
      </c>
      <c r="Z478" s="528">
        <f t="shared" ca="1" si="221"/>
        <v>3.0208333333333326</v>
      </c>
      <c r="AA478" s="528">
        <f t="shared" ca="1" si="221"/>
        <v>3.186666666666667</v>
      </c>
      <c r="AB478" s="528">
        <f t="shared" ca="1" si="221"/>
        <v>3.3625000000000003</v>
      </c>
      <c r="AC478" s="528">
        <f t="shared" ca="1" si="221"/>
        <v>3.5483333333333325</v>
      </c>
    </row>
    <row r="479" spans="1:30">
      <c r="A479" s="455"/>
      <c r="B479" s="83" t="s">
        <v>184</v>
      </c>
      <c r="D479" s="5"/>
      <c r="E479" s="444"/>
      <c r="F479" s="444"/>
      <c r="G479" s="444"/>
      <c r="H479" s="445"/>
      <c r="I479" s="526">
        <f>-0.375</f>
        <v>-0.375</v>
      </c>
      <c r="J479" s="526">
        <f t="shared" ref="J479:AC479" si="222">I479</f>
        <v>-0.375</v>
      </c>
      <c r="K479" s="526">
        <f t="shared" si="222"/>
        <v>-0.375</v>
      </c>
      <c r="L479" s="526">
        <f t="shared" si="222"/>
        <v>-0.375</v>
      </c>
      <c r="M479" s="526">
        <f t="shared" si="222"/>
        <v>-0.375</v>
      </c>
      <c r="N479" s="526">
        <f t="shared" si="222"/>
        <v>-0.375</v>
      </c>
      <c r="O479" s="526">
        <f t="shared" si="222"/>
        <v>-0.375</v>
      </c>
      <c r="P479" s="526">
        <f t="shared" si="222"/>
        <v>-0.375</v>
      </c>
      <c r="Q479" s="526">
        <f t="shared" si="222"/>
        <v>-0.375</v>
      </c>
      <c r="R479" s="526">
        <f t="shared" si="222"/>
        <v>-0.375</v>
      </c>
      <c r="S479" s="526">
        <f t="shared" si="222"/>
        <v>-0.375</v>
      </c>
      <c r="T479" s="526">
        <f t="shared" si="222"/>
        <v>-0.375</v>
      </c>
      <c r="U479" s="526">
        <f t="shared" si="222"/>
        <v>-0.375</v>
      </c>
      <c r="V479" s="526">
        <f t="shared" si="222"/>
        <v>-0.375</v>
      </c>
      <c r="W479" s="526">
        <f t="shared" si="222"/>
        <v>-0.375</v>
      </c>
      <c r="X479" s="526">
        <f t="shared" si="222"/>
        <v>-0.375</v>
      </c>
      <c r="Y479" s="526">
        <f t="shared" si="222"/>
        <v>-0.375</v>
      </c>
      <c r="Z479" s="526">
        <f t="shared" si="222"/>
        <v>-0.375</v>
      </c>
      <c r="AA479" s="526">
        <f t="shared" si="222"/>
        <v>-0.375</v>
      </c>
      <c r="AB479" s="526">
        <f t="shared" si="222"/>
        <v>-0.375</v>
      </c>
      <c r="AC479" s="526">
        <f t="shared" si="222"/>
        <v>-0.375</v>
      </c>
    </row>
    <row r="480" spans="1:30">
      <c r="A480" s="455"/>
      <c r="B480" s="83" t="s">
        <v>194</v>
      </c>
      <c r="D480" s="5"/>
      <c r="I480" s="532">
        <f>+I478+I479</f>
        <v>-0.375</v>
      </c>
      <c r="J480" s="532">
        <f t="shared" ref="J480:Y480" ca="1" si="223">+J478+J479</f>
        <v>1.8639999999999999</v>
      </c>
      <c r="K480" s="532">
        <f t="shared" ca="1" si="223"/>
        <v>1.6417499999999996</v>
      </c>
      <c r="L480" s="532">
        <f t="shared" ca="1" si="223"/>
        <v>1.6408333333333331</v>
      </c>
      <c r="M480" s="532">
        <f t="shared" ca="1" si="223"/>
        <v>1.6295833333333336</v>
      </c>
      <c r="N480" s="532">
        <f t="shared" ca="1" si="223"/>
        <v>1.6304166666666666</v>
      </c>
      <c r="O480" s="532">
        <f t="shared" ca="1" si="223"/>
        <v>1.6383333333333332</v>
      </c>
      <c r="P480" s="532">
        <f t="shared" ca="1" si="223"/>
        <v>1.6541666666666663</v>
      </c>
      <c r="Q480" s="532">
        <f t="shared" ca="1" si="223"/>
        <v>1.6799999999999997</v>
      </c>
      <c r="R480" s="532">
        <f t="shared" ca="1" si="223"/>
        <v>1.7216666666666662</v>
      </c>
      <c r="S480" s="532">
        <f t="shared" ca="1" si="223"/>
        <v>1.7833333333333328</v>
      </c>
      <c r="T480" s="532">
        <f t="shared" ca="1" si="223"/>
        <v>1.8649999999999993</v>
      </c>
      <c r="U480" s="532">
        <f t="shared" ca="1" si="223"/>
        <v>1.9666666666666663</v>
      </c>
      <c r="V480" s="532">
        <f t="shared" ca="1" si="223"/>
        <v>2.0824999999999991</v>
      </c>
      <c r="W480" s="532">
        <f t="shared" ca="1" si="223"/>
        <v>2.2083333333333326</v>
      </c>
      <c r="X480" s="532">
        <f t="shared" ca="1" si="223"/>
        <v>2.3441666666666663</v>
      </c>
      <c r="Y480" s="532">
        <f t="shared" ca="1" si="223"/>
        <v>2.4899999999999998</v>
      </c>
      <c r="Z480" s="532">
        <f ca="1">+Z478+Z479</f>
        <v>2.6458333333333326</v>
      </c>
      <c r="AA480" s="532">
        <f ca="1">+AA478+AA479</f>
        <v>2.811666666666667</v>
      </c>
      <c r="AB480" s="532">
        <f ca="1">+AB478+AB479</f>
        <v>2.9875000000000003</v>
      </c>
      <c r="AC480" s="532">
        <f ca="1">+AC478+AC479</f>
        <v>3.1733333333333325</v>
      </c>
    </row>
    <row r="481" spans="1:29">
      <c r="A481" s="455"/>
      <c r="B481" s="5" t="str">
        <f>+"Gas Revenues ($"&amp;$F$5</f>
        <v>Gas Revenues ($Thousands)</v>
      </c>
      <c r="D481" s="5"/>
      <c r="I481" s="615">
        <f>I476*1000*I480/unit</f>
        <v>0</v>
      </c>
      <c r="J481" s="615">
        <f t="shared" ref="J481:Y481" ca="1" si="224">J476*1000*J480/unit</f>
        <v>0</v>
      </c>
      <c r="K481" s="615">
        <f t="shared" ca="1" si="224"/>
        <v>0</v>
      </c>
      <c r="L481" s="615">
        <f t="shared" ca="1" si="224"/>
        <v>0</v>
      </c>
      <c r="M481" s="615">
        <f t="shared" ca="1" si="224"/>
        <v>0</v>
      </c>
      <c r="N481" s="615">
        <f t="shared" ca="1" si="224"/>
        <v>0</v>
      </c>
      <c r="O481" s="615">
        <f t="shared" ca="1" si="224"/>
        <v>0</v>
      </c>
      <c r="P481" s="615">
        <f t="shared" ca="1" si="224"/>
        <v>0</v>
      </c>
      <c r="Q481" s="615">
        <f t="shared" ca="1" si="224"/>
        <v>0</v>
      </c>
      <c r="R481" s="615">
        <f t="shared" ca="1" si="224"/>
        <v>0</v>
      </c>
      <c r="S481" s="615">
        <f t="shared" ca="1" si="224"/>
        <v>0</v>
      </c>
      <c r="T481" s="615">
        <f t="shared" ca="1" si="224"/>
        <v>0</v>
      </c>
      <c r="U481" s="615">
        <f t="shared" ca="1" si="224"/>
        <v>0</v>
      </c>
      <c r="V481" s="615">
        <f t="shared" ca="1" si="224"/>
        <v>0</v>
      </c>
      <c r="W481" s="615">
        <f t="shared" ca="1" si="224"/>
        <v>0</v>
      </c>
      <c r="X481" s="615">
        <f t="shared" ca="1" si="224"/>
        <v>0</v>
      </c>
      <c r="Y481" s="615">
        <f t="shared" ca="1" si="224"/>
        <v>0</v>
      </c>
      <c r="Z481" s="615">
        <f ca="1">Z476*1000*Z480/unit</f>
        <v>0</v>
      </c>
      <c r="AA481" s="615">
        <f ca="1">AA476*1000*AA480/unit</f>
        <v>0</v>
      </c>
      <c r="AB481" s="615">
        <f ca="1">AB476*1000*AB480/unit</f>
        <v>0</v>
      </c>
      <c r="AC481" s="615">
        <f ca="1">AC476*1000*AC480/unit</f>
        <v>0</v>
      </c>
    </row>
    <row r="482" spans="1:29">
      <c r="A482" s="455"/>
      <c r="B482" s="5"/>
      <c r="D482" s="5"/>
      <c r="E482" s="141"/>
      <c r="F482" s="141"/>
      <c r="G482" s="141"/>
      <c r="H482" s="614"/>
      <c r="I482" s="623"/>
      <c r="J482" s="623"/>
      <c r="K482" s="623"/>
      <c r="L482" s="623"/>
      <c r="M482" s="623"/>
      <c r="N482" s="623"/>
      <c r="O482" s="623"/>
      <c r="P482" s="623"/>
      <c r="Q482" s="623"/>
      <c r="R482" s="623"/>
      <c r="S482" s="623"/>
      <c r="T482" s="623"/>
      <c r="U482" s="623"/>
      <c r="V482" s="623"/>
      <c r="W482" s="623"/>
      <c r="X482" s="623"/>
      <c r="Y482" s="624"/>
      <c r="Z482" s="624"/>
      <c r="AA482" s="624"/>
      <c r="AB482" s="624"/>
      <c r="AC482" s="624"/>
    </row>
    <row r="483" spans="1:29">
      <c r="A483" s="455" t="s">
        <v>524</v>
      </c>
      <c r="B483" s="5" t="s">
        <v>525</v>
      </c>
      <c r="D483" s="5"/>
      <c r="E483" s="141"/>
      <c r="F483" s="141"/>
      <c r="G483" s="141"/>
      <c r="H483" s="614"/>
      <c r="I483" s="517">
        <v>0</v>
      </c>
      <c r="J483" s="517">
        <v>0</v>
      </c>
      <c r="K483" s="517">
        <v>0</v>
      </c>
      <c r="L483" s="517">
        <v>0</v>
      </c>
      <c r="M483" s="517">
        <v>0</v>
      </c>
      <c r="N483" s="517">
        <v>0</v>
      </c>
      <c r="O483" s="517">
        <v>0</v>
      </c>
      <c r="P483" s="517">
        <v>0</v>
      </c>
      <c r="Q483" s="517">
        <v>0</v>
      </c>
      <c r="R483" s="517">
        <v>0</v>
      </c>
      <c r="S483" s="517">
        <v>0</v>
      </c>
      <c r="T483" s="517">
        <v>0</v>
      </c>
      <c r="U483" s="517">
        <v>0</v>
      </c>
      <c r="V483" s="517">
        <v>0</v>
      </c>
      <c r="W483" s="517">
        <v>0</v>
      </c>
      <c r="X483" s="517">
        <v>0</v>
      </c>
      <c r="Y483" s="517">
        <v>0</v>
      </c>
      <c r="Z483" s="517">
        <v>0</v>
      </c>
      <c r="AA483" s="517">
        <v>0</v>
      </c>
      <c r="AB483" s="517">
        <v>0</v>
      </c>
      <c r="AC483" s="517">
        <v>0</v>
      </c>
    </row>
    <row r="484" spans="1:29">
      <c r="B484" s="83" t="s">
        <v>517</v>
      </c>
      <c r="D484" s="5"/>
      <c r="E484" s="141"/>
      <c r="F484" s="141"/>
      <c r="G484" s="141"/>
      <c r="H484" s="614"/>
      <c r="I484" s="667">
        <v>1</v>
      </c>
      <c r="J484" s="667">
        <f t="shared" ref="J484:AC484" si="225">I484</f>
        <v>1</v>
      </c>
      <c r="K484" s="667">
        <f t="shared" si="225"/>
        <v>1</v>
      </c>
      <c r="L484" s="667">
        <f t="shared" si="225"/>
        <v>1</v>
      </c>
      <c r="M484" s="667">
        <f t="shared" si="225"/>
        <v>1</v>
      </c>
      <c r="N484" s="667">
        <f t="shared" si="225"/>
        <v>1</v>
      </c>
      <c r="O484" s="667">
        <f t="shared" si="225"/>
        <v>1</v>
      </c>
      <c r="P484" s="667">
        <f t="shared" si="225"/>
        <v>1</v>
      </c>
      <c r="Q484" s="667">
        <f t="shared" si="225"/>
        <v>1</v>
      </c>
      <c r="R484" s="667">
        <f t="shared" si="225"/>
        <v>1</v>
      </c>
      <c r="S484" s="667">
        <f t="shared" si="225"/>
        <v>1</v>
      </c>
      <c r="T484" s="667">
        <f t="shared" si="225"/>
        <v>1</v>
      </c>
      <c r="U484" s="667">
        <f t="shared" si="225"/>
        <v>1</v>
      </c>
      <c r="V484" s="667">
        <f t="shared" si="225"/>
        <v>1</v>
      </c>
      <c r="W484" s="667">
        <f t="shared" si="225"/>
        <v>1</v>
      </c>
      <c r="X484" s="667">
        <f t="shared" si="225"/>
        <v>1</v>
      </c>
      <c r="Y484" s="667">
        <f t="shared" si="225"/>
        <v>1</v>
      </c>
      <c r="Z484" s="667">
        <f t="shared" si="225"/>
        <v>1</v>
      </c>
      <c r="AA484" s="667">
        <f t="shared" si="225"/>
        <v>1</v>
      </c>
      <c r="AB484" s="667">
        <f t="shared" si="225"/>
        <v>1</v>
      </c>
      <c r="AC484" s="667">
        <f t="shared" si="225"/>
        <v>1</v>
      </c>
    </row>
    <row r="485" spans="1:29">
      <c r="B485" s="83" t="s">
        <v>526</v>
      </c>
      <c r="D485" s="5"/>
      <c r="E485" s="418"/>
      <c r="F485" s="418"/>
      <c r="G485" s="418"/>
      <c r="H485" s="623"/>
      <c r="I485" s="666">
        <f>+I483*I484</f>
        <v>0</v>
      </c>
      <c r="J485" s="666">
        <f t="shared" ref="J485:Y485" si="226">+J483*J484</f>
        <v>0</v>
      </c>
      <c r="K485" s="666">
        <f t="shared" si="226"/>
        <v>0</v>
      </c>
      <c r="L485" s="666">
        <f t="shared" si="226"/>
        <v>0</v>
      </c>
      <c r="M485" s="666">
        <f t="shared" si="226"/>
        <v>0</v>
      </c>
      <c r="N485" s="666">
        <f t="shared" si="226"/>
        <v>0</v>
      </c>
      <c r="O485" s="666">
        <f t="shared" si="226"/>
        <v>0</v>
      </c>
      <c r="P485" s="666">
        <f t="shared" si="226"/>
        <v>0</v>
      </c>
      <c r="Q485" s="666">
        <f t="shared" si="226"/>
        <v>0</v>
      </c>
      <c r="R485" s="666">
        <f t="shared" si="226"/>
        <v>0</v>
      </c>
      <c r="S485" s="666">
        <f t="shared" si="226"/>
        <v>0</v>
      </c>
      <c r="T485" s="666">
        <f t="shared" si="226"/>
        <v>0</v>
      </c>
      <c r="U485" s="666">
        <f t="shared" si="226"/>
        <v>0</v>
      </c>
      <c r="V485" s="666">
        <f t="shared" si="226"/>
        <v>0</v>
      </c>
      <c r="W485" s="666">
        <f t="shared" si="226"/>
        <v>0</v>
      </c>
      <c r="X485" s="666">
        <f t="shared" si="226"/>
        <v>0</v>
      </c>
      <c r="Y485" s="666">
        <f t="shared" si="226"/>
        <v>0</v>
      </c>
      <c r="Z485" s="666">
        <f>+Z483*Z484</f>
        <v>0</v>
      </c>
      <c r="AA485" s="666">
        <f>+AA483*AA484</f>
        <v>0</v>
      </c>
      <c r="AB485" s="666">
        <f>+AB483*AB484</f>
        <v>0</v>
      </c>
      <c r="AC485" s="666">
        <f>+AC483*AC484</f>
        <v>0</v>
      </c>
    </row>
    <row r="486" spans="1:29">
      <c r="A486" s="455"/>
      <c r="B486" s="5" t="s">
        <v>181</v>
      </c>
      <c r="D486" s="5"/>
      <c r="E486" s="418"/>
      <c r="F486" s="418"/>
      <c r="G486" s="418"/>
      <c r="H486" s="623"/>
      <c r="I486" s="667">
        <v>1</v>
      </c>
      <c r="J486" s="667">
        <f t="shared" ref="J486:AC486" si="227">I486</f>
        <v>1</v>
      </c>
      <c r="K486" s="667">
        <f t="shared" si="227"/>
        <v>1</v>
      </c>
      <c r="L486" s="667">
        <f t="shared" si="227"/>
        <v>1</v>
      </c>
      <c r="M486" s="667">
        <f t="shared" si="227"/>
        <v>1</v>
      </c>
      <c r="N486" s="667">
        <f t="shared" si="227"/>
        <v>1</v>
      </c>
      <c r="O486" s="667">
        <f t="shared" si="227"/>
        <v>1</v>
      </c>
      <c r="P486" s="667">
        <f t="shared" si="227"/>
        <v>1</v>
      </c>
      <c r="Q486" s="667">
        <f t="shared" si="227"/>
        <v>1</v>
      </c>
      <c r="R486" s="667">
        <f t="shared" si="227"/>
        <v>1</v>
      </c>
      <c r="S486" s="667">
        <f t="shared" si="227"/>
        <v>1</v>
      </c>
      <c r="T486" s="667">
        <f t="shared" si="227"/>
        <v>1</v>
      </c>
      <c r="U486" s="667">
        <f t="shared" si="227"/>
        <v>1</v>
      </c>
      <c r="V486" s="667">
        <f t="shared" si="227"/>
        <v>1</v>
      </c>
      <c r="W486" s="667">
        <f t="shared" si="227"/>
        <v>1</v>
      </c>
      <c r="X486" s="667">
        <f t="shared" si="227"/>
        <v>1</v>
      </c>
      <c r="Y486" s="667">
        <f t="shared" si="227"/>
        <v>1</v>
      </c>
      <c r="Z486" s="667">
        <f t="shared" si="227"/>
        <v>1</v>
      </c>
      <c r="AA486" s="667">
        <f t="shared" si="227"/>
        <v>1</v>
      </c>
      <c r="AB486" s="667">
        <f t="shared" si="227"/>
        <v>1</v>
      </c>
      <c r="AC486" s="667">
        <f t="shared" si="227"/>
        <v>1</v>
      </c>
    </row>
    <row r="487" spans="1:29">
      <c r="B487" s="83" t="s">
        <v>527</v>
      </c>
      <c r="D487" s="5"/>
      <c r="I487" s="666">
        <f>+I485*I486</f>
        <v>0</v>
      </c>
      <c r="J487" s="666">
        <f t="shared" ref="J487:Y487" si="228">+J485*J486</f>
        <v>0</v>
      </c>
      <c r="K487" s="666">
        <f t="shared" si="228"/>
        <v>0</v>
      </c>
      <c r="L487" s="666">
        <f t="shared" si="228"/>
        <v>0</v>
      </c>
      <c r="M487" s="666">
        <f t="shared" si="228"/>
        <v>0</v>
      </c>
      <c r="N487" s="666">
        <f t="shared" si="228"/>
        <v>0</v>
      </c>
      <c r="O487" s="666">
        <f t="shared" si="228"/>
        <v>0</v>
      </c>
      <c r="P487" s="666">
        <f t="shared" si="228"/>
        <v>0</v>
      </c>
      <c r="Q487" s="666">
        <f t="shared" si="228"/>
        <v>0</v>
      </c>
      <c r="R487" s="666">
        <f t="shared" si="228"/>
        <v>0</v>
      </c>
      <c r="S487" s="666">
        <f t="shared" si="228"/>
        <v>0</v>
      </c>
      <c r="T487" s="666">
        <f t="shared" si="228"/>
        <v>0</v>
      </c>
      <c r="U487" s="666">
        <f t="shared" si="228"/>
        <v>0</v>
      </c>
      <c r="V487" s="666">
        <f t="shared" si="228"/>
        <v>0</v>
      </c>
      <c r="W487" s="666">
        <f t="shared" si="228"/>
        <v>0</v>
      </c>
      <c r="X487" s="666">
        <f t="shared" si="228"/>
        <v>0</v>
      </c>
      <c r="Y487" s="666">
        <f t="shared" si="228"/>
        <v>0</v>
      </c>
      <c r="Z487" s="666">
        <f>+Z485*Z486</f>
        <v>0</v>
      </c>
      <c r="AA487" s="666">
        <f>+AA485*AA486</f>
        <v>0</v>
      </c>
      <c r="AB487" s="666">
        <f>+AB485*AB486</f>
        <v>0</v>
      </c>
      <c r="AC487" s="666">
        <f>+AC485*AC486</f>
        <v>0</v>
      </c>
    </row>
    <row r="488" spans="1:29">
      <c r="D488" s="5"/>
    </row>
    <row r="489" spans="1:29">
      <c r="A489" s="15"/>
      <c r="B489" s="83" t="s">
        <v>528</v>
      </c>
      <c r="D489" s="219">
        <v>1</v>
      </c>
      <c r="I489" s="518">
        <f t="shared" ref="I489:AC489" si="229">IF($D489=1,I$227,IF($D489=2,I$230,IF($D489=3,I$232,IF($D489=4,I$234,IF($D489=5,I$236,I$227)))))</f>
        <v>0</v>
      </c>
      <c r="J489" s="518">
        <f t="shared" ca="1" si="229"/>
        <v>16.997552222222218</v>
      </c>
      <c r="K489" s="518">
        <f t="shared" ca="1" si="229"/>
        <v>14.999466666666665</v>
      </c>
      <c r="L489" s="518">
        <f t="shared" ca="1" si="229"/>
        <v>14.491101666666665</v>
      </c>
      <c r="M489" s="518">
        <f t="shared" ca="1" si="229"/>
        <v>14.5531825</v>
      </c>
      <c r="N489" s="518">
        <f t="shared" ca="1" si="229"/>
        <v>14.6748425</v>
      </c>
      <c r="O489" s="518">
        <f t="shared" ca="1" si="229"/>
        <v>14.797819166666669</v>
      </c>
      <c r="P489" s="518">
        <f t="shared" ca="1" si="229"/>
        <v>14.935871666666667</v>
      </c>
      <c r="Q489" s="518">
        <f t="shared" ca="1" si="229"/>
        <v>15.087551666666668</v>
      </c>
      <c r="R489" s="518">
        <f t="shared" ca="1" si="229"/>
        <v>15.247592499999998</v>
      </c>
      <c r="S489" s="518">
        <f t="shared" ca="1" si="229"/>
        <v>15.413295000000002</v>
      </c>
      <c r="T489" s="518">
        <f t="shared" ca="1" si="229"/>
        <v>15.578865833333339</v>
      </c>
      <c r="U489" s="518">
        <f t="shared" ca="1" si="229"/>
        <v>15.745029166666663</v>
      </c>
      <c r="V489" s="518">
        <f t="shared" ca="1" si="229"/>
        <v>15.910929166666664</v>
      </c>
      <c r="W489" s="518">
        <f t="shared" ca="1" si="229"/>
        <v>16.076697500000002</v>
      </c>
      <c r="X489" s="518">
        <f t="shared" ca="1" si="229"/>
        <v>16.46669416666667</v>
      </c>
      <c r="Y489" s="518">
        <f t="shared" ca="1" si="229"/>
        <v>16.848198333333336</v>
      </c>
      <c r="Z489" s="518">
        <f t="shared" ca="1" si="229"/>
        <v>17.085527499999994</v>
      </c>
      <c r="AA489" s="518">
        <f t="shared" ca="1" si="229"/>
        <v>17.322329999999997</v>
      </c>
      <c r="AB489" s="518">
        <f t="shared" ca="1" si="229"/>
        <v>17.55906666666667</v>
      </c>
      <c r="AC489" s="518">
        <f t="shared" ca="1" si="229"/>
        <v>17.737079999999999</v>
      </c>
    </row>
    <row r="490" spans="1:29">
      <c r="A490" s="15"/>
      <c r="B490" s="83" t="s">
        <v>184</v>
      </c>
      <c r="D490" s="5"/>
      <c r="I490" s="519">
        <v>0</v>
      </c>
      <c r="J490" s="519">
        <v>0</v>
      </c>
      <c r="K490" s="519">
        <v>0</v>
      </c>
      <c r="L490" s="519">
        <v>0</v>
      </c>
      <c r="M490" s="519">
        <v>0</v>
      </c>
      <c r="N490" s="519">
        <v>0</v>
      </c>
      <c r="O490" s="519">
        <v>0</v>
      </c>
      <c r="P490" s="519">
        <v>0</v>
      </c>
      <c r="Q490" s="519">
        <v>0</v>
      </c>
      <c r="R490" s="519">
        <v>0</v>
      </c>
      <c r="S490" s="519">
        <v>0</v>
      </c>
      <c r="T490" s="519">
        <v>0</v>
      </c>
      <c r="U490" s="519">
        <v>0</v>
      </c>
      <c r="V490" s="519">
        <v>0</v>
      </c>
      <c r="W490" s="519">
        <v>0</v>
      </c>
      <c r="X490" s="519">
        <v>0</v>
      </c>
      <c r="Y490" s="519">
        <v>0</v>
      </c>
      <c r="Z490" s="519">
        <v>0</v>
      </c>
      <c r="AA490" s="519">
        <v>0</v>
      </c>
      <c r="AB490" s="519">
        <v>0</v>
      </c>
      <c r="AC490" s="519">
        <v>0</v>
      </c>
    </row>
    <row r="491" spans="1:29">
      <c r="A491" s="15"/>
      <c r="B491" s="83" t="s">
        <v>529</v>
      </c>
      <c r="D491" s="5"/>
      <c r="I491" s="520">
        <f>+I489+I490</f>
        <v>0</v>
      </c>
      <c r="J491" s="520">
        <f t="shared" ref="J491:Z491" ca="1" si="230">+J489+J490</f>
        <v>16.997552222222218</v>
      </c>
      <c r="K491" s="520">
        <f t="shared" ca="1" si="230"/>
        <v>14.999466666666665</v>
      </c>
      <c r="L491" s="520">
        <f t="shared" ca="1" si="230"/>
        <v>14.491101666666665</v>
      </c>
      <c r="M491" s="520">
        <f t="shared" ca="1" si="230"/>
        <v>14.5531825</v>
      </c>
      <c r="N491" s="520">
        <f t="shared" ca="1" si="230"/>
        <v>14.6748425</v>
      </c>
      <c r="O491" s="520">
        <f t="shared" ca="1" si="230"/>
        <v>14.797819166666669</v>
      </c>
      <c r="P491" s="520">
        <f t="shared" ca="1" si="230"/>
        <v>14.935871666666667</v>
      </c>
      <c r="Q491" s="520">
        <f t="shared" ca="1" si="230"/>
        <v>15.087551666666668</v>
      </c>
      <c r="R491" s="520">
        <f t="shared" ca="1" si="230"/>
        <v>15.247592499999998</v>
      </c>
      <c r="S491" s="520">
        <f t="shared" ca="1" si="230"/>
        <v>15.413295000000002</v>
      </c>
      <c r="T491" s="520">
        <f t="shared" ca="1" si="230"/>
        <v>15.578865833333339</v>
      </c>
      <c r="U491" s="520">
        <f t="shared" ca="1" si="230"/>
        <v>15.745029166666663</v>
      </c>
      <c r="V491" s="520">
        <f t="shared" ca="1" si="230"/>
        <v>15.910929166666664</v>
      </c>
      <c r="W491" s="520">
        <f t="shared" ca="1" si="230"/>
        <v>16.076697500000002</v>
      </c>
      <c r="X491" s="520">
        <f t="shared" ca="1" si="230"/>
        <v>16.46669416666667</v>
      </c>
      <c r="Y491" s="520">
        <f t="shared" ca="1" si="230"/>
        <v>16.848198333333336</v>
      </c>
      <c r="Z491" s="520">
        <f t="shared" ca="1" si="230"/>
        <v>17.085527499999994</v>
      </c>
      <c r="AA491" s="520">
        <f ca="1">+AA489+AA490</f>
        <v>17.322329999999997</v>
      </c>
      <c r="AB491" s="520">
        <f ca="1">+AB489+AB490</f>
        <v>17.55906666666667</v>
      </c>
      <c r="AC491" s="520">
        <f ca="1">+AC489+AC490</f>
        <v>17.737079999999999</v>
      </c>
    </row>
    <row r="492" spans="1:29">
      <c r="A492" s="15"/>
      <c r="B492" s="5" t="s">
        <v>536</v>
      </c>
      <c r="D492" s="5"/>
      <c r="I492" s="615">
        <f t="shared" ref="I492:X492" si="231">I487*I491*1000/unit</f>
        <v>0</v>
      </c>
      <c r="J492" s="615">
        <f t="shared" ca="1" si="231"/>
        <v>0</v>
      </c>
      <c r="K492" s="615">
        <f t="shared" ca="1" si="231"/>
        <v>0</v>
      </c>
      <c r="L492" s="615">
        <f t="shared" ca="1" si="231"/>
        <v>0</v>
      </c>
      <c r="M492" s="615">
        <f t="shared" ca="1" si="231"/>
        <v>0</v>
      </c>
      <c r="N492" s="615">
        <f t="shared" ca="1" si="231"/>
        <v>0</v>
      </c>
      <c r="O492" s="615">
        <f t="shared" ca="1" si="231"/>
        <v>0</v>
      </c>
      <c r="P492" s="615">
        <f t="shared" ca="1" si="231"/>
        <v>0</v>
      </c>
      <c r="Q492" s="615">
        <f t="shared" ca="1" si="231"/>
        <v>0</v>
      </c>
      <c r="R492" s="615">
        <f t="shared" ca="1" si="231"/>
        <v>0</v>
      </c>
      <c r="S492" s="615">
        <f t="shared" ca="1" si="231"/>
        <v>0</v>
      </c>
      <c r="T492" s="615">
        <f t="shared" ca="1" si="231"/>
        <v>0</v>
      </c>
      <c r="U492" s="615">
        <f t="shared" ca="1" si="231"/>
        <v>0</v>
      </c>
      <c r="V492" s="615">
        <f t="shared" ca="1" si="231"/>
        <v>0</v>
      </c>
      <c r="W492" s="615">
        <f t="shared" ca="1" si="231"/>
        <v>0</v>
      </c>
      <c r="X492" s="615">
        <f t="shared" ca="1" si="231"/>
        <v>0</v>
      </c>
      <c r="Y492" s="615">
        <f ca="1">Y487*Y491*1000/unit</f>
        <v>0</v>
      </c>
      <c r="Z492" s="615">
        <f ca="1">Z487*Z491*1000/unit</f>
        <v>0</v>
      </c>
      <c r="AA492" s="615">
        <f ca="1">AA487*AA491*1000/unit</f>
        <v>0</v>
      </c>
      <c r="AB492" s="615">
        <f ca="1">AB487*AB491*1000/unit</f>
        <v>0</v>
      </c>
      <c r="AC492" s="615">
        <f ca="1">AC487*AC491*1000/unit</f>
        <v>0</v>
      </c>
    </row>
    <row r="493" spans="1:29">
      <c r="B493" s="5"/>
      <c r="D493" s="5"/>
      <c r="E493" s="418"/>
      <c r="F493" s="418"/>
      <c r="G493" s="418"/>
      <c r="H493" s="614"/>
      <c r="I493" s="623"/>
      <c r="J493" s="623"/>
      <c r="K493" s="623"/>
      <c r="L493" s="623"/>
      <c r="M493" s="623"/>
      <c r="N493" s="623"/>
      <c r="O493" s="623"/>
      <c r="P493" s="623"/>
      <c r="Q493" s="623"/>
      <c r="R493" s="623"/>
      <c r="S493" s="623"/>
      <c r="T493" s="623"/>
      <c r="U493" s="623"/>
      <c r="V493" s="623"/>
      <c r="W493" s="623"/>
      <c r="X493" s="623"/>
      <c r="Y493" s="624"/>
      <c r="Z493" s="624"/>
      <c r="AA493" s="624"/>
      <c r="AB493" s="624"/>
      <c r="AC493" s="624"/>
    </row>
    <row r="494" spans="1:29">
      <c r="A494" s="337" t="str">
        <f>+"Total Revenues - "&amp;C16</f>
        <v>Total Revenues - PROBABLES</v>
      </c>
      <c r="D494" s="5"/>
      <c r="E494" s="484">
        <v>0</v>
      </c>
      <c r="F494" s="484">
        <v>0</v>
      </c>
      <c r="G494" s="484">
        <v>0</v>
      </c>
      <c r="H494" s="218">
        <f>H481+H465+H492</f>
        <v>0</v>
      </c>
      <c r="I494" s="623">
        <f>I481+I465+I492</f>
        <v>0</v>
      </c>
      <c r="J494" s="623">
        <f ca="1">J481+J465+J492</f>
        <v>0</v>
      </c>
      <c r="K494" s="623">
        <f t="shared" ref="K494:Z494" ca="1" si="232">K481+K465+K492</f>
        <v>0</v>
      </c>
      <c r="L494" s="623">
        <f t="shared" ca="1" si="232"/>
        <v>0</v>
      </c>
      <c r="M494" s="623">
        <f t="shared" ca="1" si="232"/>
        <v>0</v>
      </c>
      <c r="N494" s="623">
        <f t="shared" ca="1" si="232"/>
        <v>0</v>
      </c>
      <c r="O494" s="623">
        <f t="shared" ca="1" si="232"/>
        <v>0</v>
      </c>
      <c r="P494" s="623">
        <f t="shared" ca="1" si="232"/>
        <v>0</v>
      </c>
      <c r="Q494" s="623">
        <f t="shared" ca="1" si="232"/>
        <v>0</v>
      </c>
      <c r="R494" s="623">
        <f t="shared" ca="1" si="232"/>
        <v>0</v>
      </c>
      <c r="S494" s="623">
        <f t="shared" ca="1" si="232"/>
        <v>0</v>
      </c>
      <c r="T494" s="623">
        <f t="shared" ca="1" si="232"/>
        <v>0</v>
      </c>
      <c r="U494" s="623">
        <f t="shared" ca="1" si="232"/>
        <v>0</v>
      </c>
      <c r="V494" s="623">
        <f t="shared" ca="1" si="232"/>
        <v>0</v>
      </c>
      <c r="W494" s="623">
        <f t="shared" ca="1" si="232"/>
        <v>0</v>
      </c>
      <c r="X494" s="623">
        <f t="shared" ca="1" si="232"/>
        <v>0</v>
      </c>
      <c r="Y494" s="623">
        <f t="shared" ca="1" si="232"/>
        <v>0</v>
      </c>
      <c r="Z494" s="623">
        <f t="shared" ca="1" si="232"/>
        <v>0</v>
      </c>
      <c r="AA494" s="623">
        <f ca="1">AA481+AA465+AA492</f>
        <v>0</v>
      </c>
      <c r="AB494" s="623">
        <f ca="1">AB481+AB465+AB492</f>
        <v>0</v>
      </c>
      <c r="AC494" s="623">
        <f ca="1">AC481+AC465+AC492</f>
        <v>0</v>
      </c>
    </row>
    <row r="495" spans="1:29" ht="12" thickBot="1">
      <c r="A495" s="15"/>
      <c r="B495" s="5"/>
      <c r="D495" s="5"/>
      <c r="E495" s="141"/>
      <c r="F495" s="141"/>
      <c r="G495" s="141"/>
      <c r="H495" s="614"/>
      <c r="I495" s="623"/>
      <c r="J495" s="623"/>
      <c r="K495" s="623"/>
      <c r="L495" s="623"/>
      <c r="M495" s="623"/>
      <c r="N495" s="623"/>
      <c r="O495" s="623"/>
      <c r="P495" s="623"/>
      <c r="Q495" s="623"/>
      <c r="R495" s="623"/>
      <c r="S495" s="623"/>
      <c r="T495" s="623"/>
      <c r="U495" s="623"/>
      <c r="V495" s="623"/>
      <c r="W495" s="623"/>
      <c r="X495" s="623"/>
      <c r="Y495" s="624"/>
      <c r="Z495" s="624"/>
      <c r="AA495" s="624"/>
      <c r="AB495" s="624"/>
      <c r="AC495" s="624"/>
    </row>
    <row r="496" spans="1:29" ht="12" thickTop="1">
      <c r="A496" s="443"/>
      <c r="B496" s="443"/>
      <c r="C496" s="443"/>
      <c r="D496" s="443"/>
      <c r="E496" s="443"/>
      <c r="F496" s="443"/>
      <c r="G496" s="443"/>
      <c r="H496" s="443"/>
      <c r="I496" s="443"/>
      <c r="J496" s="443"/>
      <c r="K496" s="443"/>
      <c r="L496" s="443"/>
      <c r="M496" s="443"/>
      <c r="N496" s="443"/>
      <c r="O496" s="443"/>
      <c r="P496" s="443"/>
      <c r="Q496" s="443"/>
      <c r="R496" s="443"/>
      <c r="S496" s="443"/>
      <c r="T496" s="443"/>
      <c r="U496" s="443"/>
      <c r="V496" s="443"/>
      <c r="W496" s="443"/>
      <c r="X496" s="443"/>
      <c r="Y496" s="443"/>
      <c r="Z496" s="443"/>
      <c r="AA496" s="443"/>
      <c r="AB496" s="443"/>
      <c r="AC496" s="443"/>
    </row>
    <row r="497" spans="1:29">
      <c r="A497" s="15"/>
      <c r="B497" s="15" t="s">
        <v>196</v>
      </c>
      <c r="C497" s="330"/>
      <c r="D497" s="330"/>
      <c r="E497" s="614"/>
      <c r="F497" s="614"/>
      <c r="G497" s="614"/>
      <c r="H497" s="614"/>
      <c r="I497" s="623"/>
      <c r="J497" s="623"/>
      <c r="K497" s="623"/>
      <c r="L497" s="623"/>
      <c r="M497" s="623"/>
      <c r="N497" s="623"/>
      <c r="O497" s="623"/>
      <c r="P497" s="623"/>
      <c r="Q497" s="623"/>
      <c r="R497" s="623"/>
      <c r="S497" s="623"/>
      <c r="T497" s="623"/>
      <c r="U497" s="623"/>
      <c r="V497" s="623"/>
      <c r="W497" s="623"/>
      <c r="X497" s="623"/>
      <c r="Y497" s="623"/>
      <c r="Z497" s="623"/>
      <c r="AA497" s="623"/>
      <c r="AB497" s="623"/>
      <c r="AC497" s="623"/>
    </row>
    <row r="498" spans="1:29">
      <c r="A498" s="15"/>
      <c r="B498" s="308" t="s">
        <v>197</v>
      </c>
      <c r="C498" s="416" t="s">
        <v>198</v>
      </c>
      <c r="D498" s="219">
        <v>6</v>
      </c>
      <c r="F498" s="614"/>
      <c r="G498" s="614"/>
      <c r="H498" s="618" t="s">
        <v>199</v>
      </c>
      <c r="I498" s="623">
        <f>(I460+(I476/$D498)+I487)*1000</f>
        <v>0</v>
      </c>
      <c r="J498" s="623">
        <f t="shared" ref="J498:Y498" si="233">(J460+(J476/$D498)+J487)*1000</f>
        <v>0</v>
      </c>
      <c r="K498" s="623">
        <f t="shared" si="233"/>
        <v>0</v>
      </c>
      <c r="L498" s="623">
        <f t="shared" si="233"/>
        <v>0</v>
      </c>
      <c r="M498" s="623">
        <f t="shared" si="233"/>
        <v>0</v>
      </c>
      <c r="N498" s="623">
        <f t="shared" si="233"/>
        <v>0</v>
      </c>
      <c r="O498" s="623">
        <f t="shared" si="233"/>
        <v>0</v>
      </c>
      <c r="P498" s="623">
        <f t="shared" si="233"/>
        <v>0</v>
      </c>
      <c r="Q498" s="623">
        <f t="shared" si="233"/>
        <v>0</v>
      </c>
      <c r="R498" s="623">
        <f t="shared" si="233"/>
        <v>0</v>
      </c>
      <c r="S498" s="623">
        <f t="shared" si="233"/>
        <v>0</v>
      </c>
      <c r="T498" s="623">
        <f t="shared" si="233"/>
        <v>0</v>
      </c>
      <c r="U498" s="623">
        <f t="shared" si="233"/>
        <v>0</v>
      </c>
      <c r="V498" s="623">
        <f t="shared" si="233"/>
        <v>0</v>
      </c>
      <c r="W498" s="623">
        <f t="shared" si="233"/>
        <v>0</v>
      </c>
      <c r="X498" s="623">
        <f t="shared" si="233"/>
        <v>0</v>
      </c>
      <c r="Y498" s="623">
        <f t="shared" si="233"/>
        <v>0</v>
      </c>
      <c r="Z498" s="623">
        <f>(Z460+(Z476/$D498)+Z487)*1000</f>
        <v>0</v>
      </c>
      <c r="AA498" s="623">
        <f>(AA460+(AA476/$D498)+AA487)*1000</f>
        <v>0</v>
      </c>
      <c r="AB498" s="623">
        <f>(AB460+(AB476/$D498)+AB487)*1000</f>
        <v>0</v>
      </c>
      <c r="AC498" s="623">
        <f>(AC460+(AC476/$D498)+AC487)*1000</f>
        <v>0</v>
      </c>
    </row>
    <row r="499" spans="1:29">
      <c r="A499" s="15"/>
      <c r="B499" s="341"/>
      <c r="C499" s="416"/>
      <c r="D499" s="330"/>
      <c r="E499" s="614"/>
      <c r="F499" s="614"/>
      <c r="G499" s="614"/>
      <c r="H499" s="614"/>
      <c r="I499" s="623"/>
      <c r="J499" s="623"/>
      <c r="K499" s="623"/>
      <c r="L499" s="623"/>
      <c r="M499" s="623"/>
      <c r="N499" s="623"/>
      <c r="O499" s="623"/>
      <c r="P499" s="623"/>
      <c r="Q499" s="623"/>
      <c r="R499" s="623"/>
      <c r="S499" s="623"/>
      <c r="T499" s="623"/>
      <c r="U499" s="623"/>
      <c r="V499" s="623"/>
      <c r="W499" s="623"/>
      <c r="X499" s="623"/>
      <c r="Y499" s="623"/>
      <c r="Z499" s="623"/>
      <c r="AA499" s="623"/>
      <c r="AB499" s="623"/>
      <c r="AC499" s="623"/>
    </row>
    <row r="500" spans="1:29">
      <c r="A500" s="15"/>
      <c r="B500" s="346" t="s">
        <v>164</v>
      </c>
      <c r="C500" s="503" t="s">
        <v>19</v>
      </c>
      <c r="E500" s="339" t="s">
        <v>200</v>
      </c>
      <c r="H500" s="512">
        <v>0</v>
      </c>
      <c r="I500" s="695" t="s">
        <v>530</v>
      </c>
      <c r="J500" s="695" t="s">
        <v>531</v>
      </c>
      <c r="K500" s="695" t="s">
        <v>532</v>
      </c>
    </row>
    <row r="501" spans="1:29">
      <c r="A501" s="15"/>
      <c r="B501" s="339" t="s">
        <v>165</v>
      </c>
      <c r="C501" s="503"/>
      <c r="E501" t="s">
        <v>201</v>
      </c>
      <c r="H501" s="507">
        <v>0</v>
      </c>
      <c r="I501" s="695">
        <v>0.6</v>
      </c>
      <c r="J501" s="719">
        <v>1</v>
      </c>
      <c r="K501" s="695">
        <v>1.4</v>
      </c>
    </row>
    <row r="502" spans="1:29">
      <c r="A502" s="15"/>
      <c r="B502" s="339" t="s">
        <v>166</v>
      </c>
      <c r="C502" s="503"/>
      <c r="E502" s="339" t="s">
        <v>202</v>
      </c>
      <c r="H502" s="476">
        <v>0</v>
      </c>
    </row>
    <row r="503" spans="1:29">
      <c r="A503" s="15"/>
      <c r="B503" s="339" t="s">
        <v>167</v>
      </c>
      <c r="C503" s="503"/>
      <c r="E503" s="339" t="s">
        <v>203</v>
      </c>
      <c r="H503" s="343">
        <v>0</v>
      </c>
      <c r="I503" s="694">
        <v>0</v>
      </c>
      <c r="J503" s="694">
        <v>6.9</v>
      </c>
      <c r="K503" s="694">
        <v>21.39</v>
      </c>
      <c r="L503" s="694">
        <v>31.05</v>
      </c>
      <c r="M503" s="694">
        <v>74.52</v>
      </c>
      <c r="N503" s="694">
        <v>124.89</v>
      </c>
      <c r="O503" s="694">
        <v>157.32</v>
      </c>
      <c r="P503" s="694">
        <v>157.32</v>
      </c>
      <c r="Q503" s="694">
        <v>157.32</v>
      </c>
      <c r="R503" s="694">
        <v>157.32</v>
      </c>
      <c r="S503" s="694">
        <v>157.32</v>
      </c>
      <c r="T503" s="694">
        <v>154.642</v>
      </c>
      <c r="U503" s="694">
        <v>140.76</v>
      </c>
      <c r="V503" s="694">
        <v>139.82599999999999</v>
      </c>
      <c r="W503" s="694">
        <v>132.47999999999999</v>
      </c>
      <c r="X503" s="694">
        <v>125.093</v>
      </c>
      <c r="Y503" s="694">
        <v>110.672</v>
      </c>
      <c r="Z503" s="694">
        <v>88.257000000000005</v>
      </c>
      <c r="AA503" s="694">
        <v>63.234999999999999</v>
      </c>
      <c r="AB503" s="694">
        <v>24.905999999999999</v>
      </c>
      <c r="AC503" s="694">
        <v>0</v>
      </c>
    </row>
    <row r="504" spans="1:29">
      <c r="A504" s="15"/>
      <c r="B504" s="411" t="s">
        <v>204</v>
      </c>
      <c r="E504" s="476"/>
      <c r="F504" s="476"/>
      <c r="G504" s="476"/>
      <c r="H504" s="476"/>
      <c r="I504" s="476">
        <f>I503*$J$501*$H$501</f>
        <v>0</v>
      </c>
      <c r="J504" s="476">
        <f t="shared" ref="J504:Y504" si="234">J503*$J$501*$H$501</f>
        <v>0</v>
      </c>
      <c r="K504" s="476">
        <f t="shared" si="234"/>
        <v>0</v>
      </c>
      <c r="L504" s="476">
        <f t="shared" si="234"/>
        <v>0</v>
      </c>
      <c r="M504" s="476">
        <f t="shared" si="234"/>
        <v>0</v>
      </c>
      <c r="N504" s="476">
        <f t="shared" si="234"/>
        <v>0</v>
      </c>
      <c r="O504" s="476">
        <f t="shared" si="234"/>
        <v>0</v>
      </c>
      <c r="P504" s="476">
        <f t="shared" si="234"/>
        <v>0</v>
      </c>
      <c r="Q504" s="476">
        <f t="shared" si="234"/>
        <v>0</v>
      </c>
      <c r="R504" s="476">
        <f t="shared" si="234"/>
        <v>0</v>
      </c>
      <c r="S504" s="476">
        <f t="shared" si="234"/>
        <v>0</v>
      </c>
      <c r="T504" s="476">
        <f t="shared" si="234"/>
        <v>0</v>
      </c>
      <c r="U504" s="476">
        <f t="shared" si="234"/>
        <v>0</v>
      </c>
      <c r="V504" s="476">
        <f t="shared" si="234"/>
        <v>0</v>
      </c>
      <c r="W504" s="476">
        <f t="shared" si="234"/>
        <v>0</v>
      </c>
      <c r="X504" s="476">
        <f t="shared" si="234"/>
        <v>0</v>
      </c>
      <c r="Y504" s="476">
        <f t="shared" si="234"/>
        <v>0</v>
      </c>
      <c r="Z504" s="476">
        <f>Z503*$J$501*$H$501</f>
        <v>0</v>
      </c>
      <c r="AA504" s="476">
        <f>AA503*$J$501*$H$501</f>
        <v>0</v>
      </c>
      <c r="AB504" s="476">
        <f>AB503*$J$501*$H$501</f>
        <v>0</v>
      </c>
      <c r="AC504" s="476">
        <f>AC503*$J$501*$H$501</f>
        <v>0</v>
      </c>
    </row>
    <row r="505" spans="1:29">
      <c r="A505" s="15"/>
      <c r="B505" s="411"/>
      <c r="E505" s="476"/>
      <c r="F505" s="476"/>
      <c r="G505" s="476"/>
      <c r="H505" s="476"/>
      <c r="I505" s="476"/>
      <c r="J505" s="476"/>
      <c r="K505" s="476"/>
      <c r="L505" s="476"/>
      <c r="M505" s="476"/>
      <c r="N505" s="476"/>
      <c r="O505" s="476"/>
      <c r="P505" s="476"/>
      <c r="Q505" s="476"/>
      <c r="R505" s="476"/>
      <c r="S505" s="476"/>
      <c r="T505" s="476"/>
      <c r="U505" s="476"/>
      <c r="V505" s="476"/>
      <c r="W505" s="476"/>
      <c r="X505" s="476"/>
      <c r="Y505" s="476"/>
      <c r="Z505" s="476"/>
      <c r="AA505" s="476"/>
      <c r="AB505" s="476"/>
      <c r="AC505" s="476"/>
    </row>
    <row r="506" spans="1:29">
      <c r="A506" s="15"/>
      <c r="B506" s="411" t="s">
        <v>205</v>
      </c>
      <c r="E506" s="476" t="s">
        <v>533</v>
      </c>
      <c r="F506" s="476"/>
      <c r="G506" s="476"/>
      <c r="H506" s="507">
        <v>9.1999999999999998E-2</v>
      </c>
      <c r="I506" s="476">
        <f>+$H506*I494</f>
        <v>0</v>
      </c>
      <c r="J506" s="476">
        <f t="shared" ref="J506:Z506" ca="1" si="235">+$H506*J494</f>
        <v>0</v>
      </c>
      <c r="K506" s="476">
        <f t="shared" ca="1" si="235"/>
        <v>0</v>
      </c>
      <c r="L506" s="476">
        <f t="shared" ca="1" si="235"/>
        <v>0</v>
      </c>
      <c r="M506" s="476">
        <f t="shared" ca="1" si="235"/>
        <v>0</v>
      </c>
      <c r="N506" s="476">
        <f t="shared" ca="1" si="235"/>
        <v>0</v>
      </c>
      <c r="O506" s="476">
        <f t="shared" ca="1" si="235"/>
        <v>0</v>
      </c>
      <c r="P506" s="476">
        <f t="shared" ca="1" si="235"/>
        <v>0</v>
      </c>
      <c r="Q506" s="476">
        <f t="shared" ca="1" si="235"/>
        <v>0</v>
      </c>
      <c r="R506" s="476">
        <f t="shared" ca="1" si="235"/>
        <v>0</v>
      </c>
      <c r="S506" s="476">
        <f t="shared" ca="1" si="235"/>
        <v>0</v>
      </c>
      <c r="T506" s="476">
        <f t="shared" ca="1" si="235"/>
        <v>0</v>
      </c>
      <c r="U506" s="476">
        <f t="shared" ca="1" si="235"/>
        <v>0</v>
      </c>
      <c r="V506" s="476">
        <f t="shared" ca="1" si="235"/>
        <v>0</v>
      </c>
      <c r="W506" s="476">
        <f t="shared" ca="1" si="235"/>
        <v>0</v>
      </c>
      <c r="X506" s="476">
        <f t="shared" ca="1" si="235"/>
        <v>0</v>
      </c>
      <c r="Y506" s="476">
        <f t="shared" ca="1" si="235"/>
        <v>0</v>
      </c>
      <c r="Z506" s="476">
        <f t="shared" ca="1" si="235"/>
        <v>0</v>
      </c>
      <c r="AA506" s="476">
        <f ca="1">+$H506*AA494</f>
        <v>0</v>
      </c>
      <c r="AB506" s="476">
        <f ca="1">+$H506*AB494</f>
        <v>0</v>
      </c>
      <c r="AC506" s="476">
        <f ca="1">+$H506*AC494</f>
        <v>0</v>
      </c>
    </row>
    <row r="507" spans="1:29">
      <c r="A507" s="15"/>
      <c r="B507" s="411"/>
      <c r="E507" s="476"/>
      <c r="F507" s="476"/>
      <c r="G507" s="476"/>
      <c r="H507" s="476"/>
      <c r="I507" s="476"/>
      <c r="J507" s="476"/>
      <c r="K507" s="476"/>
      <c r="L507" s="476"/>
      <c r="M507" s="476"/>
      <c r="N507" s="476"/>
      <c r="O507" s="476"/>
      <c r="P507" s="476"/>
      <c r="Q507" s="476"/>
      <c r="R507" s="476"/>
      <c r="S507" s="476"/>
      <c r="T507" s="476"/>
      <c r="U507" s="476"/>
      <c r="V507" s="476"/>
      <c r="W507" s="476"/>
      <c r="X507" s="476"/>
      <c r="Y507" s="476"/>
      <c r="Z507" s="476"/>
      <c r="AA507" s="476"/>
      <c r="AB507" s="476"/>
      <c r="AC507" s="476"/>
    </row>
    <row r="508" spans="1:29">
      <c r="A508" s="15"/>
      <c r="B508" s="346" t="s">
        <v>207</v>
      </c>
      <c r="E508" s="476"/>
      <c r="F508" s="476"/>
      <c r="G508" s="476"/>
      <c r="H508" s="476"/>
      <c r="I508" s="476"/>
      <c r="J508" s="476"/>
      <c r="K508" s="476"/>
      <c r="L508" s="476"/>
      <c r="M508" s="476"/>
      <c r="N508" s="476"/>
      <c r="O508" s="476"/>
      <c r="P508" s="476"/>
      <c r="Q508" s="476"/>
      <c r="R508" s="476"/>
      <c r="S508" s="476"/>
      <c r="T508" s="476"/>
      <c r="U508" s="476"/>
      <c r="V508" s="476"/>
      <c r="W508" s="476"/>
      <c r="X508" s="476"/>
      <c r="Y508" s="476"/>
      <c r="Z508" s="476"/>
      <c r="AA508" s="476"/>
      <c r="AB508" s="476"/>
      <c r="AC508" s="476"/>
    </row>
    <row r="509" spans="1:29">
      <c r="A509" s="15"/>
      <c r="B509" s="346" t="s">
        <v>164</v>
      </c>
      <c r="C509" s="503" t="s">
        <v>19</v>
      </c>
      <c r="E509" s="339" t="s">
        <v>208</v>
      </c>
      <c r="H509" s="343">
        <v>0</v>
      </c>
      <c r="I509" s="334"/>
      <c r="J509" s="334"/>
      <c r="K509" s="334"/>
      <c r="L509" s="334"/>
      <c r="M509" s="334"/>
      <c r="N509" s="334"/>
      <c r="O509" s="334"/>
      <c r="P509" s="334"/>
      <c r="Q509" s="334"/>
      <c r="R509" s="334"/>
      <c r="S509" s="334"/>
      <c r="T509" s="334"/>
      <c r="U509" s="334"/>
      <c r="V509" s="334"/>
      <c r="W509" s="334"/>
      <c r="X509" s="334"/>
      <c r="Y509" s="334"/>
      <c r="Z509" s="334"/>
      <c r="AA509" s="334"/>
      <c r="AB509" s="334"/>
      <c r="AC509" s="334"/>
    </row>
    <row r="510" spans="1:29">
      <c r="A510" s="15"/>
      <c r="B510" s="339" t="s">
        <v>165</v>
      </c>
      <c r="C510" s="503"/>
      <c r="E510" t="s">
        <v>201</v>
      </c>
      <c r="H510" s="507">
        <v>1</v>
      </c>
      <c r="I510" s="208"/>
      <c r="J510" s="208"/>
      <c r="K510" s="208"/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</row>
    <row r="511" spans="1:29">
      <c r="A511" s="15"/>
      <c r="B511" s="339" t="s">
        <v>166</v>
      </c>
      <c r="C511" s="503"/>
      <c r="E511" s="339" t="s">
        <v>202</v>
      </c>
      <c r="H511" s="476">
        <f>+H509*H510</f>
        <v>0</v>
      </c>
    </row>
    <row r="512" spans="1:29">
      <c r="A512" s="15"/>
      <c r="B512" s="339" t="s">
        <v>167</v>
      </c>
      <c r="C512" s="503"/>
      <c r="E512" s="339" t="s">
        <v>203</v>
      </c>
      <c r="H512" s="343">
        <v>1</v>
      </c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  <c r="AA512" s="335"/>
      <c r="AB512" s="335"/>
      <c r="AC512" s="335"/>
    </row>
    <row r="513" spans="1:30">
      <c r="A513" s="15"/>
      <c r="B513" s="411" t="s">
        <v>209</v>
      </c>
      <c r="E513" s="476"/>
      <c r="F513" s="476"/>
      <c r="G513" s="476"/>
      <c r="H513" s="476"/>
      <c r="I513" s="476">
        <f ca="1">($H511)*(IF($H512=1,I$185,IF($H512=2,I$188,IF($H512=3,I$191,0))))*(stub)</f>
        <v>0</v>
      </c>
      <c r="J513" s="476">
        <f ca="1">($H511)*(IF($H512=1,J$185,IF($H512=2,J$188,IF($H512=3,J$191,0))))</f>
        <v>0</v>
      </c>
      <c r="K513" s="476">
        <f t="shared" ref="K513:Z513" ca="1" si="236">($H511)*(IF($H512=1,K$185,IF($H512=2,K$188,IF($H512=3,K$191,0))))</f>
        <v>0</v>
      </c>
      <c r="L513" s="476">
        <f t="shared" ca="1" si="236"/>
        <v>0</v>
      </c>
      <c r="M513" s="476">
        <f t="shared" ca="1" si="236"/>
        <v>0</v>
      </c>
      <c r="N513" s="476">
        <f t="shared" ca="1" si="236"/>
        <v>0</v>
      </c>
      <c r="O513" s="476">
        <f t="shared" ca="1" si="236"/>
        <v>0</v>
      </c>
      <c r="P513" s="476">
        <f t="shared" ca="1" si="236"/>
        <v>0</v>
      </c>
      <c r="Q513" s="476">
        <f t="shared" ca="1" si="236"/>
        <v>0</v>
      </c>
      <c r="R513" s="476">
        <f t="shared" ca="1" si="236"/>
        <v>0</v>
      </c>
      <c r="S513" s="476">
        <f t="shared" ca="1" si="236"/>
        <v>0</v>
      </c>
      <c r="T513" s="476">
        <f t="shared" ca="1" si="236"/>
        <v>0</v>
      </c>
      <c r="U513" s="476">
        <f t="shared" ca="1" si="236"/>
        <v>0</v>
      </c>
      <c r="V513" s="476">
        <f t="shared" ca="1" si="236"/>
        <v>0</v>
      </c>
      <c r="W513" s="476">
        <f t="shared" ca="1" si="236"/>
        <v>0</v>
      </c>
      <c r="X513" s="476">
        <f t="shared" ca="1" si="236"/>
        <v>0</v>
      </c>
      <c r="Y513" s="476">
        <f t="shared" ca="1" si="236"/>
        <v>0</v>
      </c>
      <c r="Z513" s="476">
        <f t="shared" ca="1" si="236"/>
        <v>0</v>
      </c>
      <c r="AA513" s="476">
        <f ca="1">($H511)*(IF($H512=1,AA$185,IF($H512=2,AA$188,IF($H512=3,AA$191,0))))</f>
        <v>0</v>
      </c>
      <c r="AB513" s="476">
        <f ca="1">($H511)*(IF($H512=1,AB$185,IF($H512=2,AB$188,IF($H512=3,AB$191,0))))</f>
        <v>0</v>
      </c>
      <c r="AC513" s="476">
        <f ca="1">($H511)*(IF($H512=1,AC$185,IF($H512=2,AC$188,IF($H512=3,AC$191,0))))</f>
        <v>0</v>
      </c>
    </row>
    <row r="514" spans="1:30">
      <c r="A514" s="15"/>
      <c r="B514" s="411"/>
      <c r="E514" s="476"/>
      <c r="F514" s="476"/>
      <c r="G514" s="476"/>
      <c r="H514" s="476"/>
      <c r="I514" s="476"/>
      <c r="J514" s="476"/>
      <c r="K514" s="476"/>
      <c r="L514" s="476"/>
      <c r="M514" s="476"/>
      <c r="N514" s="476"/>
      <c r="O514" s="476"/>
      <c r="P514" s="476"/>
      <c r="Q514" s="476"/>
      <c r="R514" s="476"/>
      <c r="S514" s="476"/>
      <c r="T514" s="476"/>
      <c r="U514" s="476"/>
      <c r="V514" s="476"/>
      <c r="W514" s="476"/>
      <c r="X514" s="476"/>
      <c r="Y514" s="476"/>
      <c r="Z514" s="476"/>
      <c r="AA514" s="476"/>
      <c r="AB514" s="476"/>
      <c r="AC514" s="476"/>
    </row>
    <row r="515" spans="1:30">
      <c r="A515" s="15"/>
      <c r="B515" s="411" t="s">
        <v>210</v>
      </c>
      <c r="E515" s="476"/>
      <c r="F515" s="476"/>
      <c r="G515" s="476"/>
      <c r="H515" s="476"/>
      <c r="I515" s="536">
        <v>0</v>
      </c>
      <c r="J515" s="536">
        <v>0</v>
      </c>
      <c r="K515" s="536">
        <v>0</v>
      </c>
      <c r="L515" s="536">
        <v>0</v>
      </c>
      <c r="M515" s="536">
        <v>0</v>
      </c>
      <c r="N515" s="536">
        <v>0</v>
      </c>
      <c r="O515" s="536">
        <v>0</v>
      </c>
      <c r="P515" s="536">
        <v>0</v>
      </c>
      <c r="Q515" s="536">
        <v>0</v>
      </c>
      <c r="R515" s="536">
        <v>0</v>
      </c>
      <c r="S515" s="536">
        <v>0</v>
      </c>
      <c r="T515" s="536">
        <v>0</v>
      </c>
      <c r="U515" s="536">
        <v>0</v>
      </c>
      <c r="V515" s="536">
        <v>0</v>
      </c>
      <c r="W515" s="536">
        <v>0</v>
      </c>
      <c r="X515" s="536">
        <v>0</v>
      </c>
      <c r="Y515" s="536">
        <v>0</v>
      </c>
      <c r="Z515" s="536">
        <v>0</v>
      </c>
      <c r="AA515" s="536">
        <v>0</v>
      </c>
      <c r="AB515" s="536">
        <v>0</v>
      </c>
      <c r="AC515" s="536">
        <v>0</v>
      </c>
    </row>
    <row r="516" spans="1:30">
      <c r="A516" s="417" t="str">
        <f>"Total Production Costs - "&amp;C16</f>
        <v>Total Production Costs - PROBABLES</v>
      </c>
      <c r="E516" s="505">
        <v>0</v>
      </c>
      <c r="F516" s="505">
        <v>0</v>
      </c>
      <c r="G516" s="505">
        <v>0</v>
      </c>
      <c r="H516" s="505">
        <v>0</v>
      </c>
      <c r="I516" s="620">
        <f ca="1">+I513+I504+I506+I515</f>
        <v>0</v>
      </c>
      <c r="J516" s="620">
        <f t="shared" ref="J516:Y516" ca="1" si="237">+J513+J504+J506+J515</f>
        <v>0</v>
      </c>
      <c r="K516" s="620">
        <f t="shared" ca="1" si="237"/>
        <v>0</v>
      </c>
      <c r="L516" s="620">
        <f t="shared" ca="1" si="237"/>
        <v>0</v>
      </c>
      <c r="M516" s="620">
        <f t="shared" ca="1" si="237"/>
        <v>0</v>
      </c>
      <c r="N516" s="620">
        <f t="shared" ca="1" si="237"/>
        <v>0</v>
      </c>
      <c r="O516" s="620">
        <f t="shared" ca="1" si="237"/>
        <v>0</v>
      </c>
      <c r="P516" s="620">
        <f t="shared" ca="1" si="237"/>
        <v>0</v>
      </c>
      <c r="Q516" s="620">
        <f t="shared" ca="1" si="237"/>
        <v>0</v>
      </c>
      <c r="R516" s="620">
        <f t="shared" ca="1" si="237"/>
        <v>0</v>
      </c>
      <c r="S516" s="620">
        <f t="shared" ca="1" si="237"/>
        <v>0</v>
      </c>
      <c r="T516" s="620">
        <f t="shared" ca="1" si="237"/>
        <v>0</v>
      </c>
      <c r="U516" s="620">
        <f t="shared" ca="1" si="237"/>
        <v>0</v>
      </c>
      <c r="V516" s="620">
        <f t="shared" ca="1" si="237"/>
        <v>0</v>
      </c>
      <c r="W516" s="620">
        <f t="shared" ca="1" si="237"/>
        <v>0</v>
      </c>
      <c r="X516" s="620">
        <f t="shared" ca="1" si="237"/>
        <v>0</v>
      </c>
      <c r="Y516" s="620">
        <f t="shared" ca="1" si="237"/>
        <v>0</v>
      </c>
      <c r="Z516" s="620">
        <f ca="1">+Z513+Z504+Z506+Z515</f>
        <v>0</v>
      </c>
      <c r="AA516" s="620">
        <f ca="1">+AA513+AA504+AA506+AA515</f>
        <v>0</v>
      </c>
      <c r="AB516" s="620">
        <f ca="1">+AB513+AB504+AB506+AB515</f>
        <v>0</v>
      </c>
      <c r="AC516" s="620">
        <f ca="1">+AC513+AC504+AC506+AC515</f>
        <v>0</v>
      </c>
    </row>
    <row r="517" spans="1:30">
      <c r="A517" s="15" t="str">
        <f>"Net Oil &amp; Gas Income - "&amp;C16</f>
        <v>Net Oil &amp; Gas Income - PROBABLES</v>
      </c>
      <c r="D517" s="74"/>
      <c r="E517" s="617">
        <f>+E494-E516</f>
        <v>0</v>
      </c>
      <c r="F517" s="617">
        <f t="shared" ref="F517:U517" si="238">+F494-F516</f>
        <v>0</v>
      </c>
      <c r="G517" s="617">
        <f t="shared" si="238"/>
        <v>0</v>
      </c>
      <c r="H517" s="617">
        <f t="shared" si="238"/>
        <v>0</v>
      </c>
      <c r="I517" s="615">
        <f t="shared" ca="1" si="238"/>
        <v>0</v>
      </c>
      <c r="J517" s="615">
        <f t="shared" ca="1" si="238"/>
        <v>0</v>
      </c>
      <c r="K517" s="615">
        <f t="shared" ca="1" si="238"/>
        <v>0</v>
      </c>
      <c r="L517" s="615">
        <f t="shared" ca="1" si="238"/>
        <v>0</v>
      </c>
      <c r="M517" s="615">
        <f t="shared" ca="1" si="238"/>
        <v>0</v>
      </c>
      <c r="N517" s="615">
        <f t="shared" ca="1" si="238"/>
        <v>0</v>
      </c>
      <c r="O517" s="615">
        <f t="shared" ca="1" si="238"/>
        <v>0</v>
      </c>
      <c r="P517" s="615">
        <f t="shared" ca="1" si="238"/>
        <v>0</v>
      </c>
      <c r="Q517" s="615">
        <f t="shared" ca="1" si="238"/>
        <v>0</v>
      </c>
      <c r="R517" s="615">
        <f t="shared" ca="1" si="238"/>
        <v>0</v>
      </c>
      <c r="S517" s="615">
        <f t="shared" ca="1" si="238"/>
        <v>0</v>
      </c>
      <c r="T517" s="615">
        <f t="shared" ca="1" si="238"/>
        <v>0</v>
      </c>
      <c r="U517" s="615">
        <f t="shared" ca="1" si="238"/>
        <v>0</v>
      </c>
      <c r="V517" s="615">
        <f t="shared" ref="V517:AC517" ca="1" si="239">+V494-V516</f>
        <v>0</v>
      </c>
      <c r="W517" s="615">
        <f t="shared" ca="1" si="239"/>
        <v>0</v>
      </c>
      <c r="X517" s="615">
        <f t="shared" ca="1" si="239"/>
        <v>0</v>
      </c>
      <c r="Y517" s="615">
        <f t="shared" ca="1" si="239"/>
        <v>0</v>
      </c>
      <c r="Z517" s="615">
        <f t="shared" ca="1" si="239"/>
        <v>0</v>
      </c>
      <c r="AA517" s="615">
        <f t="shared" ca="1" si="239"/>
        <v>0</v>
      </c>
      <c r="AB517" s="615">
        <f t="shared" ca="1" si="239"/>
        <v>0</v>
      </c>
      <c r="AC517" s="615">
        <f t="shared" ca="1" si="239"/>
        <v>0</v>
      </c>
    </row>
    <row r="518" spans="1:30">
      <c r="A518" s="15"/>
      <c r="B518" s="5"/>
      <c r="D518" s="5"/>
      <c r="E518" s="141"/>
      <c r="F518" s="141"/>
      <c r="G518" s="141"/>
      <c r="I518" s="623"/>
      <c r="J518" s="623"/>
      <c r="K518" s="623"/>
      <c r="L518" s="623"/>
      <c r="M518" s="623"/>
      <c r="N518" s="623"/>
      <c r="O518" s="623"/>
      <c r="P518" s="623"/>
      <c r="Q518" s="623"/>
      <c r="R518" s="623"/>
      <c r="S518" s="623"/>
      <c r="T518" s="623"/>
      <c r="U518" s="623"/>
      <c r="V518" s="623"/>
      <c r="W518" s="623"/>
      <c r="X518" s="623"/>
      <c r="Y518" s="624"/>
      <c r="Z518" s="624"/>
      <c r="AA518" s="624"/>
      <c r="AB518" s="624"/>
      <c r="AC518" s="624"/>
    </row>
    <row r="519" spans="1:30">
      <c r="A519" s="15"/>
      <c r="B519" s="5" t="s">
        <v>534</v>
      </c>
      <c r="D519" s="5"/>
      <c r="E519" s="141"/>
      <c r="F519" s="141"/>
      <c r="G519" s="141"/>
      <c r="I519" s="517">
        <v>0</v>
      </c>
      <c r="J519" s="517">
        <v>0</v>
      </c>
      <c r="K519" s="517">
        <v>0</v>
      </c>
      <c r="L519" s="517">
        <v>0</v>
      </c>
      <c r="M519" s="517">
        <v>0</v>
      </c>
      <c r="N519" s="517">
        <v>0</v>
      </c>
      <c r="O519" s="517">
        <v>0</v>
      </c>
      <c r="P519" s="517">
        <v>0</v>
      </c>
      <c r="Q519" s="517">
        <v>0</v>
      </c>
      <c r="R519" s="517">
        <v>0</v>
      </c>
      <c r="S519" s="517">
        <v>0</v>
      </c>
      <c r="T519" s="517">
        <v>0</v>
      </c>
      <c r="U519" s="517">
        <v>0</v>
      </c>
      <c r="V519" s="517">
        <v>0</v>
      </c>
      <c r="W519" s="517">
        <v>0</v>
      </c>
      <c r="X519" s="517">
        <v>0</v>
      </c>
      <c r="Y519" s="538">
        <v>0</v>
      </c>
      <c r="Z519" s="538">
        <v>0</v>
      </c>
      <c r="AA519" s="538">
        <v>0</v>
      </c>
      <c r="AB519" s="538">
        <v>0</v>
      </c>
      <c r="AC519" s="538">
        <v>0</v>
      </c>
    </row>
    <row r="520" spans="1:30">
      <c r="A520" s="15"/>
      <c r="B520" s="5"/>
      <c r="D520" s="5"/>
      <c r="E520" s="141"/>
      <c r="F520" s="141"/>
      <c r="G520" s="141"/>
      <c r="H520" s="614"/>
      <c r="I520" s="623"/>
      <c r="J520" s="623"/>
      <c r="K520" s="623"/>
      <c r="L520" s="623"/>
      <c r="M520" s="623"/>
      <c r="N520" s="623"/>
      <c r="O520" s="623"/>
      <c r="P520" s="623"/>
      <c r="Q520" s="623"/>
      <c r="R520" s="623"/>
      <c r="S520" s="623"/>
      <c r="T520" s="623"/>
      <c r="U520" s="623"/>
      <c r="V520" s="623"/>
      <c r="W520" s="623"/>
      <c r="X520" s="623"/>
      <c r="Y520" s="624"/>
      <c r="Z520" s="624"/>
      <c r="AA520" s="624"/>
      <c r="AB520" s="624"/>
      <c r="AC520" s="624"/>
    </row>
    <row r="521" spans="1:30" ht="12" thickBot="1">
      <c r="A521" s="15"/>
      <c r="B521" s="5"/>
      <c r="D521" s="5"/>
      <c r="E521" s="141"/>
      <c r="F521" s="141"/>
      <c r="G521" s="141"/>
      <c r="H521" s="614"/>
      <c r="I521" s="623"/>
      <c r="J521" s="623"/>
      <c r="K521" s="623"/>
      <c r="L521" s="623"/>
      <c r="M521" s="623"/>
      <c r="N521" s="623"/>
      <c r="O521" s="623"/>
      <c r="P521" s="623"/>
      <c r="Q521" s="623"/>
      <c r="R521" s="623"/>
      <c r="S521" s="623"/>
      <c r="T521" s="623"/>
      <c r="U521" s="623"/>
      <c r="V521" s="623"/>
      <c r="W521" s="623"/>
      <c r="X521" s="623"/>
      <c r="Y521" s="624"/>
      <c r="Z521" s="624"/>
      <c r="AA521" s="624"/>
      <c r="AB521" s="624"/>
      <c r="AC521" s="624"/>
    </row>
    <row r="522" spans="1:30" ht="12.75" thickTop="1" thickBot="1">
      <c r="A522" s="15" t="s">
        <v>178</v>
      </c>
      <c r="B522" s="5"/>
      <c r="C522" s="5"/>
      <c r="D522" s="5"/>
      <c r="E522" s="166" t="str">
        <f>+E$3</f>
        <v xml:space="preserve">1996 </v>
      </c>
      <c r="F522" s="166" t="str">
        <f>+F$3</f>
        <v xml:space="preserve">1997 </v>
      </c>
      <c r="G522" s="166" t="str">
        <f>+G$3</f>
        <v xml:space="preserve">1998 </v>
      </c>
      <c r="H522" s="166" t="str">
        <f ca="1">+H$3</f>
        <v xml:space="preserve">6 M/1999 </v>
      </c>
      <c r="I522" s="166" t="str">
        <f ca="1">+I$3</f>
        <v xml:space="preserve">6 M/1999 </v>
      </c>
      <c r="J522" s="166">
        <f t="shared" ref="J522:Y522" si="240">+J$3</f>
        <v>2000</v>
      </c>
      <c r="K522" s="166">
        <f t="shared" si="240"/>
        <v>2001</v>
      </c>
      <c r="L522" s="166">
        <f t="shared" si="240"/>
        <v>2002</v>
      </c>
      <c r="M522" s="166">
        <f t="shared" si="240"/>
        <v>2003</v>
      </c>
      <c r="N522" s="166">
        <f t="shared" si="240"/>
        <v>2004</v>
      </c>
      <c r="O522" s="166">
        <f t="shared" si="240"/>
        <v>2005</v>
      </c>
      <c r="P522" s="166">
        <f t="shared" si="240"/>
        <v>2006</v>
      </c>
      <c r="Q522" s="166">
        <f t="shared" si="240"/>
        <v>2007</v>
      </c>
      <c r="R522" s="166">
        <f t="shared" si="240"/>
        <v>2008</v>
      </c>
      <c r="S522" s="166">
        <f t="shared" si="240"/>
        <v>2009</v>
      </c>
      <c r="T522" s="166">
        <f t="shared" si="240"/>
        <v>2010</v>
      </c>
      <c r="U522" s="166">
        <f t="shared" si="240"/>
        <v>2011</v>
      </c>
      <c r="V522" s="166">
        <f t="shared" si="240"/>
        <v>2012</v>
      </c>
      <c r="W522" s="166">
        <f t="shared" si="240"/>
        <v>2013</v>
      </c>
      <c r="X522" s="166">
        <f t="shared" si="240"/>
        <v>2014</v>
      </c>
      <c r="Y522" s="166">
        <f t="shared" si="240"/>
        <v>2015</v>
      </c>
      <c r="Z522" s="166">
        <f>+Z$3</f>
        <v>2016</v>
      </c>
      <c r="AA522" s="166">
        <f>+AA$3</f>
        <v>2017</v>
      </c>
      <c r="AB522" s="166">
        <f>+AB$3</f>
        <v>2018</v>
      </c>
      <c r="AC522" s="166">
        <f>+AC$3</f>
        <v>2019</v>
      </c>
    </row>
    <row r="523" spans="1:30" ht="13.5" thickTop="1">
      <c r="A523" s="506" t="str">
        <f>+C18</f>
        <v xml:space="preserve">Acrerage Dev. Prog. </v>
      </c>
      <c r="B523" s="5"/>
      <c r="C523" s="5"/>
      <c r="D523" s="5"/>
      <c r="E523" s="281" t="s">
        <v>392</v>
      </c>
      <c r="F523" s="281" t="s">
        <v>535</v>
      </c>
      <c r="G523" s="281" t="s">
        <v>394</v>
      </c>
      <c r="H523" s="281"/>
      <c r="I523" s="540"/>
      <c r="J523" s="540"/>
      <c r="K523" s="540"/>
      <c r="L523" s="540"/>
      <c r="M523" s="540"/>
      <c r="N523" s="540"/>
      <c r="O523" s="540"/>
      <c r="P523" s="540"/>
      <c r="Q523" s="540"/>
      <c r="R523" s="540"/>
      <c r="S523" s="540"/>
      <c r="T523" s="540"/>
      <c r="U523" s="540"/>
      <c r="V523" s="540"/>
      <c r="W523" s="540"/>
      <c r="X523" s="540"/>
      <c r="Y523" s="540"/>
      <c r="Z523" s="540"/>
      <c r="AA523" s="540"/>
      <c r="AB523" s="540"/>
      <c r="AC523" s="540"/>
    </row>
    <row r="524" spans="1:30" ht="12.75">
      <c r="A524" s="506"/>
      <c r="B524" s="5"/>
      <c r="C524" s="5"/>
      <c r="D524" s="5"/>
      <c r="E524" s="690">
        <v>0.7</v>
      </c>
      <c r="F524" s="777">
        <v>1</v>
      </c>
      <c r="G524" s="690">
        <v>1.1499999999999999</v>
      </c>
      <c r="H524" s="281"/>
      <c r="I524" s="540"/>
      <c r="J524" s="540"/>
      <c r="K524" s="540"/>
      <c r="L524" s="540"/>
      <c r="M524" s="540"/>
      <c r="N524" s="540"/>
      <c r="O524" s="540"/>
      <c r="P524" s="540"/>
      <c r="Q524" s="540"/>
      <c r="R524" s="723"/>
    </row>
    <row r="525" spans="1:30" ht="12.75">
      <c r="A525" s="506"/>
      <c r="B525" s="5"/>
      <c r="C525" s="5"/>
      <c r="D525" s="5"/>
      <c r="E525" s="281"/>
      <c r="F525" s="281"/>
      <c r="G525" s="281"/>
      <c r="H525" s="281"/>
      <c r="I525" s="540">
        <v>0</v>
      </c>
      <c r="J525" s="540">
        <v>0</v>
      </c>
      <c r="K525" s="540">
        <v>0</v>
      </c>
      <c r="L525" s="540">
        <v>0</v>
      </c>
      <c r="M525" s="540">
        <v>0</v>
      </c>
      <c r="N525" s="540">
        <v>0</v>
      </c>
      <c r="O525" s="540">
        <v>0</v>
      </c>
      <c r="P525" s="540">
        <v>0</v>
      </c>
      <c r="Q525" s="540">
        <v>0</v>
      </c>
      <c r="R525" s="540">
        <v>0</v>
      </c>
      <c r="S525" s="540">
        <v>0</v>
      </c>
      <c r="T525" s="540">
        <v>0</v>
      </c>
      <c r="U525" s="540">
        <v>0</v>
      </c>
      <c r="V525" s="540">
        <v>0</v>
      </c>
      <c r="W525" s="540">
        <v>0</v>
      </c>
      <c r="X525" s="724">
        <v>0</v>
      </c>
      <c r="Y525" s="724">
        <v>0</v>
      </c>
      <c r="Z525" s="724">
        <v>0</v>
      </c>
      <c r="AA525" s="724">
        <v>0</v>
      </c>
      <c r="AB525" s="724">
        <v>0</v>
      </c>
      <c r="AC525" s="724">
        <v>0</v>
      </c>
    </row>
    <row r="526" spans="1:30">
      <c r="A526" s="455" t="s">
        <v>15</v>
      </c>
      <c r="B526" s="83" t="s">
        <v>515</v>
      </c>
      <c r="C526" s="5"/>
      <c r="D526" s="5"/>
      <c r="E526" s="281"/>
      <c r="F526" s="281"/>
      <c r="G526" s="281"/>
      <c r="H526" s="281"/>
      <c r="I526" s="517">
        <f>I525*$F$524</f>
        <v>0</v>
      </c>
      <c r="J526" s="517">
        <f t="shared" ref="J526:Y526" si="241">J525*$F$524</f>
        <v>0</v>
      </c>
      <c r="K526" s="517">
        <f t="shared" si="241"/>
        <v>0</v>
      </c>
      <c r="L526" s="517">
        <f t="shared" si="241"/>
        <v>0</v>
      </c>
      <c r="M526" s="517">
        <f t="shared" si="241"/>
        <v>0</v>
      </c>
      <c r="N526" s="517">
        <f t="shared" si="241"/>
        <v>0</v>
      </c>
      <c r="O526" s="517">
        <f t="shared" si="241"/>
        <v>0</v>
      </c>
      <c r="P526" s="517">
        <f t="shared" si="241"/>
        <v>0</v>
      </c>
      <c r="Q526" s="517">
        <f t="shared" si="241"/>
        <v>0</v>
      </c>
      <c r="R526" s="517">
        <f t="shared" si="241"/>
        <v>0</v>
      </c>
      <c r="S526" s="517">
        <f t="shared" si="241"/>
        <v>0</v>
      </c>
      <c r="T526" s="517">
        <f t="shared" si="241"/>
        <v>0</v>
      </c>
      <c r="U526" s="517">
        <f t="shared" si="241"/>
        <v>0</v>
      </c>
      <c r="V526" s="517">
        <f t="shared" si="241"/>
        <v>0</v>
      </c>
      <c r="W526" s="517">
        <f t="shared" si="241"/>
        <v>0</v>
      </c>
      <c r="X526" s="517">
        <f t="shared" si="241"/>
        <v>0</v>
      </c>
      <c r="Y526" s="517">
        <f t="shared" si="241"/>
        <v>0</v>
      </c>
      <c r="Z526" s="517">
        <f>Z525*$F$524</f>
        <v>0</v>
      </c>
      <c r="AA526" s="517">
        <f>AA525*$F$524</f>
        <v>0</v>
      </c>
      <c r="AB526" s="517">
        <f>AB525*$F$524</f>
        <v>0</v>
      </c>
      <c r="AC526" s="517">
        <f>AC525*$F$524</f>
        <v>0</v>
      </c>
      <c r="AD526" s="686"/>
    </row>
    <row r="527" spans="1:30" ht="12.75">
      <c r="A527" s="506"/>
      <c r="B527" s="83" t="s">
        <v>517</v>
      </c>
      <c r="C527" s="5"/>
      <c r="D527" s="5"/>
      <c r="E527" s="281"/>
      <c r="F527" s="281"/>
      <c r="G527" s="281"/>
      <c r="H527" s="281"/>
      <c r="I527" s="667">
        <v>1</v>
      </c>
      <c r="J527" s="667">
        <f t="shared" ref="J527:AC527" si="242">I527</f>
        <v>1</v>
      </c>
      <c r="K527" s="667">
        <f t="shared" si="242"/>
        <v>1</v>
      </c>
      <c r="L527" s="667">
        <f t="shared" si="242"/>
        <v>1</v>
      </c>
      <c r="M527" s="667">
        <f t="shared" si="242"/>
        <v>1</v>
      </c>
      <c r="N527" s="667">
        <f t="shared" si="242"/>
        <v>1</v>
      </c>
      <c r="O527" s="667">
        <f t="shared" si="242"/>
        <v>1</v>
      </c>
      <c r="P527" s="667">
        <f t="shared" si="242"/>
        <v>1</v>
      </c>
      <c r="Q527" s="667">
        <f t="shared" si="242"/>
        <v>1</v>
      </c>
      <c r="R527" s="667">
        <f t="shared" si="242"/>
        <v>1</v>
      </c>
      <c r="S527" s="667">
        <f t="shared" si="242"/>
        <v>1</v>
      </c>
      <c r="T527" s="667">
        <f t="shared" si="242"/>
        <v>1</v>
      </c>
      <c r="U527" s="667">
        <f t="shared" si="242"/>
        <v>1</v>
      </c>
      <c r="V527" s="667">
        <f t="shared" si="242"/>
        <v>1</v>
      </c>
      <c r="W527" s="667">
        <f t="shared" si="242"/>
        <v>1</v>
      </c>
      <c r="X527" s="667">
        <f t="shared" si="242"/>
        <v>1</v>
      </c>
      <c r="Y527" s="667">
        <f t="shared" si="242"/>
        <v>1</v>
      </c>
      <c r="Z527" s="667">
        <f t="shared" si="242"/>
        <v>1</v>
      </c>
      <c r="AA527" s="667">
        <f t="shared" si="242"/>
        <v>1</v>
      </c>
      <c r="AB527" s="667">
        <f t="shared" si="242"/>
        <v>1</v>
      </c>
      <c r="AC527" s="667">
        <f t="shared" si="242"/>
        <v>1</v>
      </c>
    </row>
    <row r="528" spans="1:30">
      <c r="B528" s="83" t="s">
        <v>518</v>
      </c>
      <c r="C528" s="5"/>
      <c r="D528" s="5"/>
      <c r="E528" s="281"/>
      <c r="F528" s="281"/>
      <c r="G528" s="281"/>
      <c r="H528" s="540"/>
      <c r="I528" s="666">
        <f>+I526*I527</f>
        <v>0</v>
      </c>
      <c r="J528" s="666">
        <f t="shared" ref="J528:Y528" si="243">+J526*J527</f>
        <v>0</v>
      </c>
      <c r="K528" s="666">
        <f t="shared" si="243"/>
        <v>0</v>
      </c>
      <c r="L528" s="666">
        <f t="shared" si="243"/>
        <v>0</v>
      </c>
      <c r="M528" s="666">
        <f t="shared" si="243"/>
        <v>0</v>
      </c>
      <c r="N528" s="666">
        <f t="shared" si="243"/>
        <v>0</v>
      </c>
      <c r="O528" s="666">
        <f t="shared" si="243"/>
        <v>0</v>
      </c>
      <c r="P528" s="666">
        <f t="shared" si="243"/>
        <v>0</v>
      </c>
      <c r="Q528" s="666">
        <f t="shared" si="243"/>
        <v>0</v>
      </c>
      <c r="R528" s="666">
        <f t="shared" si="243"/>
        <v>0</v>
      </c>
      <c r="S528" s="666">
        <f t="shared" si="243"/>
        <v>0</v>
      </c>
      <c r="T528" s="666">
        <f t="shared" si="243"/>
        <v>0</v>
      </c>
      <c r="U528" s="666">
        <f t="shared" si="243"/>
        <v>0</v>
      </c>
      <c r="V528" s="666">
        <f t="shared" si="243"/>
        <v>0</v>
      </c>
      <c r="W528" s="666">
        <f t="shared" si="243"/>
        <v>0</v>
      </c>
      <c r="X528" s="666">
        <f t="shared" si="243"/>
        <v>0</v>
      </c>
      <c r="Y528" s="666">
        <f t="shared" si="243"/>
        <v>0</v>
      </c>
      <c r="Z528" s="666">
        <f>+Z526*Z527</f>
        <v>0</v>
      </c>
      <c r="AA528" s="666">
        <f>+AA526*AA527</f>
        <v>0</v>
      </c>
      <c r="AB528" s="666">
        <f>+AB526*AB527</f>
        <v>0</v>
      </c>
      <c r="AC528" s="666">
        <f>+AC526*AC527</f>
        <v>0</v>
      </c>
    </row>
    <row r="529" spans="1:31" ht="12.75">
      <c r="A529" s="506"/>
      <c r="B529" s="5" t="s">
        <v>181</v>
      </c>
      <c r="C529" s="5"/>
      <c r="D529" s="5"/>
      <c r="E529" s="281"/>
      <c r="F529" s="281"/>
      <c r="G529" s="281"/>
      <c r="H529" s="540"/>
      <c r="I529" s="667">
        <v>1</v>
      </c>
      <c r="J529" s="667">
        <f t="shared" ref="J529:AC529" si="244">I529</f>
        <v>1</v>
      </c>
      <c r="K529" s="667">
        <f t="shared" si="244"/>
        <v>1</v>
      </c>
      <c r="L529" s="667">
        <f t="shared" si="244"/>
        <v>1</v>
      </c>
      <c r="M529" s="667">
        <f t="shared" si="244"/>
        <v>1</v>
      </c>
      <c r="N529" s="667">
        <f t="shared" si="244"/>
        <v>1</v>
      </c>
      <c r="O529" s="667">
        <f t="shared" si="244"/>
        <v>1</v>
      </c>
      <c r="P529" s="667">
        <f t="shared" si="244"/>
        <v>1</v>
      </c>
      <c r="Q529" s="667">
        <f t="shared" si="244"/>
        <v>1</v>
      </c>
      <c r="R529" s="667">
        <f t="shared" si="244"/>
        <v>1</v>
      </c>
      <c r="S529" s="667">
        <f t="shared" si="244"/>
        <v>1</v>
      </c>
      <c r="T529" s="667">
        <f t="shared" si="244"/>
        <v>1</v>
      </c>
      <c r="U529" s="667">
        <f t="shared" si="244"/>
        <v>1</v>
      </c>
      <c r="V529" s="667">
        <f t="shared" si="244"/>
        <v>1</v>
      </c>
      <c r="W529" s="667">
        <f t="shared" si="244"/>
        <v>1</v>
      </c>
      <c r="X529" s="667">
        <f t="shared" si="244"/>
        <v>1</v>
      </c>
      <c r="Y529" s="667">
        <f t="shared" si="244"/>
        <v>1</v>
      </c>
      <c r="Z529" s="667">
        <f t="shared" si="244"/>
        <v>1</v>
      </c>
      <c r="AA529" s="667">
        <f t="shared" si="244"/>
        <v>1</v>
      </c>
      <c r="AB529" s="667">
        <f t="shared" si="244"/>
        <v>1</v>
      </c>
      <c r="AC529" s="667">
        <f t="shared" si="244"/>
        <v>1</v>
      </c>
    </row>
    <row r="530" spans="1:31">
      <c r="B530" s="83" t="s">
        <v>519</v>
      </c>
      <c r="D530" s="5"/>
      <c r="E530" s="141"/>
      <c r="F530" s="141"/>
      <c r="H530" s="623"/>
      <c r="I530" s="615">
        <f>+I528*I529</f>
        <v>0</v>
      </c>
      <c r="J530" s="666">
        <f t="shared" ref="J530:Y530" si="245">+J528*J529</f>
        <v>0</v>
      </c>
      <c r="K530" s="666">
        <f t="shared" si="245"/>
        <v>0</v>
      </c>
      <c r="L530" s="666">
        <f t="shared" si="245"/>
        <v>0</v>
      </c>
      <c r="M530" s="666">
        <f t="shared" si="245"/>
        <v>0</v>
      </c>
      <c r="N530" s="666">
        <f t="shared" si="245"/>
        <v>0</v>
      </c>
      <c r="O530" s="666">
        <f t="shared" si="245"/>
        <v>0</v>
      </c>
      <c r="P530" s="666">
        <f t="shared" si="245"/>
        <v>0</v>
      </c>
      <c r="Q530" s="666">
        <f t="shared" si="245"/>
        <v>0</v>
      </c>
      <c r="R530" s="666">
        <f t="shared" si="245"/>
        <v>0</v>
      </c>
      <c r="S530" s="666">
        <f t="shared" si="245"/>
        <v>0</v>
      </c>
      <c r="T530" s="666">
        <f t="shared" si="245"/>
        <v>0</v>
      </c>
      <c r="U530" s="666">
        <f t="shared" si="245"/>
        <v>0</v>
      </c>
      <c r="V530" s="666">
        <f t="shared" si="245"/>
        <v>0</v>
      </c>
      <c r="W530" s="666">
        <f t="shared" si="245"/>
        <v>0</v>
      </c>
      <c r="X530" s="666">
        <f t="shared" si="245"/>
        <v>0</v>
      </c>
      <c r="Y530" s="666">
        <f t="shared" si="245"/>
        <v>0</v>
      </c>
      <c r="Z530" s="666">
        <f>+Z528*Z529</f>
        <v>0</v>
      </c>
      <c r="AA530" s="666">
        <f>+AA528*AA529</f>
        <v>0</v>
      </c>
      <c r="AB530" s="666">
        <f>+AB528*AB529</f>
        <v>0</v>
      </c>
      <c r="AC530" s="666">
        <f>+AC528*AC529</f>
        <v>0</v>
      </c>
      <c r="AD530">
        <f>SUM(E530:AC530)</f>
        <v>0</v>
      </c>
    </row>
    <row r="531" spans="1:31">
      <c r="D531" s="5"/>
      <c r="E531" s="141"/>
      <c r="F531" s="141"/>
      <c r="G531" s="141"/>
    </row>
    <row r="532" spans="1:31">
      <c r="A532" s="455"/>
      <c r="B532" s="83" t="s">
        <v>520</v>
      </c>
      <c r="D532" s="219">
        <v>5</v>
      </c>
      <c r="I532" s="518">
        <f t="shared" ref="I532:AC532" si="246">IF($D532=1,I$212,IF($D532=2,I$215,IF($D532=3,I$217,IF($D532=4,I$219,IF($D532=5,I$221,I$212)))))</f>
        <v>0</v>
      </c>
      <c r="J532" s="518">
        <f t="shared" ca="1" si="246"/>
        <v>21.515888888888885</v>
      </c>
      <c r="K532" s="518">
        <f t="shared" ca="1" si="246"/>
        <v>18.986666666666665</v>
      </c>
      <c r="L532" s="518">
        <f t="shared" ca="1" si="246"/>
        <v>18.343166666666665</v>
      </c>
      <c r="M532" s="518">
        <f t="shared" ca="1" si="246"/>
        <v>18.421749999999999</v>
      </c>
      <c r="N532" s="518">
        <f t="shared" ca="1" si="246"/>
        <v>18.575749999999999</v>
      </c>
      <c r="O532" s="518">
        <f t="shared" ca="1" si="246"/>
        <v>18.731416666666668</v>
      </c>
      <c r="P532" s="518">
        <f t="shared" ca="1" si="246"/>
        <v>18.906166666666667</v>
      </c>
      <c r="Q532" s="518">
        <f t="shared" ca="1" si="246"/>
        <v>19.098166666666668</v>
      </c>
      <c r="R532" s="518">
        <f t="shared" ca="1" si="246"/>
        <v>19.300749999999997</v>
      </c>
      <c r="S532" s="518">
        <f t="shared" ca="1" si="246"/>
        <v>19.5105</v>
      </c>
      <c r="T532" s="518">
        <f t="shared" ca="1" si="246"/>
        <v>19.720083333333339</v>
      </c>
      <c r="U532" s="518">
        <f t="shared" ca="1" si="246"/>
        <v>19.930416666666662</v>
      </c>
      <c r="V532" s="518">
        <f t="shared" ca="1" si="246"/>
        <v>20.140416666666663</v>
      </c>
      <c r="W532" s="518">
        <f t="shared" ca="1" si="246"/>
        <v>20.350249999999999</v>
      </c>
      <c r="X532" s="518">
        <f t="shared" ca="1" si="246"/>
        <v>20.843916666666669</v>
      </c>
      <c r="Y532" s="518">
        <f t="shared" ca="1" si="246"/>
        <v>21.326833333333337</v>
      </c>
      <c r="Z532" s="518">
        <f t="shared" ca="1" si="246"/>
        <v>21.627249999999993</v>
      </c>
      <c r="AA532" s="518">
        <f t="shared" ca="1" si="246"/>
        <v>21.926999999999996</v>
      </c>
      <c r="AB532" s="518">
        <f t="shared" ca="1" si="246"/>
        <v>22.22666666666667</v>
      </c>
      <c r="AC532" s="518">
        <f t="shared" ca="1" si="246"/>
        <v>22.451999999999998</v>
      </c>
      <c r="AE532" s="412"/>
    </row>
    <row r="533" spans="1:31">
      <c r="A533" s="456"/>
      <c r="B533" s="83" t="s">
        <v>184</v>
      </c>
      <c r="D533" s="5"/>
      <c r="I533" s="519">
        <v>0</v>
      </c>
      <c r="J533" s="519">
        <v>0</v>
      </c>
      <c r="K533" s="519">
        <v>0</v>
      </c>
      <c r="L533" s="519">
        <v>0</v>
      </c>
      <c r="M533" s="519">
        <v>0</v>
      </c>
      <c r="N533" s="519">
        <v>0</v>
      </c>
      <c r="O533" s="519">
        <v>0</v>
      </c>
      <c r="P533" s="519">
        <v>0</v>
      </c>
      <c r="Q533" s="519">
        <v>0</v>
      </c>
      <c r="R533" s="519">
        <v>0</v>
      </c>
      <c r="S533" s="519">
        <v>0</v>
      </c>
      <c r="T533" s="519">
        <v>0</v>
      </c>
      <c r="U533" s="519">
        <v>0</v>
      </c>
      <c r="V533" s="519">
        <v>0</v>
      </c>
      <c r="W533" s="519">
        <v>0</v>
      </c>
      <c r="X533" s="519">
        <v>0</v>
      </c>
      <c r="Y533" s="519">
        <v>0</v>
      </c>
      <c r="Z533" s="519">
        <v>0</v>
      </c>
      <c r="AA533" s="519">
        <v>0</v>
      </c>
      <c r="AB533" s="519">
        <v>0</v>
      </c>
      <c r="AC533" s="519">
        <v>0</v>
      </c>
    </row>
    <row r="534" spans="1:31">
      <c r="A534" s="193"/>
      <c r="B534" s="83" t="s">
        <v>185</v>
      </c>
      <c r="D534" s="5"/>
      <c r="I534" s="520">
        <f>+I532+I533</f>
        <v>0</v>
      </c>
      <c r="J534" s="520">
        <f t="shared" ref="J534:Y534" ca="1" si="247">+J532+J533</f>
        <v>21.515888888888885</v>
      </c>
      <c r="K534" s="520">
        <f t="shared" ca="1" si="247"/>
        <v>18.986666666666665</v>
      </c>
      <c r="L534" s="520">
        <f t="shared" ca="1" si="247"/>
        <v>18.343166666666665</v>
      </c>
      <c r="M534" s="520">
        <f t="shared" ca="1" si="247"/>
        <v>18.421749999999999</v>
      </c>
      <c r="N534" s="520">
        <f t="shared" ca="1" si="247"/>
        <v>18.575749999999999</v>
      </c>
      <c r="O534" s="520">
        <f t="shared" ca="1" si="247"/>
        <v>18.731416666666668</v>
      </c>
      <c r="P534" s="520">
        <f t="shared" ca="1" si="247"/>
        <v>18.906166666666667</v>
      </c>
      <c r="Q534" s="520">
        <f t="shared" ca="1" si="247"/>
        <v>19.098166666666668</v>
      </c>
      <c r="R534" s="520">
        <f t="shared" ca="1" si="247"/>
        <v>19.300749999999997</v>
      </c>
      <c r="S534" s="520">
        <f t="shared" ca="1" si="247"/>
        <v>19.5105</v>
      </c>
      <c r="T534" s="520">
        <f t="shared" ca="1" si="247"/>
        <v>19.720083333333339</v>
      </c>
      <c r="U534" s="520">
        <f t="shared" ca="1" si="247"/>
        <v>19.930416666666662</v>
      </c>
      <c r="V534" s="520">
        <f t="shared" ca="1" si="247"/>
        <v>20.140416666666663</v>
      </c>
      <c r="W534" s="520">
        <f t="shared" ca="1" si="247"/>
        <v>20.350249999999999</v>
      </c>
      <c r="X534" s="520">
        <f t="shared" ca="1" si="247"/>
        <v>20.843916666666669</v>
      </c>
      <c r="Y534" s="520">
        <f t="shared" ca="1" si="247"/>
        <v>21.326833333333337</v>
      </c>
      <c r="Z534" s="520">
        <f ca="1">+Z532+Z533</f>
        <v>21.627249999999993</v>
      </c>
      <c r="AA534" s="520">
        <f ca="1">+AA532+AA533</f>
        <v>21.926999999999996</v>
      </c>
      <c r="AB534" s="520">
        <f ca="1">+AB532+AB533</f>
        <v>22.22666666666667</v>
      </c>
      <c r="AC534" s="520">
        <f ca="1">+AC532+AC533</f>
        <v>22.451999999999998</v>
      </c>
    </row>
    <row r="535" spans="1:31">
      <c r="A535" s="455"/>
      <c r="B535" s="5" t="str">
        <f>+"Oil Revenue ($"&amp;$F$5</f>
        <v>Oil Revenue ($Thousands)</v>
      </c>
      <c r="D535" s="5"/>
      <c r="E535" s="141"/>
      <c r="F535" s="141"/>
      <c r="G535" s="141"/>
      <c r="H535" s="614"/>
      <c r="I535" s="615">
        <f t="shared" ref="I535:X535" si="248">I530*I534*1000/unit</f>
        <v>0</v>
      </c>
      <c r="J535" s="615">
        <f t="shared" ca="1" si="248"/>
        <v>0</v>
      </c>
      <c r="K535" s="615">
        <f t="shared" ca="1" si="248"/>
        <v>0</v>
      </c>
      <c r="L535" s="615">
        <f t="shared" ca="1" si="248"/>
        <v>0</v>
      </c>
      <c r="M535" s="615">
        <f t="shared" ca="1" si="248"/>
        <v>0</v>
      </c>
      <c r="N535" s="615">
        <f t="shared" ca="1" si="248"/>
        <v>0</v>
      </c>
      <c r="O535" s="615">
        <f t="shared" ca="1" si="248"/>
        <v>0</v>
      </c>
      <c r="P535" s="615">
        <f t="shared" ca="1" si="248"/>
        <v>0</v>
      </c>
      <c r="Q535" s="615">
        <f t="shared" ca="1" si="248"/>
        <v>0</v>
      </c>
      <c r="R535" s="615">
        <f t="shared" ca="1" si="248"/>
        <v>0</v>
      </c>
      <c r="S535" s="615">
        <f t="shared" ca="1" si="248"/>
        <v>0</v>
      </c>
      <c r="T535" s="615">
        <f t="shared" ca="1" si="248"/>
        <v>0</v>
      </c>
      <c r="U535" s="615">
        <f t="shared" ca="1" si="248"/>
        <v>0</v>
      </c>
      <c r="V535" s="615">
        <f t="shared" ca="1" si="248"/>
        <v>0</v>
      </c>
      <c r="W535" s="615">
        <f t="shared" ca="1" si="248"/>
        <v>0</v>
      </c>
      <c r="X535" s="615">
        <f t="shared" ca="1" si="248"/>
        <v>0</v>
      </c>
      <c r="Y535" s="615">
        <f ca="1">Y530*Y534*1000/unit</f>
        <v>0</v>
      </c>
      <c r="Z535" s="615">
        <f ca="1">Z530*Z534*1000/unit</f>
        <v>0</v>
      </c>
      <c r="AA535" s="615">
        <f ca="1">AA530*AA534*1000/unit</f>
        <v>0</v>
      </c>
      <c r="AB535" s="615">
        <f ca="1">AB530*AB534*1000/unit</f>
        <v>0</v>
      </c>
      <c r="AC535" s="615">
        <f ca="1">AC530*AC534*1000/unit</f>
        <v>0</v>
      </c>
    </row>
    <row r="536" spans="1:31">
      <c r="A536" s="455"/>
      <c r="B536" s="5"/>
      <c r="D536" s="5"/>
      <c r="E536" s="281" t="s">
        <v>392</v>
      </c>
      <c r="F536" s="281" t="s">
        <v>535</v>
      </c>
      <c r="G536" s="281" t="s">
        <v>394</v>
      </c>
      <c r="H536" s="614"/>
      <c r="I536" s="623"/>
      <c r="J536" s="623"/>
      <c r="K536" s="623"/>
      <c r="L536" s="623"/>
      <c r="M536" s="623"/>
      <c r="N536" s="623"/>
      <c r="O536" s="623"/>
      <c r="P536" s="623"/>
      <c r="Q536" s="623"/>
      <c r="R536" s="623"/>
      <c r="S536" s="623"/>
      <c r="T536" s="623"/>
      <c r="U536" s="623"/>
      <c r="V536" s="623"/>
      <c r="W536" s="623"/>
      <c r="X536" s="623"/>
      <c r="Y536" s="622"/>
      <c r="Z536" s="622"/>
      <c r="AA536" s="622"/>
      <c r="AB536" s="622"/>
      <c r="AC536" s="622"/>
    </row>
    <row r="537" spans="1:31">
      <c r="A537" s="455"/>
      <c r="B537" s="5"/>
      <c r="D537" s="5"/>
      <c r="E537" s="690">
        <v>0.7</v>
      </c>
      <c r="F537" s="777">
        <v>1</v>
      </c>
      <c r="G537" s="690">
        <v>1.1499999999999999</v>
      </c>
      <c r="H537" s="614"/>
      <c r="I537" s="623"/>
      <c r="J537" s="623"/>
      <c r="K537" s="623"/>
      <c r="L537" s="623"/>
      <c r="M537" s="623"/>
      <c r="N537" s="623"/>
      <c r="O537" s="623"/>
      <c r="P537" s="623"/>
      <c r="Q537" s="623"/>
      <c r="R537" s="623"/>
    </row>
    <row r="538" spans="1:31">
      <c r="A538" s="455"/>
      <c r="B538" s="5"/>
      <c r="D538" s="5"/>
      <c r="E538" s="141"/>
      <c r="F538" s="141"/>
      <c r="G538" s="141"/>
      <c r="H538" s="614"/>
      <c r="I538" s="623">
        <v>0</v>
      </c>
      <c r="J538" s="623">
        <v>0</v>
      </c>
      <c r="K538" s="623">
        <v>0</v>
      </c>
      <c r="L538" s="623">
        <v>0</v>
      </c>
      <c r="M538" s="623">
        <v>0</v>
      </c>
      <c r="N538" s="623">
        <v>0</v>
      </c>
      <c r="O538" s="623">
        <v>0</v>
      </c>
      <c r="P538" s="623">
        <v>0</v>
      </c>
      <c r="Q538" s="623">
        <v>0</v>
      </c>
      <c r="R538" s="623">
        <v>0</v>
      </c>
      <c r="S538" s="623">
        <v>0</v>
      </c>
      <c r="T538" s="623">
        <v>0</v>
      </c>
      <c r="U538" s="623">
        <v>0</v>
      </c>
      <c r="V538" s="623">
        <v>0</v>
      </c>
      <c r="W538" s="623">
        <v>0</v>
      </c>
      <c r="X538" s="727">
        <v>0</v>
      </c>
      <c r="Y538" s="728">
        <v>0</v>
      </c>
      <c r="Z538" s="728">
        <v>0</v>
      </c>
      <c r="AA538" s="728">
        <v>0</v>
      </c>
      <c r="AB538" s="728">
        <v>0</v>
      </c>
      <c r="AC538" s="728">
        <v>0</v>
      </c>
    </row>
    <row r="539" spans="1:31">
      <c r="A539" s="455" t="s">
        <v>14</v>
      </c>
      <c r="B539" s="83" t="s">
        <v>521</v>
      </c>
      <c r="D539" s="5"/>
      <c r="E539" s="141"/>
      <c r="F539" s="141"/>
      <c r="G539" s="141"/>
      <c r="H539" s="614"/>
      <c r="I539" s="517">
        <f>I538*$F$537</f>
        <v>0</v>
      </c>
      <c r="J539" s="517">
        <f t="shared" ref="J539:Y539" si="249">J538*$F$537</f>
        <v>0</v>
      </c>
      <c r="K539" s="517">
        <f t="shared" si="249"/>
        <v>0</v>
      </c>
      <c r="L539" s="517">
        <f t="shared" si="249"/>
        <v>0</v>
      </c>
      <c r="M539" s="517">
        <f t="shared" si="249"/>
        <v>0</v>
      </c>
      <c r="N539" s="517">
        <f t="shared" si="249"/>
        <v>0</v>
      </c>
      <c r="O539" s="517">
        <f t="shared" si="249"/>
        <v>0</v>
      </c>
      <c r="P539" s="517">
        <f t="shared" si="249"/>
        <v>0</v>
      </c>
      <c r="Q539" s="517">
        <f t="shared" si="249"/>
        <v>0</v>
      </c>
      <c r="R539" s="517">
        <f t="shared" si="249"/>
        <v>0</v>
      </c>
      <c r="S539" s="517">
        <f t="shared" si="249"/>
        <v>0</v>
      </c>
      <c r="T539" s="517">
        <f t="shared" si="249"/>
        <v>0</v>
      </c>
      <c r="U539" s="517">
        <f t="shared" si="249"/>
        <v>0</v>
      </c>
      <c r="V539" s="517">
        <f t="shared" si="249"/>
        <v>0</v>
      </c>
      <c r="W539" s="517">
        <f t="shared" si="249"/>
        <v>0</v>
      </c>
      <c r="X539" s="517">
        <f t="shared" si="249"/>
        <v>0</v>
      </c>
      <c r="Y539" s="517">
        <f t="shared" si="249"/>
        <v>0</v>
      </c>
      <c r="Z539" s="517">
        <f>Z538*$F$537</f>
        <v>0</v>
      </c>
      <c r="AA539" s="517">
        <f>AA538*$F$537</f>
        <v>0</v>
      </c>
      <c r="AB539" s="517">
        <f>AB538*$F$537</f>
        <v>0</v>
      </c>
      <c r="AC539" s="517">
        <f>AC538*$F$537</f>
        <v>0</v>
      </c>
    </row>
    <row r="540" spans="1:31">
      <c r="A540" s="455"/>
      <c r="B540" s="83" t="s">
        <v>517</v>
      </c>
      <c r="D540" s="5"/>
      <c r="E540" s="141"/>
      <c r="F540" s="141"/>
      <c r="G540" s="141"/>
      <c r="H540" s="614"/>
      <c r="I540" s="667">
        <v>1</v>
      </c>
      <c r="J540" s="667">
        <f t="shared" ref="J540:AC540" si="250">I540</f>
        <v>1</v>
      </c>
      <c r="K540" s="667">
        <f t="shared" si="250"/>
        <v>1</v>
      </c>
      <c r="L540" s="667">
        <f t="shared" si="250"/>
        <v>1</v>
      </c>
      <c r="M540" s="667">
        <f t="shared" si="250"/>
        <v>1</v>
      </c>
      <c r="N540" s="667">
        <f t="shared" si="250"/>
        <v>1</v>
      </c>
      <c r="O540" s="667">
        <f t="shared" si="250"/>
        <v>1</v>
      </c>
      <c r="P540" s="667">
        <f t="shared" si="250"/>
        <v>1</v>
      </c>
      <c r="Q540" s="667">
        <f t="shared" si="250"/>
        <v>1</v>
      </c>
      <c r="R540" s="667">
        <f t="shared" si="250"/>
        <v>1</v>
      </c>
      <c r="S540" s="667">
        <f t="shared" si="250"/>
        <v>1</v>
      </c>
      <c r="T540" s="667">
        <f t="shared" si="250"/>
        <v>1</v>
      </c>
      <c r="U540" s="667">
        <f t="shared" si="250"/>
        <v>1</v>
      </c>
      <c r="V540" s="667">
        <f t="shared" si="250"/>
        <v>1</v>
      </c>
      <c r="W540" s="667">
        <f t="shared" si="250"/>
        <v>1</v>
      </c>
      <c r="X540" s="667">
        <f t="shared" si="250"/>
        <v>1</v>
      </c>
      <c r="Y540" s="667">
        <f t="shared" si="250"/>
        <v>1</v>
      </c>
      <c r="Z540" s="667">
        <f t="shared" si="250"/>
        <v>1</v>
      </c>
      <c r="AA540" s="667">
        <f t="shared" si="250"/>
        <v>1</v>
      </c>
      <c r="AB540" s="667">
        <f t="shared" si="250"/>
        <v>1</v>
      </c>
      <c r="AC540" s="667">
        <f t="shared" si="250"/>
        <v>1</v>
      </c>
    </row>
    <row r="541" spans="1:31">
      <c r="B541" s="83" t="s">
        <v>522</v>
      </c>
      <c r="D541" s="5"/>
      <c r="E541" s="141"/>
      <c r="F541" s="141"/>
      <c r="G541" s="141"/>
      <c r="H541" s="623"/>
      <c r="I541" s="666">
        <f>+I539*I540</f>
        <v>0</v>
      </c>
      <c r="J541" s="666">
        <f t="shared" ref="J541:Y541" si="251">+J539*J540</f>
        <v>0</v>
      </c>
      <c r="K541" s="666">
        <f t="shared" si="251"/>
        <v>0</v>
      </c>
      <c r="L541" s="666">
        <f t="shared" si="251"/>
        <v>0</v>
      </c>
      <c r="M541" s="666">
        <f t="shared" si="251"/>
        <v>0</v>
      </c>
      <c r="N541" s="666">
        <f t="shared" si="251"/>
        <v>0</v>
      </c>
      <c r="O541" s="666">
        <f t="shared" si="251"/>
        <v>0</v>
      </c>
      <c r="P541" s="666">
        <f t="shared" si="251"/>
        <v>0</v>
      </c>
      <c r="Q541" s="666">
        <f t="shared" si="251"/>
        <v>0</v>
      </c>
      <c r="R541" s="666">
        <f t="shared" si="251"/>
        <v>0</v>
      </c>
      <c r="S541" s="666">
        <f t="shared" si="251"/>
        <v>0</v>
      </c>
      <c r="T541" s="666">
        <f t="shared" si="251"/>
        <v>0</v>
      </c>
      <c r="U541" s="666">
        <f t="shared" si="251"/>
        <v>0</v>
      </c>
      <c r="V541" s="666">
        <f t="shared" si="251"/>
        <v>0</v>
      </c>
      <c r="W541" s="666">
        <f t="shared" si="251"/>
        <v>0</v>
      </c>
      <c r="X541" s="666">
        <f t="shared" si="251"/>
        <v>0</v>
      </c>
      <c r="Y541" s="666">
        <f t="shared" si="251"/>
        <v>0</v>
      </c>
      <c r="Z541" s="666">
        <f>+Z539*Z540</f>
        <v>0</v>
      </c>
      <c r="AA541" s="666">
        <f>+AA539*AA540</f>
        <v>0</v>
      </c>
      <c r="AB541" s="666">
        <f>+AB539*AB540</f>
        <v>0</v>
      </c>
      <c r="AC541" s="666">
        <f>+AC539*AC540</f>
        <v>0</v>
      </c>
    </row>
    <row r="542" spans="1:31">
      <c r="A542" s="455"/>
      <c r="B542" s="5" t="s">
        <v>181</v>
      </c>
      <c r="D542" s="5"/>
      <c r="E542" s="141"/>
      <c r="F542" s="141"/>
      <c r="G542" s="141"/>
      <c r="H542" s="623"/>
      <c r="I542" s="667">
        <v>1</v>
      </c>
      <c r="J542" s="667">
        <f t="shared" ref="J542:AC542" si="252">I542</f>
        <v>1</v>
      </c>
      <c r="K542" s="667">
        <f t="shared" si="252"/>
        <v>1</v>
      </c>
      <c r="L542" s="667">
        <f t="shared" si="252"/>
        <v>1</v>
      </c>
      <c r="M542" s="667">
        <f t="shared" si="252"/>
        <v>1</v>
      </c>
      <c r="N542" s="667">
        <f t="shared" si="252"/>
        <v>1</v>
      </c>
      <c r="O542" s="667">
        <f t="shared" si="252"/>
        <v>1</v>
      </c>
      <c r="P542" s="667">
        <f t="shared" si="252"/>
        <v>1</v>
      </c>
      <c r="Q542" s="667">
        <f t="shared" si="252"/>
        <v>1</v>
      </c>
      <c r="R542" s="667">
        <f t="shared" si="252"/>
        <v>1</v>
      </c>
      <c r="S542" s="667">
        <f t="shared" si="252"/>
        <v>1</v>
      </c>
      <c r="T542" s="667">
        <f t="shared" si="252"/>
        <v>1</v>
      </c>
      <c r="U542" s="667">
        <f t="shared" si="252"/>
        <v>1</v>
      </c>
      <c r="V542" s="667">
        <f t="shared" si="252"/>
        <v>1</v>
      </c>
      <c r="W542" s="667">
        <f t="shared" si="252"/>
        <v>1</v>
      </c>
      <c r="X542" s="667">
        <f t="shared" si="252"/>
        <v>1</v>
      </c>
      <c r="Y542" s="667">
        <f t="shared" si="252"/>
        <v>1</v>
      </c>
      <c r="Z542" s="667">
        <f t="shared" si="252"/>
        <v>1</v>
      </c>
      <c r="AA542" s="667">
        <f t="shared" si="252"/>
        <v>1</v>
      </c>
      <c r="AB542" s="667">
        <f t="shared" si="252"/>
        <v>1</v>
      </c>
      <c r="AC542" s="667">
        <f t="shared" si="252"/>
        <v>1</v>
      </c>
      <c r="AE542" s="726"/>
    </row>
    <row r="543" spans="1:31">
      <c r="B543" s="83" t="s">
        <v>187</v>
      </c>
      <c r="D543" s="5"/>
      <c r="E543" s="141"/>
      <c r="F543" s="141"/>
      <c r="G543" s="141"/>
      <c r="H543" s="623"/>
      <c r="I543" s="666">
        <f>+I541*I542</f>
        <v>0</v>
      </c>
      <c r="J543" s="666">
        <f t="shared" ref="J543:Y543" si="253">+J541*J542</f>
        <v>0</v>
      </c>
      <c r="K543" s="666">
        <f t="shared" si="253"/>
        <v>0</v>
      </c>
      <c r="L543" s="666">
        <f t="shared" si="253"/>
        <v>0</v>
      </c>
      <c r="M543" s="666">
        <f t="shared" si="253"/>
        <v>0</v>
      </c>
      <c r="N543" s="666">
        <f t="shared" si="253"/>
        <v>0</v>
      </c>
      <c r="O543" s="666">
        <f t="shared" si="253"/>
        <v>0</v>
      </c>
      <c r="P543" s="666">
        <f t="shared" si="253"/>
        <v>0</v>
      </c>
      <c r="Q543" s="666">
        <f t="shared" si="253"/>
        <v>0</v>
      </c>
      <c r="R543" s="666">
        <f t="shared" si="253"/>
        <v>0</v>
      </c>
      <c r="S543" s="666">
        <f t="shared" si="253"/>
        <v>0</v>
      </c>
      <c r="T543" s="666">
        <f t="shared" si="253"/>
        <v>0</v>
      </c>
      <c r="U543" s="666">
        <f t="shared" si="253"/>
        <v>0</v>
      </c>
      <c r="V543" s="666">
        <f t="shared" si="253"/>
        <v>0</v>
      </c>
      <c r="W543" s="666">
        <f t="shared" si="253"/>
        <v>0</v>
      </c>
      <c r="X543" s="666">
        <f t="shared" si="253"/>
        <v>0</v>
      </c>
      <c r="Y543" s="666">
        <f t="shared" si="253"/>
        <v>0</v>
      </c>
      <c r="Z543" s="666">
        <f>+Z541*Z542</f>
        <v>0</v>
      </c>
      <c r="AA543" s="666">
        <f>+AA541*AA542</f>
        <v>0</v>
      </c>
      <c r="AB543" s="666">
        <f>+AB541*AB542</f>
        <v>0</v>
      </c>
      <c r="AC543" s="666">
        <f>+AC541*AC542</f>
        <v>0</v>
      </c>
      <c r="AD543">
        <f>SUM(E543:AC543)/6</f>
        <v>0</v>
      </c>
    </row>
    <row r="544" spans="1:31">
      <c r="A544" s="455"/>
      <c r="B544" s="339" t="s">
        <v>191</v>
      </c>
      <c r="D544" s="457" t="s">
        <v>164</v>
      </c>
      <c r="E544" s="458" t="s">
        <v>188</v>
      </c>
      <c r="F544" s="459" t="s">
        <v>189</v>
      </c>
      <c r="G544" s="459" t="s">
        <v>190</v>
      </c>
      <c r="H544" s="614"/>
      <c r="I544" s="623"/>
      <c r="J544" s="623"/>
      <c r="K544" s="623"/>
      <c r="L544" s="623"/>
      <c r="M544" s="623"/>
      <c r="N544" s="623"/>
      <c r="O544" s="623"/>
      <c r="P544" s="623"/>
      <c r="Q544" s="623"/>
      <c r="R544" s="623"/>
      <c r="S544" s="623"/>
      <c r="T544" s="623"/>
      <c r="U544" s="623"/>
      <c r="V544" s="623"/>
      <c r="W544" s="623"/>
      <c r="X544" s="623"/>
      <c r="Y544" s="623"/>
      <c r="Z544" s="623"/>
      <c r="AA544" s="623"/>
      <c r="AB544" s="623"/>
      <c r="AC544" s="623"/>
    </row>
    <row r="545" spans="1:29">
      <c r="A545" s="455"/>
      <c r="D545" s="502" t="s">
        <v>19</v>
      </c>
      <c r="E545" s="581"/>
      <c r="F545" s="581"/>
      <c r="G545" s="581"/>
      <c r="H545" s="614"/>
      <c r="I545" s="526">
        <v>1</v>
      </c>
      <c r="J545" s="526">
        <v>1</v>
      </c>
      <c r="K545" s="526">
        <v>1</v>
      </c>
      <c r="L545" s="526">
        <v>1</v>
      </c>
      <c r="M545" s="526">
        <v>1</v>
      </c>
      <c r="N545" s="526">
        <v>1</v>
      </c>
      <c r="O545" s="526">
        <v>1</v>
      </c>
      <c r="P545" s="526">
        <v>1</v>
      </c>
      <c r="Q545" s="526">
        <v>1</v>
      </c>
      <c r="R545" s="526">
        <v>1</v>
      </c>
      <c r="S545" s="526">
        <v>1</v>
      </c>
      <c r="T545" s="526">
        <v>1</v>
      </c>
      <c r="U545" s="526">
        <v>1</v>
      </c>
      <c r="V545" s="526">
        <v>1</v>
      </c>
      <c r="W545" s="526">
        <v>1</v>
      </c>
      <c r="X545" s="526">
        <v>1</v>
      </c>
      <c r="Y545" s="526">
        <v>1</v>
      </c>
      <c r="Z545" s="526">
        <v>1</v>
      </c>
      <c r="AA545" s="526">
        <v>1</v>
      </c>
      <c r="AB545" s="526">
        <v>1</v>
      </c>
      <c r="AC545" s="526">
        <v>1</v>
      </c>
    </row>
    <row r="546" spans="1:29">
      <c r="A546" s="455"/>
      <c r="B546" s="83" t="s">
        <v>192</v>
      </c>
      <c r="D546" s="5"/>
      <c r="I546" s="615">
        <f>+I545*I543</f>
        <v>0</v>
      </c>
      <c r="J546" s="615">
        <f t="shared" ref="J546:Y546" si="254">+J545*J543</f>
        <v>0</v>
      </c>
      <c r="K546" s="615">
        <f t="shared" si="254"/>
        <v>0</v>
      </c>
      <c r="L546" s="615">
        <f t="shared" si="254"/>
        <v>0</v>
      </c>
      <c r="M546" s="615">
        <f t="shared" si="254"/>
        <v>0</v>
      </c>
      <c r="N546" s="615">
        <f t="shared" si="254"/>
        <v>0</v>
      </c>
      <c r="O546" s="615">
        <f t="shared" si="254"/>
        <v>0</v>
      </c>
      <c r="P546" s="615">
        <f t="shared" si="254"/>
        <v>0</v>
      </c>
      <c r="Q546" s="615">
        <f t="shared" si="254"/>
        <v>0</v>
      </c>
      <c r="R546" s="615">
        <f t="shared" si="254"/>
        <v>0</v>
      </c>
      <c r="S546" s="615">
        <f t="shared" si="254"/>
        <v>0</v>
      </c>
      <c r="T546" s="615">
        <f t="shared" si="254"/>
        <v>0</v>
      </c>
      <c r="U546" s="615">
        <f t="shared" si="254"/>
        <v>0</v>
      </c>
      <c r="V546" s="615">
        <f t="shared" si="254"/>
        <v>0</v>
      </c>
      <c r="W546" s="615">
        <f t="shared" si="254"/>
        <v>0</v>
      </c>
      <c r="X546" s="615">
        <f t="shared" si="254"/>
        <v>0</v>
      </c>
      <c r="Y546" s="615">
        <f t="shared" si="254"/>
        <v>0</v>
      </c>
      <c r="Z546" s="615">
        <f>+Z545*Z543</f>
        <v>0</v>
      </c>
      <c r="AA546" s="615">
        <f>+AA545*AA543</f>
        <v>0</v>
      </c>
      <c r="AB546" s="615">
        <f>+AB545*AB543</f>
        <v>0</v>
      </c>
      <c r="AC546" s="615">
        <f>+AC545*AC543</f>
        <v>0</v>
      </c>
    </row>
    <row r="547" spans="1:29">
      <c r="A547" s="455"/>
      <c r="B547" s="83"/>
      <c r="D547" s="5"/>
      <c r="I547" s="623"/>
      <c r="J547" s="623"/>
      <c r="K547" s="623"/>
      <c r="L547" s="623"/>
      <c r="M547" s="623"/>
      <c r="N547" s="623"/>
      <c r="O547" s="623"/>
      <c r="P547" s="623"/>
      <c r="Q547" s="623"/>
      <c r="R547" s="623"/>
      <c r="S547" s="623"/>
      <c r="T547" s="623"/>
      <c r="U547" s="623"/>
      <c r="V547" s="623"/>
      <c r="W547" s="623"/>
      <c r="X547" s="623"/>
      <c r="Y547" s="623"/>
      <c r="Z547" s="623"/>
      <c r="AA547" s="623"/>
      <c r="AB547" s="623"/>
      <c r="AC547" s="623"/>
    </row>
    <row r="548" spans="1:29">
      <c r="A548" s="455"/>
      <c r="B548" s="83" t="s">
        <v>523</v>
      </c>
      <c r="D548" s="219">
        <v>5</v>
      </c>
      <c r="I548" s="528">
        <f t="shared" ref="I548:AC548" si="255">IF($D548=1,I$197,IF($D548=2,I$200,IF($D548=3,I$202,IF($D548=4,I$204,IF($D548=5,I$206,I$197)))))</f>
        <v>0</v>
      </c>
      <c r="J548" s="528">
        <f t="shared" ca="1" si="255"/>
        <v>2.2389999999999999</v>
      </c>
      <c r="K548" s="528">
        <f t="shared" ca="1" si="255"/>
        <v>2.0167499999999996</v>
      </c>
      <c r="L548" s="528">
        <f t="shared" ca="1" si="255"/>
        <v>2.0158333333333331</v>
      </c>
      <c r="M548" s="528">
        <f t="shared" ca="1" si="255"/>
        <v>2.0045833333333336</v>
      </c>
      <c r="N548" s="528">
        <f t="shared" ca="1" si="255"/>
        <v>2.0054166666666666</v>
      </c>
      <c r="O548" s="528">
        <f t="shared" ca="1" si="255"/>
        <v>2.0133333333333332</v>
      </c>
      <c r="P548" s="528">
        <f t="shared" ca="1" si="255"/>
        <v>2.0291666666666663</v>
      </c>
      <c r="Q548" s="528">
        <f t="shared" ca="1" si="255"/>
        <v>2.0549999999999997</v>
      </c>
      <c r="R548" s="528">
        <f t="shared" ca="1" si="255"/>
        <v>2.0966666666666662</v>
      </c>
      <c r="S548" s="528">
        <f t="shared" ca="1" si="255"/>
        <v>2.1583333333333328</v>
      </c>
      <c r="T548" s="528">
        <f t="shared" ca="1" si="255"/>
        <v>2.2399999999999993</v>
      </c>
      <c r="U548" s="528">
        <f t="shared" ca="1" si="255"/>
        <v>2.3416666666666663</v>
      </c>
      <c r="V548" s="528">
        <f t="shared" ca="1" si="255"/>
        <v>2.4574999999999991</v>
      </c>
      <c r="W548" s="528">
        <f t="shared" ca="1" si="255"/>
        <v>2.5833333333333326</v>
      </c>
      <c r="X548" s="528">
        <f t="shared" ca="1" si="255"/>
        <v>2.7191666666666663</v>
      </c>
      <c r="Y548" s="528">
        <f t="shared" ca="1" si="255"/>
        <v>2.8649999999999998</v>
      </c>
      <c r="Z548" s="528">
        <f t="shared" ca="1" si="255"/>
        <v>3.0208333333333326</v>
      </c>
      <c r="AA548" s="528">
        <f t="shared" ca="1" si="255"/>
        <v>3.186666666666667</v>
      </c>
      <c r="AB548" s="528">
        <f t="shared" ca="1" si="255"/>
        <v>3.3625000000000003</v>
      </c>
      <c r="AC548" s="528">
        <f t="shared" ca="1" si="255"/>
        <v>3.5483333333333325</v>
      </c>
    </row>
    <row r="549" spans="1:29">
      <c r="A549" s="455"/>
      <c r="B549" s="83" t="s">
        <v>184</v>
      </c>
      <c r="D549" s="5"/>
      <c r="E549" s="444"/>
      <c r="F549" s="444"/>
      <c r="G549" s="444"/>
      <c r="H549" s="445"/>
      <c r="I549" s="526">
        <v>0</v>
      </c>
      <c r="J549" s="526">
        <v>0</v>
      </c>
      <c r="K549" s="526">
        <v>0</v>
      </c>
      <c r="L549" s="526">
        <v>0</v>
      </c>
      <c r="M549" s="526">
        <v>0</v>
      </c>
      <c r="N549" s="526">
        <v>0</v>
      </c>
      <c r="O549" s="526">
        <v>0</v>
      </c>
      <c r="P549" s="526">
        <v>0</v>
      </c>
      <c r="Q549" s="526">
        <v>0</v>
      </c>
      <c r="R549" s="526">
        <v>0</v>
      </c>
      <c r="S549" s="526">
        <v>0</v>
      </c>
      <c r="T549" s="526">
        <v>0</v>
      </c>
      <c r="U549" s="526">
        <v>0</v>
      </c>
      <c r="V549" s="526">
        <v>0</v>
      </c>
      <c r="W549" s="526">
        <v>0</v>
      </c>
      <c r="X549" s="526">
        <v>0</v>
      </c>
      <c r="Y549" s="526">
        <v>0</v>
      </c>
      <c r="Z549" s="526">
        <v>0</v>
      </c>
      <c r="AA549" s="526">
        <v>0</v>
      </c>
      <c r="AB549" s="526">
        <v>0</v>
      </c>
      <c r="AC549" s="526">
        <v>0</v>
      </c>
    </row>
    <row r="550" spans="1:29">
      <c r="A550" s="455"/>
      <c r="B550" s="83" t="s">
        <v>194</v>
      </c>
      <c r="D550" s="5"/>
      <c r="I550" s="532">
        <f>+I548+I549</f>
        <v>0</v>
      </c>
      <c r="J550" s="532">
        <f t="shared" ref="J550:Y550" ca="1" si="256">+J548+J549</f>
        <v>2.2389999999999999</v>
      </c>
      <c r="K550" s="532">
        <f t="shared" ca="1" si="256"/>
        <v>2.0167499999999996</v>
      </c>
      <c r="L550" s="532">
        <f t="shared" ca="1" si="256"/>
        <v>2.0158333333333331</v>
      </c>
      <c r="M550" s="532">
        <f t="shared" ca="1" si="256"/>
        <v>2.0045833333333336</v>
      </c>
      <c r="N550" s="532">
        <f t="shared" ca="1" si="256"/>
        <v>2.0054166666666666</v>
      </c>
      <c r="O550" s="532">
        <f t="shared" ca="1" si="256"/>
        <v>2.0133333333333332</v>
      </c>
      <c r="P550" s="532">
        <f t="shared" ca="1" si="256"/>
        <v>2.0291666666666663</v>
      </c>
      <c r="Q550" s="532">
        <f t="shared" ca="1" si="256"/>
        <v>2.0549999999999997</v>
      </c>
      <c r="R550" s="532">
        <f t="shared" ca="1" si="256"/>
        <v>2.0966666666666662</v>
      </c>
      <c r="S550" s="532">
        <f t="shared" ca="1" si="256"/>
        <v>2.1583333333333328</v>
      </c>
      <c r="T550" s="532">
        <f t="shared" ca="1" si="256"/>
        <v>2.2399999999999993</v>
      </c>
      <c r="U550" s="532">
        <f t="shared" ca="1" si="256"/>
        <v>2.3416666666666663</v>
      </c>
      <c r="V550" s="532">
        <f t="shared" ca="1" si="256"/>
        <v>2.4574999999999991</v>
      </c>
      <c r="W550" s="532">
        <f t="shared" ca="1" si="256"/>
        <v>2.5833333333333326</v>
      </c>
      <c r="X550" s="532">
        <f t="shared" ca="1" si="256"/>
        <v>2.7191666666666663</v>
      </c>
      <c r="Y550" s="532">
        <f t="shared" ca="1" si="256"/>
        <v>2.8649999999999998</v>
      </c>
      <c r="Z550" s="532">
        <f ca="1">+Z548+Z549</f>
        <v>3.0208333333333326</v>
      </c>
      <c r="AA550" s="532">
        <f ca="1">+AA548+AA549</f>
        <v>3.186666666666667</v>
      </c>
      <c r="AB550" s="532">
        <f ca="1">+AB548+AB549</f>
        <v>3.3625000000000003</v>
      </c>
      <c r="AC550" s="532">
        <f ca="1">+AC548+AC549</f>
        <v>3.5483333333333325</v>
      </c>
    </row>
    <row r="551" spans="1:29">
      <c r="A551" s="455"/>
      <c r="B551" s="5" t="str">
        <f>+"Gas Revenues ($"&amp;$F$5</f>
        <v>Gas Revenues ($Thousands)</v>
      </c>
      <c r="D551" s="5"/>
      <c r="I551" s="615">
        <f>I546*1000*I550/unit</f>
        <v>0</v>
      </c>
      <c r="J551" s="615">
        <f t="shared" ref="J551:Y551" ca="1" si="257">J546*1000*J550/unit</f>
        <v>0</v>
      </c>
      <c r="K551" s="615">
        <f t="shared" ca="1" si="257"/>
        <v>0</v>
      </c>
      <c r="L551" s="615">
        <f t="shared" ca="1" si="257"/>
        <v>0</v>
      </c>
      <c r="M551" s="615">
        <f t="shared" ca="1" si="257"/>
        <v>0</v>
      </c>
      <c r="N551" s="615">
        <f t="shared" ca="1" si="257"/>
        <v>0</v>
      </c>
      <c r="O551" s="615">
        <f t="shared" ca="1" si="257"/>
        <v>0</v>
      </c>
      <c r="P551" s="615">
        <f t="shared" ca="1" si="257"/>
        <v>0</v>
      </c>
      <c r="Q551" s="615">
        <f t="shared" ca="1" si="257"/>
        <v>0</v>
      </c>
      <c r="R551" s="615">
        <f t="shared" ca="1" si="257"/>
        <v>0</v>
      </c>
      <c r="S551" s="615">
        <f t="shared" ca="1" si="257"/>
        <v>0</v>
      </c>
      <c r="T551" s="615">
        <f t="shared" ca="1" si="257"/>
        <v>0</v>
      </c>
      <c r="U551" s="615">
        <f t="shared" ca="1" si="257"/>
        <v>0</v>
      </c>
      <c r="V551" s="615">
        <f t="shared" ca="1" si="257"/>
        <v>0</v>
      </c>
      <c r="W551" s="615">
        <f t="shared" ca="1" si="257"/>
        <v>0</v>
      </c>
      <c r="X551" s="615">
        <f t="shared" ca="1" si="257"/>
        <v>0</v>
      </c>
      <c r="Y551" s="615">
        <f t="shared" ca="1" si="257"/>
        <v>0</v>
      </c>
      <c r="Z551" s="615">
        <f ca="1">Z546*1000*Z550/unit</f>
        <v>0</v>
      </c>
      <c r="AA551" s="615">
        <f ca="1">AA546*1000*AA550/unit</f>
        <v>0</v>
      </c>
      <c r="AB551" s="615">
        <f ca="1">AB546*1000*AB550/unit</f>
        <v>0</v>
      </c>
      <c r="AC551" s="615">
        <f ca="1">AC546*1000*AC550/unit</f>
        <v>0</v>
      </c>
    </row>
    <row r="552" spans="1:29">
      <c r="A552" s="455"/>
      <c r="B552" s="5"/>
      <c r="D552" s="5"/>
      <c r="E552" s="141"/>
      <c r="F552" s="141"/>
      <c r="G552" s="141"/>
      <c r="H552" s="614"/>
      <c r="I552" s="623"/>
      <c r="J552" s="623"/>
      <c r="K552" s="623"/>
      <c r="L552" s="623"/>
      <c r="M552" s="623"/>
      <c r="N552" s="623"/>
      <c r="O552" s="623"/>
      <c r="P552" s="623"/>
      <c r="Q552" s="623"/>
      <c r="R552" s="623"/>
      <c r="S552" s="623"/>
      <c r="T552" s="623"/>
      <c r="U552" s="623"/>
      <c r="V552" s="623"/>
      <c r="W552" s="623"/>
      <c r="X552" s="623"/>
      <c r="Y552" s="624"/>
      <c r="Z552" s="624"/>
      <c r="AA552" s="624"/>
      <c r="AB552" s="624"/>
      <c r="AC552" s="624"/>
    </row>
    <row r="553" spans="1:29">
      <c r="A553" s="455" t="s">
        <v>524</v>
      </c>
      <c r="B553" s="5" t="s">
        <v>525</v>
      </c>
      <c r="D553" s="5"/>
      <c r="E553" s="141"/>
      <c r="F553" s="141"/>
      <c r="G553" s="141"/>
      <c r="H553" s="614"/>
      <c r="I553" s="517">
        <v>0</v>
      </c>
      <c r="J553" s="517">
        <v>0</v>
      </c>
      <c r="K553" s="517">
        <v>0</v>
      </c>
      <c r="L553" s="517">
        <v>0</v>
      </c>
      <c r="M553" s="517">
        <v>0</v>
      </c>
      <c r="N553" s="517">
        <v>0</v>
      </c>
      <c r="O553" s="517">
        <v>0</v>
      </c>
      <c r="P553" s="517">
        <v>0</v>
      </c>
      <c r="Q553" s="517">
        <v>0</v>
      </c>
      <c r="R553" s="517">
        <v>0</v>
      </c>
      <c r="S553" s="517">
        <v>0</v>
      </c>
      <c r="T553" s="517">
        <v>0</v>
      </c>
      <c r="U553" s="517">
        <v>0</v>
      </c>
      <c r="V553" s="517">
        <v>0</v>
      </c>
      <c r="W553" s="517">
        <v>0</v>
      </c>
      <c r="X553" s="517">
        <v>0</v>
      </c>
      <c r="Y553" s="517">
        <v>0</v>
      </c>
      <c r="Z553" s="517">
        <v>0</v>
      </c>
      <c r="AA553" s="517">
        <v>0</v>
      </c>
      <c r="AB553" s="517">
        <v>0</v>
      </c>
      <c r="AC553" s="517">
        <v>0</v>
      </c>
    </row>
    <row r="554" spans="1:29">
      <c r="A554" s="455"/>
      <c r="B554" s="83" t="s">
        <v>517</v>
      </c>
      <c r="D554" s="5"/>
      <c r="E554" s="141"/>
      <c r="F554" s="141"/>
      <c r="G554" s="141"/>
      <c r="H554" s="614"/>
      <c r="I554" s="667">
        <v>1</v>
      </c>
      <c r="J554" s="667">
        <f t="shared" ref="J554:AC554" si="258">I554</f>
        <v>1</v>
      </c>
      <c r="K554" s="667">
        <f t="shared" si="258"/>
        <v>1</v>
      </c>
      <c r="L554" s="667">
        <f t="shared" si="258"/>
        <v>1</v>
      </c>
      <c r="M554" s="667">
        <f t="shared" si="258"/>
        <v>1</v>
      </c>
      <c r="N554" s="667">
        <f t="shared" si="258"/>
        <v>1</v>
      </c>
      <c r="O554" s="667">
        <f t="shared" si="258"/>
        <v>1</v>
      </c>
      <c r="P554" s="667">
        <f t="shared" si="258"/>
        <v>1</v>
      </c>
      <c r="Q554" s="667">
        <f t="shared" si="258"/>
        <v>1</v>
      </c>
      <c r="R554" s="667">
        <f t="shared" si="258"/>
        <v>1</v>
      </c>
      <c r="S554" s="667">
        <f t="shared" si="258"/>
        <v>1</v>
      </c>
      <c r="T554" s="667">
        <f t="shared" si="258"/>
        <v>1</v>
      </c>
      <c r="U554" s="667">
        <f t="shared" si="258"/>
        <v>1</v>
      </c>
      <c r="V554" s="667">
        <f t="shared" si="258"/>
        <v>1</v>
      </c>
      <c r="W554" s="667">
        <f t="shared" si="258"/>
        <v>1</v>
      </c>
      <c r="X554" s="667">
        <f t="shared" si="258"/>
        <v>1</v>
      </c>
      <c r="Y554" s="667">
        <f t="shared" si="258"/>
        <v>1</v>
      </c>
      <c r="Z554" s="667">
        <f t="shared" si="258"/>
        <v>1</v>
      </c>
      <c r="AA554" s="667">
        <f t="shared" si="258"/>
        <v>1</v>
      </c>
      <c r="AB554" s="667">
        <f t="shared" si="258"/>
        <v>1</v>
      </c>
      <c r="AC554" s="667">
        <f t="shared" si="258"/>
        <v>1</v>
      </c>
    </row>
    <row r="555" spans="1:29">
      <c r="B555" s="83" t="s">
        <v>526</v>
      </c>
      <c r="D555" s="5"/>
      <c r="E555" s="418"/>
      <c r="F555" s="418"/>
      <c r="G555" s="418"/>
      <c r="H555" s="623"/>
      <c r="I555" s="666">
        <f>+I553*I554</f>
        <v>0</v>
      </c>
      <c r="J555" s="666">
        <f t="shared" ref="J555:Y555" si="259">+J553*J554</f>
        <v>0</v>
      </c>
      <c r="K555" s="666">
        <f t="shared" si="259"/>
        <v>0</v>
      </c>
      <c r="L555" s="666">
        <f t="shared" si="259"/>
        <v>0</v>
      </c>
      <c r="M555" s="666">
        <f t="shared" si="259"/>
        <v>0</v>
      </c>
      <c r="N555" s="666">
        <f t="shared" si="259"/>
        <v>0</v>
      </c>
      <c r="O555" s="666">
        <f t="shared" si="259"/>
        <v>0</v>
      </c>
      <c r="P555" s="666">
        <f t="shared" si="259"/>
        <v>0</v>
      </c>
      <c r="Q555" s="666">
        <f t="shared" si="259"/>
        <v>0</v>
      </c>
      <c r="R555" s="666">
        <f t="shared" si="259"/>
        <v>0</v>
      </c>
      <c r="S555" s="666">
        <f t="shared" si="259"/>
        <v>0</v>
      </c>
      <c r="T555" s="666">
        <f t="shared" si="259"/>
        <v>0</v>
      </c>
      <c r="U555" s="666">
        <f t="shared" si="259"/>
        <v>0</v>
      </c>
      <c r="V555" s="666">
        <f t="shared" si="259"/>
        <v>0</v>
      </c>
      <c r="W555" s="666">
        <f t="shared" si="259"/>
        <v>0</v>
      </c>
      <c r="X555" s="666">
        <f t="shared" si="259"/>
        <v>0</v>
      </c>
      <c r="Y555" s="666">
        <f t="shared" si="259"/>
        <v>0</v>
      </c>
      <c r="Z555" s="666">
        <f>+Z553*Z554</f>
        <v>0</v>
      </c>
      <c r="AA555" s="666">
        <f>+AA553*AA554</f>
        <v>0</v>
      </c>
      <c r="AB555" s="666">
        <f>+AB553*AB554</f>
        <v>0</v>
      </c>
      <c r="AC555" s="666">
        <f>+AC553*AC554</f>
        <v>0</v>
      </c>
    </row>
    <row r="556" spans="1:29">
      <c r="A556" s="455"/>
      <c r="B556" s="5" t="s">
        <v>181</v>
      </c>
      <c r="D556" s="5"/>
      <c r="E556" s="418"/>
      <c r="F556" s="418"/>
      <c r="G556" s="418"/>
      <c r="H556" s="623"/>
      <c r="I556" s="667">
        <v>1</v>
      </c>
      <c r="J556" s="667">
        <f t="shared" ref="J556:AC556" si="260">I556</f>
        <v>1</v>
      </c>
      <c r="K556" s="667">
        <f t="shared" si="260"/>
        <v>1</v>
      </c>
      <c r="L556" s="667">
        <f t="shared" si="260"/>
        <v>1</v>
      </c>
      <c r="M556" s="667">
        <f t="shared" si="260"/>
        <v>1</v>
      </c>
      <c r="N556" s="667">
        <f t="shared" si="260"/>
        <v>1</v>
      </c>
      <c r="O556" s="667">
        <f t="shared" si="260"/>
        <v>1</v>
      </c>
      <c r="P556" s="667">
        <f t="shared" si="260"/>
        <v>1</v>
      </c>
      <c r="Q556" s="667">
        <f t="shared" si="260"/>
        <v>1</v>
      </c>
      <c r="R556" s="667">
        <f t="shared" si="260"/>
        <v>1</v>
      </c>
      <c r="S556" s="667">
        <f t="shared" si="260"/>
        <v>1</v>
      </c>
      <c r="T556" s="667">
        <f t="shared" si="260"/>
        <v>1</v>
      </c>
      <c r="U556" s="667">
        <f t="shared" si="260"/>
        <v>1</v>
      </c>
      <c r="V556" s="667">
        <f t="shared" si="260"/>
        <v>1</v>
      </c>
      <c r="W556" s="667">
        <f t="shared" si="260"/>
        <v>1</v>
      </c>
      <c r="X556" s="667">
        <f t="shared" si="260"/>
        <v>1</v>
      </c>
      <c r="Y556" s="667">
        <f t="shared" si="260"/>
        <v>1</v>
      </c>
      <c r="Z556" s="667">
        <f t="shared" si="260"/>
        <v>1</v>
      </c>
      <c r="AA556" s="667">
        <f t="shared" si="260"/>
        <v>1</v>
      </c>
      <c r="AB556" s="667">
        <f t="shared" si="260"/>
        <v>1</v>
      </c>
      <c r="AC556" s="667">
        <f t="shared" si="260"/>
        <v>1</v>
      </c>
    </row>
    <row r="557" spans="1:29">
      <c r="B557" s="83" t="s">
        <v>527</v>
      </c>
      <c r="D557" s="5"/>
      <c r="I557" s="666">
        <f>+I555*I556</f>
        <v>0</v>
      </c>
      <c r="J557" s="666">
        <f t="shared" ref="J557:Y557" si="261">+J555*J556</f>
        <v>0</v>
      </c>
      <c r="K557" s="666">
        <f t="shared" si="261"/>
        <v>0</v>
      </c>
      <c r="L557" s="666">
        <f t="shared" si="261"/>
        <v>0</v>
      </c>
      <c r="M557" s="666">
        <f t="shared" si="261"/>
        <v>0</v>
      </c>
      <c r="N557" s="666">
        <f t="shared" si="261"/>
        <v>0</v>
      </c>
      <c r="O557" s="666">
        <f t="shared" si="261"/>
        <v>0</v>
      </c>
      <c r="P557" s="666">
        <f t="shared" si="261"/>
        <v>0</v>
      </c>
      <c r="Q557" s="666">
        <f t="shared" si="261"/>
        <v>0</v>
      </c>
      <c r="R557" s="666">
        <f t="shared" si="261"/>
        <v>0</v>
      </c>
      <c r="S557" s="666">
        <f t="shared" si="261"/>
        <v>0</v>
      </c>
      <c r="T557" s="666">
        <f t="shared" si="261"/>
        <v>0</v>
      </c>
      <c r="U557" s="666">
        <f t="shared" si="261"/>
        <v>0</v>
      </c>
      <c r="V557" s="666">
        <f t="shared" si="261"/>
        <v>0</v>
      </c>
      <c r="W557" s="666">
        <f t="shared" si="261"/>
        <v>0</v>
      </c>
      <c r="X557" s="666">
        <f t="shared" si="261"/>
        <v>0</v>
      </c>
      <c r="Y557" s="666">
        <f t="shared" si="261"/>
        <v>0</v>
      </c>
      <c r="Z557" s="666">
        <f>+Z555*Z556</f>
        <v>0</v>
      </c>
      <c r="AA557" s="666">
        <f>+AA555*AA556</f>
        <v>0</v>
      </c>
      <c r="AB557" s="666">
        <f>+AB555*AB556</f>
        <v>0</v>
      </c>
      <c r="AC557" s="666">
        <f>+AC555*AC556</f>
        <v>0</v>
      </c>
    </row>
    <row r="558" spans="1:29">
      <c r="D558" s="5"/>
    </row>
    <row r="559" spans="1:29">
      <c r="A559" s="15"/>
      <c r="B559" s="83" t="s">
        <v>528</v>
      </c>
      <c r="D559" s="219">
        <v>1</v>
      </c>
      <c r="I559" s="518">
        <f t="shared" ref="I559:AC559" si="262">IF($D559=1,I$227,IF($D559=2,I$230,IF($D559=3,I$232,IF($D559=4,I$234,IF($D559=5,I$236,I$227)))))</f>
        <v>0</v>
      </c>
      <c r="J559" s="518">
        <f t="shared" ca="1" si="262"/>
        <v>16.997552222222218</v>
      </c>
      <c r="K559" s="518">
        <f t="shared" ca="1" si="262"/>
        <v>14.999466666666665</v>
      </c>
      <c r="L559" s="518">
        <f t="shared" ca="1" si="262"/>
        <v>14.491101666666665</v>
      </c>
      <c r="M559" s="518">
        <f t="shared" ca="1" si="262"/>
        <v>14.5531825</v>
      </c>
      <c r="N559" s="518">
        <f t="shared" ca="1" si="262"/>
        <v>14.6748425</v>
      </c>
      <c r="O559" s="518">
        <f t="shared" ca="1" si="262"/>
        <v>14.797819166666669</v>
      </c>
      <c r="P559" s="518">
        <f t="shared" ca="1" si="262"/>
        <v>14.935871666666667</v>
      </c>
      <c r="Q559" s="518">
        <f t="shared" ca="1" si="262"/>
        <v>15.087551666666668</v>
      </c>
      <c r="R559" s="518">
        <f t="shared" ca="1" si="262"/>
        <v>15.247592499999998</v>
      </c>
      <c r="S559" s="518">
        <f t="shared" ca="1" si="262"/>
        <v>15.413295000000002</v>
      </c>
      <c r="T559" s="518">
        <f t="shared" ca="1" si="262"/>
        <v>15.578865833333339</v>
      </c>
      <c r="U559" s="518">
        <f t="shared" ca="1" si="262"/>
        <v>15.745029166666663</v>
      </c>
      <c r="V559" s="518">
        <f t="shared" ca="1" si="262"/>
        <v>15.910929166666664</v>
      </c>
      <c r="W559" s="518">
        <f t="shared" ca="1" si="262"/>
        <v>16.076697500000002</v>
      </c>
      <c r="X559" s="518">
        <f t="shared" ca="1" si="262"/>
        <v>16.46669416666667</v>
      </c>
      <c r="Y559" s="518">
        <f t="shared" ca="1" si="262"/>
        <v>16.848198333333336</v>
      </c>
      <c r="Z559" s="518">
        <f t="shared" ca="1" si="262"/>
        <v>17.085527499999994</v>
      </c>
      <c r="AA559" s="518">
        <f t="shared" ca="1" si="262"/>
        <v>17.322329999999997</v>
      </c>
      <c r="AB559" s="518">
        <f t="shared" ca="1" si="262"/>
        <v>17.55906666666667</v>
      </c>
      <c r="AC559" s="518">
        <f t="shared" ca="1" si="262"/>
        <v>17.737079999999999</v>
      </c>
    </row>
    <row r="560" spans="1:29">
      <c r="A560" s="15"/>
      <c r="B560" s="83" t="s">
        <v>184</v>
      </c>
      <c r="D560" s="5"/>
      <c r="I560" s="519">
        <v>0</v>
      </c>
      <c r="J560" s="519">
        <v>0</v>
      </c>
      <c r="K560" s="519">
        <v>0</v>
      </c>
      <c r="L560" s="519">
        <v>0</v>
      </c>
      <c r="M560" s="519">
        <v>0</v>
      </c>
      <c r="N560" s="519">
        <v>0</v>
      </c>
      <c r="O560" s="519">
        <v>0</v>
      </c>
      <c r="P560" s="519">
        <v>0</v>
      </c>
      <c r="Q560" s="519">
        <v>0</v>
      </c>
      <c r="R560" s="519">
        <v>0</v>
      </c>
      <c r="S560" s="519">
        <v>0</v>
      </c>
      <c r="T560" s="519">
        <v>0</v>
      </c>
      <c r="U560" s="519">
        <v>0</v>
      </c>
      <c r="V560" s="519">
        <v>0</v>
      </c>
      <c r="W560" s="519">
        <v>0</v>
      </c>
      <c r="X560" s="519">
        <v>0</v>
      </c>
      <c r="Y560" s="519">
        <v>0</v>
      </c>
      <c r="Z560" s="519">
        <v>0</v>
      </c>
      <c r="AA560" s="519">
        <v>0</v>
      </c>
      <c r="AB560" s="519">
        <v>0</v>
      </c>
      <c r="AC560" s="519">
        <v>0</v>
      </c>
    </row>
    <row r="561" spans="1:29">
      <c r="A561" s="15"/>
      <c r="B561" s="83" t="s">
        <v>529</v>
      </c>
      <c r="D561" s="5"/>
      <c r="I561" s="520">
        <f>+I559+I560</f>
        <v>0</v>
      </c>
      <c r="J561" s="520">
        <f t="shared" ref="J561:Y561" ca="1" si="263">+J559+J560</f>
        <v>16.997552222222218</v>
      </c>
      <c r="K561" s="520">
        <f t="shared" ca="1" si="263"/>
        <v>14.999466666666665</v>
      </c>
      <c r="L561" s="520">
        <f t="shared" ca="1" si="263"/>
        <v>14.491101666666665</v>
      </c>
      <c r="M561" s="520">
        <f t="shared" ca="1" si="263"/>
        <v>14.5531825</v>
      </c>
      <c r="N561" s="520">
        <f t="shared" ca="1" si="263"/>
        <v>14.6748425</v>
      </c>
      <c r="O561" s="520">
        <f t="shared" ca="1" si="263"/>
        <v>14.797819166666669</v>
      </c>
      <c r="P561" s="520">
        <f t="shared" ca="1" si="263"/>
        <v>14.935871666666667</v>
      </c>
      <c r="Q561" s="520">
        <f t="shared" ca="1" si="263"/>
        <v>15.087551666666668</v>
      </c>
      <c r="R561" s="520">
        <f t="shared" ca="1" si="263"/>
        <v>15.247592499999998</v>
      </c>
      <c r="S561" s="520">
        <f t="shared" ca="1" si="263"/>
        <v>15.413295000000002</v>
      </c>
      <c r="T561" s="520">
        <f t="shared" ca="1" si="263"/>
        <v>15.578865833333339</v>
      </c>
      <c r="U561" s="520">
        <f t="shared" ca="1" si="263"/>
        <v>15.745029166666663</v>
      </c>
      <c r="V561" s="520">
        <f t="shared" ca="1" si="263"/>
        <v>15.910929166666664</v>
      </c>
      <c r="W561" s="520">
        <f t="shared" ca="1" si="263"/>
        <v>16.076697500000002</v>
      </c>
      <c r="X561" s="520">
        <f t="shared" ca="1" si="263"/>
        <v>16.46669416666667</v>
      </c>
      <c r="Y561" s="520">
        <f t="shared" ca="1" si="263"/>
        <v>16.848198333333336</v>
      </c>
      <c r="Z561" s="520">
        <f ca="1">+Z559+Z560</f>
        <v>17.085527499999994</v>
      </c>
      <c r="AA561" s="520">
        <f ca="1">+AA559+AA560</f>
        <v>17.322329999999997</v>
      </c>
      <c r="AB561" s="520">
        <f ca="1">+AB559+AB560</f>
        <v>17.55906666666667</v>
      </c>
      <c r="AC561" s="520">
        <f ca="1">+AC559+AC560</f>
        <v>17.737079999999999</v>
      </c>
    </row>
    <row r="562" spans="1:29">
      <c r="A562" s="15"/>
      <c r="B562" s="5" t="s">
        <v>536</v>
      </c>
      <c r="D562" s="5"/>
      <c r="I562" s="615">
        <f t="shared" ref="I562:X562" si="264">I557*I561*1000/unit</f>
        <v>0</v>
      </c>
      <c r="J562" s="615">
        <f t="shared" ca="1" si="264"/>
        <v>0</v>
      </c>
      <c r="K562" s="615">
        <f t="shared" ca="1" si="264"/>
        <v>0</v>
      </c>
      <c r="L562" s="615">
        <f t="shared" ca="1" si="264"/>
        <v>0</v>
      </c>
      <c r="M562" s="615">
        <f t="shared" ca="1" si="264"/>
        <v>0</v>
      </c>
      <c r="N562" s="615">
        <f t="shared" ca="1" si="264"/>
        <v>0</v>
      </c>
      <c r="O562" s="615">
        <f t="shared" ca="1" si="264"/>
        <v>0</v>
      </c>
      <c r="P562" s="615">
        <f t="shared" ca="1" si="264"/>
        <v>0</v>
      </c>
      <c r="Q562" s="615">
        <f t="shared" ca="1" si="264"/>
        <v>0</v>
      </c>
      <c r="R562" s="615">
        <f t="shared" ca="1" si="264"/>
        <v>0</v>
      </c>
      <c r="S562" s="615">
        <f t="shared" ca="1" si="264"/>
        <v>0</v>
      </c>
      <c r="T562" s="615">
        <f t="shared" ca="1" si="264"/>
        <v>0</v>
      </c>
      <c r="U562" s="615">
        <f t="shared" ca="1" si="264"/>
        <v>0</v>
      </c>
      <c r="V562" s="615">
        <f t="shared" ca="1" si="264"/>
        <v>0</v>
      </c>
      <c r="W562" s="615">
        <f t="shared" ca="1" si="264"/>
        <v>0</v>
      </c>
      <c r="X562" s="615">
        <f t="shared" ca="1" si="264"/>
        <v>0</v>
      </c>
      <c r="Y562" s="615">
        <f ca="1">Y557*Y561*1000/unit</f>
        <v>0</v>
      </c>
      <c r="Z562" s="615">
        <f ca="1">Z557*Z561*1000/unit</f>
        <v>0</v>
      </c>
      <c r="AA562" s="615">
        <f ca="1">AA557*AA561*1000/unit</f>
        <v>0</v>
      </c>
      <c r="AB562" s="615">
        <f ca="1">AB557*AB561*1000/unit</f>
        <v>0</v>
      </c>
      <c r="AC562" s="615">
        <f ca="1">AC557*AC561*1000/unit</f>
        <v>0</v>
      </c>
    </row>
    <row r="563" spans="1:29">
      <c r="B563" s="5"/>
      <c r="D563" s="5"/>
      <c r="E563" s="418"/>
      <c r="F563" s="418"/>
      <c r="G563" s="418"/>
      <c r="H563" s="614"/>
      <c r="I563" s="623"/>
      <c r="J563" s="623"/>
      <c r="K563" s="623"/>
      <c r="L563" s="623"/>
      <c r="M563" s="623"/>
      <c r="N563" s="623"/>
      <c r="O563" s="623"/>
      <c r="P563" s="623"/>
      <c r="Q563" s="623"/>
      <c r="R563" s="623"/>
      <c r="S563" s="623"/>
      <c r="T563" s="623"/>
      <c r="U563" s="623"/>
      <c r="V563" s="623"/>
      <c r="W563" s="623"/>
      <c r="X563" s="623"/>
      <c r="Y563" s="624"/>
      <c r="Z563" s="624"/>
      <c r="AA563" s="624"/>
      <c r="AB563" s="624"/>
      <c r="AC563" s="624"/>
    </row>
    <row r="564" spans="1:29">
      <c r="A564" s="337" t="str">
        <f>+"Total Revenues - "&amp;C18</f>
        <v xml:space="preserve">Total Revenues - Acrerage Dev. Prog. </v>
      </c>
      <c r="D564" s="5"/>
      <c r="E564" s="484">
        <v>0</v>
      </c>
      <c r="F564" s="484">
        <v>0</v>
      </c>
      <c r="G564" s="484">
        <v>0</v>
      </c>
      <c r="H564" s="218">
        <f t="shared" ref="H564:W564" si="265">H551+H535+H562</f>
        <v>0</v>
      </c>
      <c r="I564" s="623">
        <f t="shared" si="265"/>
        <v>0</v>
      </c>
      <c r="J564" s="623">
        <f t="shared" ca="1" si="265"/>
        <v>0</v>
      </c>
      <c r="K564" s="623">
        <f t="shared" ca="1" si="265"/>
        <v>0</v>
      </c>
      <c r="L564" s="623">
        <f t="shared" ca="1" si="265"/>
        <v>0</v>
      </c>
      <c r="M564" s="623">
        <f t="shared" ca="1" si="265"/>
        <v>0</v>
      </c>
      <c r="N564" s="623">
        <f t="shared" ca="1" si="265"/>
        <v>0</v>
      </c>
      <c r="O564" s="623">
        <f t="shared" ca="1" si="265"/>
        <v>0</v>
      </c>
      <c r="P564" s="623">
        <f t="shared" ca="1" si="265"/>
        <v>0</v>
      </c>
      <c r="Q564" s="623">
        <f t="shared" ca="1" si="265"/>
        <v>0</v>
      </c>
      <c r="R564" s="623">
        <f t="shared" ca="1" si="265"/>
        <v>0</v>
      </c>
      <c r="S564" s="623">
        <f t="shared" ca="1" si="265"/>
        <v>0</v>
      </c>
      <c r="T564" s="623">
        <f t="shared" ca="1" si="265"/>
        <v>0</v>
      </c>
      <c r="U564" s="623">
        <f t="shared" ca="1" si="265"/>
        <v>0</v>
      </c>
      <c r="V564" s="623">
        <f t="shared" ca="1" si="265"/>
        <v>0</v>
      </c>
      <c r="W564" s="623">
        <f t="shared" ca="1" si="265"/>
        <v>0</v>
      </c>
      <c r="X564" s="623">
        <f t="shared" ref="X564:AC564" ca="1" si="266">X551+X535+X562</f>
        <v>0</v>
      </c>
      <c r="Y564" s="623">
        <f t="shared" ca="1" si="266"/>
        <v>0</v>
      </c>
      <c r="Z564" s="623">
        <f t="shared" ca="1" si="266"/>
        <v>0</v>
      </c>
      <c r="AA564" s="623">
        <f t="shared" ca="1" si="266"/>
        <v>0</v>
      </c>
      <c r="AB564" s="623">
        <f t="shared" ca="1" si="266"/>
        <v>0</v>
      </c>
      <c r="AC564" s="623">
        <f t="shared" ca="1" si="266"/>
        <v>0</v>
      </c>
    </row>
    <row r="565" spans="1:29" ht="12" thickBot="1">
      <c r="A565" s="15"/>
      <c r="B565" s="5"/>
      <c r="D565" s="5"/>
      <c r="E565" s="141"/>
      <c r="F565" s="141"/>
      <c r="G565" s="141"/>
      <c r="H565" s="614"/>
      <c r="I565" s="623"/>
      <c r="J565" s="623"/>
      <c r="K565" s="623"/>
      <c r="L565" s="623"/>
      <c r="M565" s="623"/>
      <c r="N565" s="623"/>
      <c r="O565" s="623"/>
      <c r="P565" s="623"/>
      <c r="Q565" s="623"/>
      <c r="R565" s="623"/>
      <c r="S565" s="623"/>
      <c r="T565" s="623"/>
      <c r="U565" s="623"/>
      <c r="V565" s="623"/>
      <c r="W565" s="623"/>
      <c r="X565" s="623"/>
      <c r="Y565" s="624"/>
      <c r="Z565" s="624"/>
      <c r="AA565" s="624"/>
      <c r="AB565" s="624"/>
      <c r="AC565" s="624"/>
    </row>
    <row r="566" spans="1:29" ht="12" thickTop="1">
      <c r="A566" s="443"/>
      <c r="B566" s="443"/>
      <c r="C566" s="443"/>
      <c r="D566" s="443"/>
      <c r="E566" s="443"/>
      <c r="F566" s="443"/>
      <c r="G566" s="443"/>
      <c r="H566" s="443"/>
      <c r="I566" s="443"/>
      <c r="J566" s="443"/>
      <c r="K566" s="443"/>
      <c r="L566" s="443"/>
      <c r="M566" s="443"/>
      <c r="N566" s="443"/>
      <c r="O566" s="443"/>
      <c r="P566" s="443"/>
      <c r="Q566" s="443"/>
      <c r="R566" s="443"/>
      <c r="S566" s="443"/>
      <c r="T566" s="443"/>
      <c r="U566" s="443"/>
      <c r="V566" s="443"/>
      <c r="W566" s="443"/>
      <c r="X566" s="443"/>
      <c r="Y566" s="443"/>
      <c r="Z566" s="443"/>
      <c r="AA566" s="443"/>
      <c r="AB566" s="443"/>
      <c r="AC566" s="443"/>
    </row>
    <row r="567" spans="1:29">
      <c r="A567" s="15"/>
      <c r="B567" s="15" t="s">
        <v>196</v>
      </c>
      <c r="C567" s="330"/>
      <c r="D567" s="330"/>
      <c r="E567" s="623"/>
      <c r="F567" s="623"/>
      <c r="G567" s="623"/>
      <c r="H567" s="614"/>
      <c r="I567" s="623"/>
      <c r="J567" s="623"/>
      <c r="K567" s="623"/>
      <c r="L567" s="623"/>
      <c r="M567" s="623"/>
      <c r="N567" s="623"/>
      <c r="O567" s="623"/>
      <c r="P567" s="623"/>
      <c r="Q567" s="623"/>
      <c r="R567" s="623"/>
      <c r="S567" s="623"/>
      <c r="T567" s="623"/>
      <c r="U567" s="623"/>
      <c r="V567" s="623"/>
      <c r="W567" s="623"/>
      <c r="X567" s="623"/>
      <c r="Y567" s="623"/>
      <c r="Z567" s="623"/>
      <c r="AA567" s="623"/>
      <c r="AB567" s="623"/>
      <c r="AC567" s="623"/>
    </row>
    <row r="568" spans="1:29">
      <c r="A568" s="15"/>
      <c r="B568" s="308" t="s">
        <v>197</v>
      </c>
      <c r="C568" s="416" t="s">
        <v>198</v>
      </c>
      <c r="D568" s="219">
        <v>6</v>
      </c>
      <c r="E568" s="476"/>
      <c r="F568" s="614"/>
      <c r="G568" s="614"/>
      <c r="H568" s="618" t="s">
        <v>199</v>
      </c>
      <c r="I568" s="623">
        <f>(I530+(I546/$D568)+I557)*1000</f>
        <v>0</v>
      </c>
      <c r="J568" s="623">
        <f t="shared" ref="J568:Y568" si="267">(J530+(J546/$D568)+J557)*1000</f>
        <v>0</v>
      </c>
      <c r="K568" s="623">
        <f t="shared" si="267"/>
        <v>0</v>
      </c>
      <c r="L568" s="623">
        <f t="shared" si="267"/>
        <v>0</v>
      </c>
      <c r="M568" s="623">
        <f t="shared" si="267"/>
        <v>0</v>
      </c>
      <c r="N568" s="623">
        <f t="shared" si="267"/>
        <v>0</v>
      </c>
      <c r="O568" s="623">
        <f t="shared" si="267"/>
        <v>0</v>
      </c>
      <c r="P568" s="623">
        <f t="shared" si="267"/>
        <v>0</v>
      </c>
      <c r="Q568" s="623">
        <f t="shared" si="267"/>
        <v>0</v>
      </c>
      <c r="R568" s="623">
        <f t="shared" si="267"/>
        <v>0</v>
      </c>
      <c r="S568" s="623">
        <f t="shared" si="267"/>
        <v>0</v>
      </c>
      <c r="T568" s="623">
        <f t="shared" si="267"/>
        <v>0</v>
      </c>
      <c r="U568" s="623">
        <f t="shared" si="267"/>
        <v>0</v>
      </c>
      <c r="V568" s="623">
        <f t="shared" si="267"/>
        <v>0</v>
      </c>
      <c r="W568" s="623">
        <f t="shared" si="267"/>
        <v>0</v>
      </c>
      <c r="X568" s="623">
        <f t="shared" si="267"/>
        <v>0</v>
      </c>
      <c r="Y568" s="623">
        <f t="shared" si="267"/>
        <v>0</v>
      </c>
      <c r="Z568" s="623">
        <f>(Z530+(Z546/$D568)+Z557)*1000</f>
        <v>0</v>
      </c>
      <c r="AA568" s="623">
        <f>(AA530+(AA546/$D568)+AA557)*1000</f>
        <v>0</v>
      </c>
      <c r="AB568" s="623">
        <f>(AB530+(AB546/$D568)+AB557)*1000</f>
        <v>0</v>
      </c>
      <c r="AC568" s="623">
        <f>(AC530+(AC546/$D568)+AC557)*1000</f>
        <v>0</v>
      </c>
    </row>
    <row r="569" spans="1:29">
      <c r="A569" s="15"/>
      <c r="B569" s="341"/>
      <c r="C569" s="416"/>
      <c r="D569" s="330"/>
      <c r="E569" s="614"/>
      <c r="F569" s="614"/>
      <c r="J569" s="623"/>
      <c r="K569" s="623"/>
      <c r="L569" s="623"/>
      <c r="M569" s="623"/>
      <c r="N569" s="623"/>
      <c r="O569" s="623"/>
      <c r="P569" s="623"/>
      <c r="Q569" s="623"/>
      <c r="R569" s="623"/>
      <c r="S569" s="623"/>
      <c r="T569" s="623"/>
      <c r="U569" s="623"/>
      <c r="V569" s="623"/>
      <c r="W569" s="623"/>
      <c r="X569" s="623"/>
      <c r="Y569" s="623"/>
      <c r="Z569" s="623"/>
      <c r="AA569" s="623"/>
      <c r="AB569" s="623"/>
      <c r="AC569" s="623"/>
    </row>
    <row r="570" spans="1:29">
      <c r="A570" s="15"/>
      <c r="B570" s="346" t="s">
        <v>164</v>
      </c>
      <c r="C570" s="503" t="s">
        <v>19</v>
      </c>
      <c r="E570" s="339" t="s">
        <v>200</v>
      </c>
      <c r="H570" s="512">
        <v>0</v>
      </c>
      <c r="J570" s="193" t="s">
        <v>540</v>
      </c>
      <c r="K570" s="193" t="s">
        <v>531</v>
      </c>
      <c r="L570" s="193" t="s">
        <v>541</v>
      </c>
    </row>
    <row r="571" spans="1:29">
      <c r="A571" s="15"/>
      <c r="B571" s="339" t="s">
        <v>165</v>
      </c>
      <c r="C571" s="503"/>
      <c r="E571" t="s">
        <v>201</v>
      </c>
      <c r="H571" s="714">
        <v>1</v>
      </c>
      <c r="J571" s="690">
        <v>0.7</v>
      </c>
      <c r="K571" s="777">
        <v>1</v>
      </c>
      <c r="L571" s="690">
        <v>1.1499999999999999</v>
      </c>
    </row>
    <row r="572" spans="1:29">
      <c r="A572" s="15"/>
      <c r="B572" s="339" t="s">
        <v>166</v>
      </c>
      <c r="C572" s="503"/>
      <c r="E572" s="339" t="s">
        <v>202</v>
      </c>
      <c r="H572" s="684">
        <v>0</v>
      </c>
      <c r="J572" s="709"/>
      <c r="K572" s="684"/>
      <c r="L572" s="479"/>
    </row>
    <row r="573" spans="1:29">
      <c r="A573" s="15"/>
      <c r="B573" s="339" t="s">
        <v>167</v>
      </c>
      <c r="C573" s="503"/>
      <c r="E573" s="339" t="s">
        <v>203</v>
      </c>
      <c r="H573" s="343">
        <v>0</v>
      </c>
      <c r="I573" s="476">
        <v>0</v>
      </c>
      <c r="J573" s="335">
        <v>0</v>
      </c>
      <c r="K573" s="335">
        <v>0</v>
      </c>
      <c r="L573" s="335">
        <v>0</v>
      </c>
      <c r="M573" s="335">
        <v>0</v>
      </c>
      <c r="N573" s="335">
        <v>0</v>
      </c>
      <c r="O573" s="335">
        <v>0</v>
      </c>
      <c r="P573" s="335">
        <v>0</v>
      </c>
      <c r="Q573" s="335">
        <v>0</v>
      </c>
      <c r="R573" s="335">
        <v>0</v>
      </c>
      <c r="S573" s="335">
        <v>0</v>
      </c>
      <c r="T573" s="335">
        <v>0</v>
      </c>
      <c r="U573" s="335">
        <v>0</v>
      </c>
      <c r="V573" s="335">
        <v>0</v>
      </c>
      <c r="W573" s="335">
        <v>0</v>
      </c>
      <c r="X573" s="725">
        <v>0</v>
      </c>
      <c r="Y573" s="725">
        <v>0</v>
      </c>
      <c r="Z573" s="725">
        <v>0</v>
      </c>
      <c r="AA573" s="725">
        <v>0</v>
      </c>
      <c r="AB573" s="725">
        <v>0</v>
      </c>
      <c r="AC573" s="725">
        <v>0</v>
      </c>
    </row>
    <row r="574" spans="1:29">
      <c r="A574" s="15"/>
      <c r="B574" s="411" t="s">
        <v>204</v>
      </c>
      <c r="E574" s="476"/>
      <c r="F574" s="476"/>
      <c r="G574" s="476"/>
      <c r="H574" s="476"/>
      <c r="I574" s="476">
        <f>I573*$K$571</f>
        <v>0</v>
      </c>
      <c r="J574" s="476">
        <f t="shared" ref="J574:Y574" si="268">J573*$K$571</f>
        <v>0</v>
      </c>
      <c r="K574" s="476">
        <f t="shared" si="268"/>
        <v>0</v>
      </c>
      <c r="L574" s="476">
        <f t="shared" si="268"/>
        <v>0</v>
      </c>
      <c r="M574" s="476">
        <f t="shared" si="268"/>
        <v>0</v>
      </c>
      <c r="N574" s="476">
        <f t="shared" si="268"/>
        <v>0</v>
      </c>
      <c r="O574" s="476">
        <f t="shared" si="268"/>
        <v>0</v>
      </c>
      <c r="P574" s="476">
        <f t="shared" si="268"/>
        <v>0</v>
      </c>
      <c r="Q574" s="476">
        <f t="shared" si="268"/>
        <v>0</v>
      </c>
      <c r="R574" s="476">
        <f t="shared" si="268"/>
        <v>0</v>
      </c>
      <c r="S574" s="476">
        <f t="shared" si="268"/>
        <v>0</v>
      </c>
      <c r="T574" s="476">
        <f t="shared" si="268"/>
        <v>0</v>
      </c>
      <c r="U574" s="476">
        <f t="shared" si="268"/>
        <v>0</v>
      </c>
      <c r="V574" s="476">
        <f t="shared" si="268"/>
        <v>0</v>
      </c>
      <c r="W574" s="476">
        <f t="shared" si="268"/>
        <v>0</v>
      </c>
      <c r="X574" s="476">
        <f t="shared" si="268"/>
        <v>0</v>
      </c>
      <c r="Y574" s="476">
        <f t="shared" si="268"/>
        <v>0</v>
      </c>
      <c r="Z574" s="476">
        <f>Z573*$K$571</f>
        <v>0</v>
      </c>
      <c r="AA574" s="476">
        <f>AA573*$K$571</f>
        <v>0</v>
      </c>
      <c r="AB574" s="476">
        <f>AB573*$K$571</f>
        <v>0</v>
      </c>
      <c r="AC574" s="476">
        <f>AC573*$K$571</f>
        <v>0</v>
      </c>
    </row>
    <row r="575" spans="1:29">
      <c r="A575" s="15"/>
      <c r="B575" s="411"/>
      <c r="E575" s="476"/>
      <c r="F575" s="476"/>
      <c r="G575" s="476"/>
      <c r="H575" s="476"/>
      <c r="I575" s="476"/>
      <c r="J575" s="476"/>
      <c r="K575" s="476"/>
      <c r="L575" s="476"/>
      <c r="M575" s="476"/>
      <c r="N575" s="476"/>
      <c r="O575" s="476"/>
      <c r="P575" s="476"/>
      <c r="Q575" s="476"/>
      <c r="R575" s="476"/>
      <c r="S575" s="476"/>
      <c r="T575" s="476"/>
      <c r="U575" s="476"/>
      <c r="V575" s="476"/>
      <c r="W575" s="476"/>
      <c r="X575" s="476"/>
      <c r="Y575" s="476"/>
      <c r="Z575" s="476"/>
      <c r="AA575" s="476"/>
      <c r="AB575" s="476"/>
      <c r="AC575" s="476"/>
    </row>
    <row r="576" spans="1:29">
      <c r="A576" s="15"/>
      <c r="B576" s="411" t="s">
        <v>205</v>
      </c>
      <c r="E576" s="476" t="s">
        <v>533</v>
      </c>
      <c r="F576" s="476"/>
      <c r="G576" s="476"/>
      <c r="H576" s="507">
        <v>0.12</v>
      </c>
      <c r="I576" s="476">
        <f>I564*$H$576</f>
        <v>0</v>
      </c>
      <c r="J576" s="476">
        <f t="shared" ref="J576:Y576" ca="1" si="269">J564*$H$576</f>
        <v>0</v>
      </c>
      <c r="K576" s="476">
        <f t="shared" ca="1" si="269"/>
        <v>0</v>
      </c>
      <c r="L576" s="476">
        <f t="shared" ca="1" si="269"/>
        <v>0</v>
      </c>
      <c r="M576" s="476">
        <f t="shared" ca="1" si="269"/>
        <v>0</v>
      </c>
      <c r="N576" s="476">
        <f t="shared" ca="1" si="269"/>
        <v>0</v>
      </c>
      <c r="O576" s="476">
        <f t="shared" ca="1" si="269"/>
        <v>0</v>
      </c>
      <c r="P576" s="476">
        <f t="shared" ca="1" si="269"/>
        <v>0</v>
      </c>
      <c r="Q576" s="476">
        <f t="shared" ca="1" si="269"/>
        <v>0</v>
      </c>
      <c r="R576" s="476">
        <f t="shared" ca="1" si="269"/>
        <v>0</v>
      </c>
      <c r="S576" s="476">
        <f t="shared" ca="1" si="269"/>
        <v>0</v>
      </c>
      <c r="T576" s="476">
        <f t="shared" ca="1" si="269"/>
        <v>0</v>
      </c>
      <c r="U576" s="476">
        <f t="shared" ca="1" si="269"/>
        <v>0</v>
      </c>
      <c r="V576" s="476">
        <f t="shared" ca="1" si="269"/>
        <v>0</v>
      </c>
      <c r="W576" s="476">
        <f t="shared" ca="1" si="269"/>
        <v>0</v>
      </c>
      <c r="X576" s="476">
        <f t="shared" ca="1" si="269"/>
        <v>0</v>
      </c>
      <c r="Y576" s="476">
        <f t="shared" ca="1" si="269"/>
        <v>0</v>
      </c>
      <c r="Z576" s="476">
        <f ca="1">Z564*$H$576</f>
        <v>0</v>
      </c>
      <c r="AA576" s="476">
        <f ca="1">AA564*$H$576</f>
        <v>0</v>
      </c>
      <c r="AB576" s="476">
        <f ca="1">AB564*$H$576</f>
        <v>0</v>
      </c>
      <c r="AC576" s="476">
        <f ca="1">AC564*$H$576</f>
        <v>0</v>
      </c>
    </row>
    <row r="577" spans="1:31">
      <c r="A577" s="15"/>
      <c r="B577" s="411"/>
      <c r="E577" s="476"/>
      <c r="F577" s="476"/>
      <c r="G577" s="476"/>
      <c r="H577" s="476"/>
      <c r="I577" s="476"/>
      <c r="J577" s="476"/>
      <c r="K577" s="476"/>
      <c r="L577" s="476"/>
      <c r="M577" s="476"/>
      <c r="N577" s="476"/>
      <c r="O577" s="476"/>
      <c r="P577" s="476"/>
      <c r="Q577" s="476"/>
      <c r="R577" s="476"/>
      <c r="S577" s="476"/>
      <c r="T577" s="476"/>
      <c r="U577" s="476"/>
      <c r="V577" s="476"/>
      <c r="W577" s="476"/>
      <c r="X577" s="476"/>
      <c r="Y577" s="476"/>
      <c r="Z577" s="476"/>
      <c r="AA577" s="476"/>
      <c r="AB577" s="476"/>
      <c r="AC577" s="476"/>
    </row>
    <row r="578" spans="1:31">
      <c r="A578" s="15"/>
      <c r="B578" s="346" t="s">
        <v>207</v>
      </c>
      <c r="E578" s="476"/>
      <c r="F578" s="476"/>
      <c r="G578" s="476"/>
      <c r="H578" s="476"/>
      <c r="I578" s="476"/>
      <c r="J578" s="476"/>
      <c r="K578" s="476"/>
      <c r="L578" s="476"/>
      <c r="M578" s="476"/>
      <c r="N578" s="476"/>
      <c r="O578" s="476"/>
      <c r="P578" s="476"/>
      <c r="Q578" s="476"/>
      <c r="R578" s="476"/>
      <c r="S578" s="476"/>
      <c r="T578" s="476"/>
      <c r="U578" s="476"/>
      <c r="V578" s="476"/>
      <c r="W578" s="476"/>
      <c r="X578" s="476"/>
      <c r="Y578" s="476"/>
      <c r="Z578" s="476"/>
      <c r="AA578" s="476"/>
      <c r="AB578" s="476"/>
      <c r="AC578" s="476"/>
    </row>
    <row r="579" spans="1:31">
      <c r="A579" s="15"/>
      <c r="B579" s="346" t="s">
        <v>164</v>
      </c>
      <c r="C579" s="503" t="s">
        <v>19</v>
      </c>
      <c r="E579" s="339" t="s">
        <v>208</v>
      </c>
      <c r="H579" s="343">
        <v>0</v>
      </c>
      <c r="I579" s="334"/>
      <c r="J579" s="334"/>
      <c r="K579" s="334"/>
      <c r="L579" s="334"/>
      <c r="M579" s="334"/>
      <c r="N579" s="334"/>
      <c r="O579" s="334"/>
      <c r="P579" s="334"/>
      <c r="Q579" s="334"/>
      <c r="R579" s="334"/>
      <c r="S579" s="334"/>
      <c r="T579" s="334"/>
      <c r="U579" s="334"/>
      <c r="V579" s="334"/>
      <c r="W579" s="334"/>
      <c r="X579" s="334"/>
      <c r="Y579" s="334"/>
      <c r="Z579" s="334"/>
      <c r="AA579" s="334"/>
      <c r="AB579" s="334"/>
      <c r="AC579" s="334"/>
    </row>
    <row r="580" spans="1:31">
      <c r="A580" s="15"/>
      <c r="B580" s="339" t="s">
        <v>165</v>
      </c>
      <c r="C580" s="503"/>
      <c r="E580" t="s">
        <v>201</v>
      </c>
      <c r="H580" s="507">
        <v>0</v>
      </c>
      <c r="I580" s="208"/>
      <c r="J580" s="208"/>
      <c r="K580" s="208"/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</row>
    <row r="581" spans="1:31">
      <c r="A581" s="15"/>
      <c r="B581" s="339" t="s">
        <v>166</v>
      </c>
      <c r="C581" s="503"/>
      <c r="E581" s="339" t="s">
        <v>202</v>
      </c>
      <c r="H581" s="476">
        <f>+H579*H580</f>
        <v>0</v>
      </c>
    </row>
    <row r="582" spans="1:31">
      <c r="A582" s="15"/>
      <c r="B582" s="339" t="s">
        <v>167</v>
      </c>
      <c r="C582" s="503"/>
      <c r="E582" s="339" t="s">
        <v>203</v>
      </c>
      <c r="H582" s="343">
        <v>1</v>
      </c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  <c r="AA582" s="335"/>
      <c r="AB582" s="335"/>
      <c r="AC582" s="335"/>
    </row>
    <row r="583" spans="1:31">
      <c r="A583" s="15"/>
      <c r="B583" s="411" t="s">
        <v>209</v>
      </c>
      <c r="E583" s="476"/>
      <c r="F583" s="476"/>
      <c r="G583" s="476"/>
      <c r="H583" s="476"/>
      <c r="I583" s="476">
        <v>0</v>
      </c>
      <c r="J583" s="476">
        <v>0</v>
      </c>
      <c r="K583" s="476">
        <v>0</v>
      </c>
      <c r="L583" s="476">
        <v>0</v>
      </c>
      <c r="M583" s="476">
        <v>0</v>
      </c>
      <c r="N583" s="476">
        <v>0</v>
      </c>
      <c r="O583" s="476">
        <v>0</v>
      </c>
      <c r="P583" s="476">
        <v>0</v>
      </c>
      <c r="Q583" s="476">
        <v>0</v>
      </c>
      <c r="R583" s="476">
        <v>0</v>
      </c>
      <c r="S583" s="476">
        <v>0</v>
      </c>
      <c r="T583" s="476">
        <v>0</v>
      </c>
      <c r="U583" s="476">
        <v>0</v>
      </c>
      <c r="V583" s="476">
        <v>0</v>
      </c>
      <c r="W583" s="476">
        <v>0</v>
      </c>
      <c r="X583" s="476">
        <v>0</v>
      </c>
      <c r="Y583" s="476">
        <f ca="1">($H581)*(IF($H582=1,Y$185,IF($H582=2,Y$188,IF($H582=3,Y$191,0))))</f>
        <v>0</v>
      </c>
      <c r="Z583" s="476">
        <v>0</v>
      </c>
      <c r="AA583" s="476">
        <v>0</v>
      </c>
      <c r="AB583" s="476">
        <v>0</v>
      </c>
      <c r="AC583" s="476">
        <v>0</v>
      </c>
    </row>
    <row r="584" spans="1:31">
      <c r="A584" s="15"/>
      <c r="B584" s="411"/>
      <c r="E584" s="476"/>
      <c r="F584" s="476"/>
      <c r="G584" s="476"/>
      <c r="H584" s="476"/>
      <c r="I584" s="476"/>
      <c r="J584" s="476"/>
      <c r="K584" s="476"/>
      <c r="L584" s="476"/>
      <c r="M584" s="476"/>
      <c r="N584" s="476"/>
      <c r="O584" s="476"/>
      <c r="P584" s="476"/>
      <c r="Q584" s="476"/>
      <c r="R584" s="476"/>
      <c r="S584" s="476"/>
      <c r="T584" s="476"/>
      <c r="U584" s="476"/>
      <c r="V584" s="476"/>
      <c r="W584" s="476"/>
      <c r="X584" s="476"/>
      <c r="Y584" s="476"/>
      <c r="Z584" s="476"/>
      <c r="AA584" s="476"/>
      <c r="AB584" s="476"/>
      <c r="AC584" s="476"/>
    </row>
    <row r="585" spans="1:31">
      <c r="A585" s="15"/>
      <c r="B585" s="411" t="s">
        <v>210</v>
      </c>
      <c r="E585" s="476"/>
      <c r="F585" s="476"/>
      <c r="G585" s="476"/>
      <c r="H585" s="476"/>
      <c r="I585" s="536">
        <v>0</v>
      </c>
      <c r="J585" s="536">
        <v>0</v>
      </c>
      <c r="K585" s="536">
        <v>0</v>
      </c>
      <c r="L585" s="536">
        <v>0</v>
      </c>
      <c r="M585" s="536">
        <v>0</v>
      </c>
      <c r="N585" s="536">
        <v>0</v>
      </c>
      <c r="O585" s="536">
        <v>0</v>
      </c>
      <c r="P585" s="536">
        <v>0</v>
      </c>
      <c r="Q585" s="536">
        <v>0</v>
      </c>
      <c r="R585" s="536">
        <v>0</v>
      </c>
      <c r="S585" s="536">
        <v>0</v>
      </c>
      <c r="T585" s="536">
        <v>0</v>
      </c>
      <c r="U585" s="536">
        <v>0</v>
      </c>
      <c r="V585" s="536">
        <v>0</v>
      </c>
      <c r="W585" s="536">
        <v>0</v>
      </c>
      <c r="X585" s="536">
        <v>0</v>
      </c>
      <c r="Y585" s="536">
        <v>0</v>
      </c>
      <c r="Z585" s="536">
        <v>0</v>
      </c>
      <c r="AA585" s="536">
        <v>0</v>
      </c>
      <c r="AB585" s="536">
        <v>0</v>
      </c>
      <c r="AC585" s="536">
        <v>0</v>
      </c>
    </row>
    <row r="586" spans="1:31">
      <c r="A586" s="417" t="str">
        <f>"Total Production Costs - "&amp;C18</f>
        <v xml:space="preserve">Total Production Costs - Acrerage Dev. Prog. </v>
      </c>
      <c r="E586" s="505">
        <v>0</v>
      </c>
      <c r="F586" s="505">
        <v>0</v>
      </c>
      <c r="G586" s="505">
        <v>0</v>
      </c>
      <c r="H586" s="505">
        <v>0</v>
      </c>
      <c r="I586" s="620">
        <f>+I583+I574+I576+I585</f>
        <v>0</v>
      </c>
      <c r="J586" s="620">
        <f t="shared" ref="J586:Y586" ca="1" si="270">+J583+J574+J576+J585</f>
        <v>0</v>
      </c>
      <c r="K586" s="620">
        <f t="shared" ca="1" si="270"/>
        <v>0</v>
      </c>
      <c r="L586" s="620">
        <f t="shared" ca="1" si="270"/>
        <v>0</v>
      </c>
      <c r="M586" s="620">
        <f t="shared" ca="1" si="270"/>
        <v>0</v>
      </c>
      <c r="N586" s="620">
        <f t="shared" ca="1" si="270"/>
        <v>0</v>
      </c>
      <c r="O586" s="620">
        <f t="shared" ca="1" si="270"/>
        <v>0</v>
      </c>
      <c r="P586" s="620">
        <f t="shared" ca="1" si="270"/>
        <v>0</v>
      </c>
      <c r="Q586" s="620">
        <f t="shared" ca="1" si="270"/>
        <v>0</v>
      </c>
      <c r="R586" s="620">
        <f t="shared" ca="1" si="270"/>
        <v>0</v>
      </c>
      <c r="S586" s="620">
        <f t="shared" ca="1" si="270"/>
        <v>0</v>
      </c>
      <c r="T586" s="620">
        <f t="shared" ca="1" si="270"/>
        <v>0</v>
      </c>
      <c r="U586" s="620">
        <f t="shared" ca="1" si="270"/>
        <v>0</v>
      </c>
      <c r="V586" s="620">
        <f t="shared" ca="1" si="270"/>
        <v>0</v>
      </c>
      <c r="W586" s="620">
        <f t="shared" ca="1" si="270"/>
        <v>0</v>
      </c>
      <c r="X586" s="620">
        <f t="shared" ca="1" si="270"/>
        <v>0</v>
      </c>
      <c r="Y586" s="620">
        <f t="shared" ca="1" si="270"/>
        <v>0</v>
      </c>
      <c r="Z586" s="620">
        <f ca="1">+Z583+Z574+Z576+Z585</f>
        <v>0</v>
      </c>
      <c r="AA586" s="620">
        <f ca="1">+AA583+AA574+AA576+AA585</f>
        <v>0</v>
      </c>
      <c r="AB586" s="620">
        <f ca="1">+AB583+AB574+AB576+AB585</f>
        <v>0</v>
      </c>
      <c r="AC586" s="620">
        <f ca="1">+AC583+AC574+AC576+AC585</f>
        <v>0</v>
      </c>
      <c r="AD586">
        <f ca="1">SUM(E586:AC586)</f>
        <v>0</v>
      </c>
      <c r="AE586" s="726" t="e">
        <f ca="1">AD586/AD587</f>
        <v>#DIV/0!</v>
      </c>
    </row>
    <row r="587" spans="1:31">
      <c r="A587" s="15" t="str">
        <f>"Net Oil &amp; Gas Income - "&amp;C18</f>
        <v xml:space="preserve">Net Oil &amp; Gas Income - Acrerage Dev. Prog. </v>
      </c>
      <c r="D587" s="74"/>
      <c r="E587" s="617">
        <f>+E564-E586</f>
        <v>0</v>
      </c>
      <c r="F587" s="617">
        <f t="shared" ref="F587:U587" si="271">+F564-F586</f>
        <v>0</v>
      </c>
      <c r="G587" s="617">
        <f t="shared" si="271"/>
        <v>0</v>
      </c>
      <c r="H587" s="617">
        <f t="shared" si="271"/>
        <v>0</v>
      </c>
      <c r="I587" s="615">
        <f t="shared" si="271"/>
        <v>0</v>
      </c>
      <c r="J587" s="615">
        <f t="shared" ca="1" si="271"/>
        <v>0</v>
      </c>
      <c r="K587" s="615">
        <f t="shared" ca="1" si="271"/>
        <v>0</v>
      </c>
      <c r="L587" s="615">
        <f t="shared" ca="1" si="271"/>
        <v>0</v>
      </c>
      <c r="M587" s="615">
        <f t="shared" ca="1" si="271"/>
        <v>0</v>
      </c>
      <c r="N587" s="615">
        <f t="shared" ca="1" si="271"/>
        <v>0</v>
      </c>
      <c r="O587" s="615">
        <f t="shared" ca="1" si="271"/>
        <v>0</v>
      </c>
      <c r="P587" s="615">
        <f t="shared" ca="1" si="271"/>
        <v>0</v>
      </c>
      <c r="Q587" s="615">
        <f t="shared" ca="1" si="271"/>
        <v>0</v>
      </c>
      <c r="R587" s="615">
        <f t="shared" ca="1" si="271"/>
        <v>0</v>
      </c>
      <c r="S587" s="615">
        <f t="shared" ca="1" si="271"/>
        <v>0</v>
      </c>
      <c r="T587" s="615">
        <f t="shared" ca="1" si="271"/>
        <v>0</v>
      </c>
      <c r="U587" s="615">
        <f t="shared" ca="1" si="271"/>
        <v>0</v>
      </c>
      <c r="V587" s="615">
        <f t="shared" ref="V587:AC587" ca="1" si="272">+V564-V586</f>
        <v>0</v>
      </c>
      <c r="W587" s="615">
        <f t="shared" ca="1" si="272"/>
        <v>0</v>
      </c>
      <c r="X587" s="615">
        <f t="shared" ca="1" si="272"/>
        <v>0</v>
      </c>
      <c r="Y587" s="615">
        <f t="shared" ca="1" si="272"/>
        <v>0</v>
      </c>
      <c r="Z587" s="615">
        <f t="shared" ca="1" si="272"/>
        <v>0</v>
      </c>
      <c r="AA587" s="615">
        <f t="shared" ca="1" si="272"/>
        <v>0</v>
      </c>
      <c r="AB587" s="615">
        <f t="shared" ca="1" si="272"/>
        <v>0</v>
      </c>
      <c r="AC587" s="615">
        <f t="shared" ca="1" si="272"/>
        <v>0</v>
      </c>
      <c r="AD587">
        <f>AD530+AD543</f>
        <v>0</v>
      </c>
    </row>
    <row r="588" spans="1:31">
      <c r="A588" s="15"/>
      <c r="B588" s="5"/>
      <c r="D588" s="5"/>
      <c r="E588" s="141"/>
      <c r="F588" s="141"/>
      <c r="G588" s="141"/>
      <c r="I588" s="623"/>
      <c r="J588" s="623"/>
      <c r="K588" s="623"/>
      <c r="L588" s="623"/>
      <c r="M588" s="623"/>
      <c r="N588" s="623"/>
      <c r="O588" s="623"/>
      <c r="P588" s="623"/>
      <c r="Q588" s="623"/>
      <c r="R588" s="623"/>
      <c r="S588" s="623"/>
      <c r="T588" s="623"/>
      <c r="U588" s="623"/>
      <c r="V588" s="623"/>
      <c r="W588" s="623"/>
      <c r="X588" s="623"/>
      <c r="Y588" s="624"/>
      <c r="Z588" s="624"/>
      <c r="AA588" s="624"/>
      <c r="AB588" s="624"/>
      <c r="AC588" s="624"/>
    </row>
    <row r="589" spans="1:31">
      <c r="A589" s="15"/>
      <c r="B589" s="5" t="s">
        <v>534</v>
      </c>
      <c r="D589" s="5"/>
      <c r="E589" s="141"/>
      <c r="F589" s="141"/>
      <c r="G589" s="141"/>
      <c r="I589" s="517">
        <v>0</v>
      </c>
      <c r="J589" s="517">
        <v>0</v>
      </c>
      <c r="K589" s="517">
        <v>0</v>
      </c>
      <c r="L589" s="517">
        <v>0</v>
      </c>
      <c r="M589" s="517">
        <v>0</v>
      </c>
      <c r="N589" s="517">
        <v>0</v>
      </c>
      <c r="O589" s="517">
        <v>0</v>
      </c>
      <c r="P589" s="517">
        <v>0</v>
      </c>
      <c r="Q589" s="517">
        <v>0</v>
      </c>
      <c r="R589" s="517">
        <v>0</v>
      </c>
      <c r="S589" s="517">
        <v>0</v>
      </c>
      <c r="T589" s="517">
        <v>0</v>
      </c>
      <c r="U589" s="517">
        <v>0</v>
      </c>
      <c r="V589" s="517">
        <v>0</v>
      </c>
      <c r="W589" s="517">
        <v>0</v>
      </c>
      <c r="X589" s="517">
        <v>0</v>
      </c>
      <c r="Y589" s="538">
        <v>0</v>
      </c>
      <c r="Z589" s="538">
        <v>0</v>
      </c>
      <c r="AA589" s="538">
        <v>0</v>
      </c>
      <c r="AB589" s="538">
        <v>0</v>
      </c>
      <c r="AC589" s="538">
        <v>0</v>
      </c>
    </row>
    <row r="590" spans="1:31">
      <c r="A590" s="15"/>
      <c r="B590" s="5"/>
      <c r="D590" s="5"/>
      <c r="E590" s="141"/>
      <c r="F590" s="141"/>
      <c r="G590" s="141"/>
      <c r="H590" s="614"/>
      <c r="I590" s="623"/>
      <c r="J590" s="623"/>
      <c r="K590" s="623"/>
      <c r="L590" s="623"/>
      <c r="M590" s="623"/>
      <c r="N590" s="623"/>
      <c r="O590" s="623"/>
      <c r="P590" s="623"/>
      <c r="Q590" s="623"/>
      <c r="R590" s="623"/>
      <c r="S590" s="623"/>
      <c r="T590" s="623"/>
      <c r="U590" s="623"/>
      <c r="V590" s="623"/>
      <c r="W590" s="623"/>
      <c r="X590" s="623"/>
      <c r="Y590" s="624"/>
      <c r="Z590" s="624"/>
      <c r="AA590" s="624"/>
      <c r="AB590" s="624"/>
      <c r="AC590" s="624"/>
    </row>
    <row r="591" spans="1:31" ht="12" thickBot="1">
      <c r="A591" s="15"/>
      <c r="B591" s="5"/>
      <c r="D591" s="5"/>
      <c r="E591" s="141"/>
      <c r="F591" s="141"/>
      <c r="G591" s="141"/>
      <c r="H591" s="614"/>
      <c r="I591" s="623"/>
      <c r="J591" s="623"/>
      <c r="K591" s="623"/>
      <c r="L591" s="623"/>
      <c r="M591" s="623"/>
      <c r="N591" s="623"/>
      <c r="O591" s="623"/>
      <c r="P591" s="623"/>
      <c r="Q591" s="623"/>
      <c r="R591" s="623"/>
      <c r="S591" s="623"/>
      <c r="T591" s="623"/>
      <c r="U591" s="623"/>
      <c r="V591" s="623"/>
      <c r="W591" s="623"/>
      <c r="X591" s="623"/>
      <c r="Y591" s="624"/>
      <c r="Z591" s="624"/>
      <c r="AA591" s="624"/>
      <c r="AB591" s="624"/>
      <c r="AC591" s="624"/>
    </row>
    <row r="592" spans="1:31" ht="12.75" thickTop="1" thickBot="1">
      <c r="A592" s="15" t="s">
        <v>178</v>
      </c>
      <c r="B592" s="5"/>
      <c r="C592" s="5"/>
      <c r="D592" s="5"/>
      <c r="E592" s="166" t="str">
        <f>+E$3</f>
        <v xml:space="preserve">1996 </v>
      </c>
      <c r="F592" s="166" t="str">
        <f>+F$3</f>
        <v xml:space="preserve">1997 </v>
      </c>
      <c r="G592" s="166" t="str">
        <f>+G$3</f>
        <v xml:space="preserve">1998 </v>
      </c>
      <c r="H592" s="166" t="str">
        <f ca="1">+H$3</f>
        <v xml:space="preserve">6 M/1999 </v>
      </c>
      <c r="I592" s="166" t="str">
        <f ca="1">+I$3</f>
        <v xml:space="preserve">6 M/1999 </v>
      </c>
      <c r="J592" s="166">
        <f t="shared" ref="J592:Y592" si="273">+J$3</f>
        <v>2000</v>
      </c>
      <c r="K592" s="166">
        <f t="shared" si="273"/>
        <v>2001</v>
      </c>
      <c r="L592" s="166">
        <f t="shared" si="273"/>
        <v>2002</v>
      </c>
      <c r="M592" s="166">
        <f t="shared" si="273"/>
        <v>2003</v>
      </c>
      <c r="N592" s="166">
        <f t="shared" si="273"/>
        <v>2004</v>
      </c>
      <c r="O592" s="166">
        <f t="shared" si="273"/>
        <v>2005</v>
      </c>
      <c r="P592" s="166">
        <f t="shared" si="273"/>
        <v>2006</v>
      </c>
      <c r="Q592" s="166">
        <f t="shared" si="273"/>
        <v>2007</v>
      </c>
      <c r="R592" s="166">
        <f t="shared" si="273"/>
        <v>2008</v>
      </c>
      <c r="S592" s="166">
        <f t="shared" si="273"/>
        <v>2009</v>
      </c>
      <c r="T592" s="166">
        <f t="shared" si="273"/>
        <v>2010</v>
      </c>
      <c r="U592" s="166">
        <f t="shared" si="273"/>
        <v>2011</v>
      </c>
      <c r="V592" s="166">
        <f t="shared" si="273"/>
        <v>2012</v>
      </c>
      <c r="W592" s="166">
        <f t="shared" si="273"/>
        <v>2013</v>
      </c>
      <c r="X592" s="166">
        <f t="shared" si="273"/>
        <v>2014</v>
      </c>
      <c r="Y592" s="166">
        <f t="shared" si="273"/>
        <v>2015</v>
      </c>
      <c r="Z592" s="166">
        <f>+Z$3</f>
        <v>2016</v>
      </c>
      <c r="AA592" s="166">
        <f>+AA$3</f>
        <v>2017</v>
      </c>
      <c r="AB592" s="166">
        <f>+AB$3</f>
        <v>2018</v>
      </c>
      <c r="AC592" s="166">
        <f>+AC$3</f>
        <v>2019</v>
      </c>
    </row>
    <row r="593" spans="1:30" ht="13.5" thickTop="1">
      <c r="A593" s="506" t="str">
        <f>+C19</f>
        <v>Class F Reserves</v>
      </c>
      <c r="B593" s="5"/>
      <c r="C593" s="5"/>
      <c r="D593" s="5"/>
      <c r="E593" s="281"/>
      <c r="F593" s="281"/>
      <c r="G593" s="281"/>
      <c r="H593" s="281"/>
      <c r="I593" s="540"/>
      <c r="J593" s="540"/>
      <c r="K593" s="540"/>
      <c r="L593" s="540"/>
      <c r="M593" s="540"/>
      <c r="N593" s="540"/>
      <c r="O593" s="540"/>
      <c r="P593" s="540"/>
      <c r="Q593" s="540"/>
      <c r="R593" s="540"/>
      <c r="S593" s="540"/>
      <c r="T593" s="540"/>
      <c r="U593" s="540"/>
      <c r="V593" s="540"/>
      <c r="W593" s="540"/>
      <c r="X593" s="540"/>
      <c r="Y593" s="540"/>
      <c r="Z593" s="540"/>
      <c r="AA593" s="540"/>
      <c r="AB593" s="540"/>
      <c r="AC593" s="540"/>
    </row>
    <row r="594" spans="1:30">
      <c r="A594" s="455" t="s">
        <v>15</v>
      </c>
      <c r="B594" s="83" t="s">
        <v>515</v>
      </c>
      <c r="C594" s="5"/>
      <c r="D594" s="5"/>
      <c r="E594" s="281"/>
      <c r="F594" s="281"/>
      <c r="G594" s="281"/>
      <c r="H594" s="281"/>
      <c r="I594" s="517">
        <v>0</v>
      </c>
      <c r="J594" s="517">
        <v>0</v>
      </c>
      <c r="K594" s="517">
        <v>0</v>
      </c>
      <c r="L594" s="517">
        <v>0</v>
      </c>
      <c r="M594" s="517">
        <v>0</v>
      </c>
      <c r="N594" s="517">
        <v>0</v>
      </c>
      <c r="O594" s="517">
        <v>0</v>
      </c>
      <c r="P594" s="517">
        <v>0</v>
      </c>
      <c r="Q594" s="517">
        <v>0</v>
      </c>
      <c r="R594" s="517">
        <v>0</v>
      </c>
      <c r="S594" s="517">
        <v>0</v>
      </c>
      <c r="T594" s="517">
        <v>0</v>
      </c>
      <c r="U594" s="517">
        <v>0</v>
      </c>
      <c r="V594" s="517">
        <v>0</v>
      </c>
      <c r="W594" s="517">
        <v>0</v>
      </c>
      <c r="X594" s="517">
        <v>0</v>
      </c>
      <c r="Y594" s="517">
        <v>0</v>
      </c>
      <c r="Z594" s="517">
        <v>0</v>
      </c>
      <c r="AA594" s="517">
        <v>0</v>
      </c>
      <c r="AB594" s="517">
        <v>0</v>
      </c>
      <c r="AC594" s="517">
        <v>0</v>
      </c>
      <c r="AD594" s="517">
        <v>0</v>
      </c>
    </row>
    <row r="595" spans="1:30" ht="12.75">
      <c r="A595" s="506"/>
      <c r="B595" s="83" t="s">
        <v>517</v>
      </c>
      <c r="C595" s="5"/>
      <c r="D595" s="5"/>
      <c r="E595" s="281"/>
      <c r="F595" s="281"/>
      <c r="G595" s="281"/>
      <c r="H595" s="281"/>
      <c r="I595" s="667">
        <v>1</v>
      </c>
      <c r="J595" s="667">
        <f t="shared" ref="J595:AC595" si="274">I595</f>
        <v>1</v>
      </c>
      <c r="K595" s="667">
        <f t="shared" si="274"/>
        <v>1</v>
      </c>
      <c r="L595" s="667">
        <f t="shared" si="274"/>
        <v>1</v>
      </c>
      <c r="M595" s="667">
        <f t="shared" si="274"/>
        <v>1</v>
      </c>
      <c r="N595" s="667">
        <f t="shared" si="274"/>
        <v>1</v>
      </c>
      <c r="O595" s="667">
        <f t="shared" si="274"/>
        <v>1</v>
      </c>
      <c r="P595" s="667">
        <f t="shared" si="274"/>
        <v>1</v>
      </c>
      <c r="Q595" s="667">
        <f t="shared" si="274"/>
        <v>1</v>
      </c>
      <c r="R595" s="667">
        <f t="shared" si="274"/>
        <v>1</v>
      </c>
      <c r="S595" s="667">
        <f t="shared" si="274"/>
        <v>1</v>
      </c>
      <c r="T595" s="667">
        <f t="shared" si="274"/>
        <v>1</v>
      </c>
      <c r="U595" s="667">
        <f t="shared" si="274"/>
        <v>1</v>
      </c>
      <c r="V595" s="667">
        <f t="shared" si="274"/>
        <v>1</v>
      </c>
      <c r="W595" s="667">
        <f t="shared" si="274"/>
        <v>1</v>
      </c>
      <c r="X595" s="667">
        <f t="shared" si="274"/>
        <v>1</v>
      </c>
      <c r="Y595" s="667">
        <f t="shared" si="274"/>
        <v>1</v>
      </c>
      <c r="Z595" s="667">
        <f t="shared" si="274"/>
        <v>1</v>
      </c>
      <c r="AA595" s="667">
        <f t="shared" si="274"/>
        <v>1</v>
      </c>
      <c r="AB595" s="667">
        <f t="shared" si="274"/>
        <v>1</v>
      </c>
      <c r="AC595" s="667">
        <f t="shared" si="274"/>
        <v>1</v>
      </c>
    </row>
    <row r="596" spans="1:30">
      <c r="B596" s="83" t="s">
        <v>518</v>
      </c>
      <c r="C596" s="5"/>
      <c r="D596" s="5"/>
      <c r="E596" s="281"/>
      <c r="F596" s="281"/>
      <c r="G596" s="281"/>
      <c r="H596" s="540"/>
      <c r="I596" s="666">
        <f>+I594*I595</f>
        <v>0</v>
      </c>
      <c r="J596" s="666">
        <f t="shared" ref="J596:Y596" si="275">+J594*J595</f>
        <v>0</v>
      </c>
      <c r="K596" s="666">
        <f t="shared" si="275"/>
        <v>0</v>
      </c>
      <c r="L596" s="666">
        <f t="shared" si="275"/>
        <v>0</v>
      </c>
      <c r="M596" s="666">
        <f t="shared" si="275"/>
        <v>0</v>
      </c>
      <c r="N596" s="666">
        <f t="shared" si="275"/>
        <v>0</v>
      </c>
      <c r="O596" s="666">
        <f t="shared" si="275"/>
        <v>0</v>
      </c>
      <c r="P596" s="666">
        <f t="shared" si="275"/>
        <v>0</v>
      </c>
      <c r="Q596" s="666">
        <f t="shared" si="275"/>
        <v>0</v>
      </c>
      <c r="R596" s="666">
        <f t="shared" si="275"/>
        <v>0</v>
      </c>
      <c r="S596" s="666">
        <f t="shared" si="275"/>
        <v>0</v>
      </c>
      <c r="T596" s="666">
        <f t="shared" si="275"/>
        <v>0</v>
      </c>
      <c r="U596" s="666">
        <f t="shared" si="275"/>
        <v>0</v>
      </c>
      <c r="V596" s="666">
        <f t="shared" si="275"/>
        <v>0</v>
      </c>
      <c r="W596" s="666">
        <f t="shared" si="275"/>
        <v>0</v>
      </c>
      <c r="X596" s="666">
        <f t="shared" si="275"/>
        <v>0</v>
      </c>
      <c r="Y596" s="666">
        <f t="shared" si="275"/>
        <v>0</v>
      </c>
      <c r="Z596" s="666">
        <f>+Z594*Z595</f>
        <v>0</v>
      </c>
      <c r="AA596" s="666">
        <f>+AA594*AA595</f>
        <v>0</v>
      </c>
      <c r="AB596" s="666">
        <f>+AB594*AB595</f>
        <v>0</v>
      </c>
      <c r="AC596" s="666">
        <f>+AC594*AC595</f>
        <v>0</v>
      </c>
    </row>
    <row r="597" spans="1:30" ht="12.75">
      <c r="A597" s="506"/>
      <c r="B597" s="5" t="s">
        <v>181</v>
      </c>
      <c r="C597" s="5"/>
      <c r="D597" s="5"/>
      <c r="E597" s="281"/>
      <c r="F597" s="281"/>
      <c r="G597" s="281"/>
      <c r="H597" s="540"/>
      <c r="I597" s="667">
        <v>1</v>
      </c>
      <c r="J597" s="667">
        <f t="shared" ref="J597:AC597" si="276">I597</f>
        <v>1</v>
      </c>
      <c r="K597" s="667">
        <f t="shared" si="276"/>
        <v>1</v>
      </c>
      <c r="L597" s="667">
        <f t="shared" si="276"/>
        <v>1</v>
      </c>
      <c r="M597" s="667">
        <f t="shared" si="276"/>
        <v>1</v>
      </c>
      <c r="N597" s="667">
        <f t="shared" si="276"/>
        <v>1</v>
      </c>
      <c r="O597" s="667">
        <f t="shared" si="276"/>
        <v>1</v>
      </c>
      <c r="P597" s="667">
        <f t="shared" si="276"/>
        <v>1</v>
      </c>
      <c r="Q597" s="667">
        <f t="shared" si="276"/>
        <v>1</v>
      </c>
      <c r="R597" s="667">
        <f t="shared" si="276"/>
        <v>1</v>
      </c>
      <c r="S597" s="667">
        <f t="shared" si="276"/>
        <v>1</v>
      </c>
      <c r="T597" s="667">
        <f t="shared" si="276"/>
        <v>1</v>
      </c>
      <c r="U597" s="667">
        <f t="shared" si="276"/>
        <v>1</v>
      </c>
      <c r="V597" s="667">
        <f t="shared" si="276"/>
        <v>1</v>
      </c>
      <c r="W597" s="667">
        <f t="shared" si="276"/>
        <v>1</v>
      </c>
      <c r="X597" s="667">
        <f t="shared" si="276"/>
        <v>1</v>
      </c>
      <c r="Y597" s="667">
        <f t="shared" si="276"/>
        <v>1</v>
      </c>
      <c r="Z597" s="667">
        <f t="shared" si="276"/>
        <v>1</v>
      </c>
      <c r="AA597" s="667">
        <f t="shared" si="276"/>
        <v>1</v>
      </c>
      <c r="AB597" s="667">
        <f t="shared" si="276"/>
        <v>1</v>
      </c>
      <c r="AC597" s="667">
        <f t="shared" si="276"/>
        <v>1</v>
      </c>
    </row>
    <row r="598" spans="1:30">
      <c r="B598" s="83" t="s">
        <v>519</v>
      </c>
      <c r="D598" s="5"/>
      <c r="E598" s="141"/>
      <c r="F598" s="141"/>
      <c r="H598" s="623"/>
      <c r="I598" s="666">
        <f>+I596*I597</f>
        <v>0</v>
      </c>
      <c r="J598" s="666">
        <f t="shared" ref="J598:Y598" si="277">+J596*J597</f>
        <v>0</v>
      </c>
      <c r="K598" s="666">
        <f t="shared" si="277"/>
        <v>0</v>
      </c>
      <c r="L598" s="666">
        <f t="shared" si="277"/>
        <v>0</v>
      </c>
      <c r="M598" s="666">
        <f t="shared" si="277"/>
        <v>0</v>
      </c>
      <c r="N598" s="666">
        <f t="shared" si="277"/>
        <v>0</v>
      </c>
      <c r="O598" s="666">
        <f t="shared" si="277"/>
        <v>0</v>
      </c>
      <c r="P598" s="666">
        <f t="shared" si="277"/>
        <v>0</v>
      </c>
      <c r="Q598" s="666">
        <f t="shared" si="277"/>
        <v>0</v>
      </c>
      <c r="R598" s="666">
        <f t="shared" si="277"/>
        <v>0</v>
      </c>
      <c r="S598" s="666">
        <f t="shared" si="277"/>
        <v>0</v>
      </c>
      <c r="T598" s="666">
        <f t="shared" si="277"/>
        <v>0</v>
      </c>
      <c r="U598" s="666">
        <f t="shared" si="277"/>
        <v>0</v>
      </c>
      <c r="V598" s="666">
        <f t="shared" si="277"/>
        <v>0</v>
      </c>
      <c r="W598" s="666">
        <f t="shared" si="277"/>
        <v>0</v>
      </c>
      <c r="X598" s="666">
        <f t="shared" si="277"/>
        <v>0</v>
      </c>
      <c r="Y598" s="666">
        <f t="shared" si="277"/>
        <v>0</v>
      </c>
      <c r="Z598" s="666">
        <f>+Z596*Z597</f>
        <v>0</v>
      </c>
      <c r="AA598" s="666">
        <f>+AA596*AA597</f>
        <v>0</v>
      </c>
      <c r="AB598" s="666">
        <f>+AB596*AB597</f>
        <v>0</v>
      </c>
      <c r="AC598" s="666">
        <f>+AC596*AC597</f>
        <v>0</v>
      </c>
    </row>
    <row r="599" spans="1:30">
      <c r="D599" s="5"/>
      <c r="E599" s="141"/>
      <c r="F599" s="141"/>
      <c r="G599" s="141"/>
    </row>
    <row r="600" spans="1:30">
      <c r="A600" s="455"/>
      <c r="B600" s="83" t="s">
        <v>520</v>
      </c>
      <c r="D600" s="219">
        <v>5</v>
      </c>
      <c r="I600" s="518">
        <f t="shared" ref="I600:AC600" si="278">IF($D600=1,I$212,IF($D600=2,I$215,IF($D600=3,I$217,IF($D600=4,I$219,IF($D600=5,I$221,I$212)))))</f>
        <v>0</v>
      </c>
      <c r="J600" s="518">
        <f t="shared" ca="1" si="278"/>
        <v>21.515888888888885</v>
      </c>
      <c r="K600" s="518">
        <f t="shared" ca="1" si="278"/>
        <v>18.986666666666665</v>
      </c>
      <c r="L600" s="518">
        <f t="shared" ca="1" si="278"/>
        <v>18.343166666666665</v>
      </c>
      <c r="M600" s="518">
        <f t="shared" ca="1" si="278"/>
        <v>18.421749999999999</v>
      </c>
      <c r="N600" s="518">
        <f t="shared" ca="1" si="278"/>
        <v>18.575749999999999</v>
      </c>
      <c r="O600" s="518">
        <f t="shared" ca="1" si="278"/>
        <v>18.731416666666668</v>
      </c>
      <c r="P600" s="518">
        <f t="shared" ca="1" si="278"/>
        <v>18.906166666666667</v>
      </c>
      <c r="Q600" s="518">
        <f t="shared" ca="1" si="278"/>
        <v>19.098166666666668</v>
      </c>
      <c r="R600" s="518">
        <f t="shared" ca="1" si="278"/>
        <v>19.300749999999997</v>
      </c>
      <c r="S600" s="518">
        <f t="shared" ca="1" si="278"/>
        <v>19.5105</v>
      </c>
      <c r="T600" s="518">
        <f t="shared" ca="1" si="278"/>
        <v>19.720083333333339</v>
      </c>
      <c r="U600" s="518">
        <f t="shared" ca="1" si="278"/>
        <v>19.930416666666662</v>
      </c>
      <c r="V600" s="518">
        <f t="shared" ca="1" si="278"/>
        <v>20.140416666666663</v>
      </c>
      <c r="W600" s="518">
        <f t="shared" ca="1" si="278"/>
        <v>20.350249999999999</v>
      </c>
      <c r="X600" s="518">
        <f t="shared" ca="1" si="278"/>
        <v>20.843916666666669</v>
      </c>
      <c r="Y600" s="518">
        <f t="shared" ca="1" si="278"/>
        <v>21.326833333333337</v>
      </c>
      <c r="Z600" s="518">
        <f t="shared" ca="1" si="278"/>
        <v>21.627249999999993</v>
      </c>
      <c r="AA600" s="518">
        <f t="shared" ca="1" si="278"/>
        <v>21.926999999999996</v>
      </c>
      <c r="AB600" s="518">
        <f t="shared" ca="1" si="278"/>
        <v>22.22666666666667</v>
      </c>
      <c r="AC600" s="518">
        <f t="shared" ca="1" si="278"/>
        <v>22.451999999999998</v>
      </c>
    </row>
    <row r="601" spans="1:30">
      <c r="A601" s="456"/>
      <c r="B601" s="83" t="s">
        <v>184</v>
      </c>
      <c r="D601" s="5"/>
      <c r="I601" s="519">
        <v>0</v>
      </c>
      <c r="J601" s="519">
        <v>0</v>
      </c>
      <c r="K601" s="519">
        <v>0</v>
      </c>
      <c r="L601" s="519">
        <v>0</v>
      </c>
      <c r="M601" s="519">
        <v>0</v>
      </c>
      <c r="N601" s="519">
        <v>0</v>
      </c>
      <c r="O601" s="519">
        <v>0</v>
      </c>
      <c r="P601" s="519">
        <v>0</v>
      </c>
      <c r="Q601" s="519">
        <v>0</v>
      </c>
      <c r="R601" s="519">
        <v>0</v>
      </c>
      <c r="S601" s="519">
        <v>0</v>
      </c>
      <c r="T601" s="519">
        <v>0</v>
      </c>
      <c r="U601" s="519">
        <v>0</v>
      </c>
      <c r="V601" s="519">
        <v>0</v>
      </c>
      <c r="W601" s="519">
        <v>0</v>
      </c>
      <c r="X601" s="519">
        <v>0</v>
      </c>
      <c r="Y601" s="519">
        <v>0</v>
      </c>
      <c r="Z601" s="519">
        <v>0</v>
      </c>
      <c r="AA601" s="519">
        <v>0</v>
      </c>
      <c r="AB601" s="519">
        <v>0</v>
      </c>
      <c r="AC601" s="519">
        <v>0</v>
      </c>
    </row>
    <row r="602" spans="1:30">
      <c r="A602" s="193"/>
      <c r="B602" s="83" t="s">
        <v>185</v>
      </c>
      <c r="D602" s="5"/>
      <c r="I602" s="520">
        <f>+I600+I601</f>
        <v>0</v>
      </c>
      <c r="J602" s="520">
        <f t="shared" ref="J602:Y602" ca="1" si="279">+J600+J601</f>
        <v>21.515888888888885</v>
      </c>
      <c r="K602" s="520">
        <f t="shared" ca="1" si="279"/>
        <v>18.986666666666665</v>
      </c>
      <c r="L602" s="520">
        <f t="shared" ca="1" si="279"/>
        <v>18.343166666666665</v>
      </c>
      <c r="M602" s="520">
        <f t="shared" ca="1" si="279"/>
        <v>18.421749999999999</v>
      </c>
      <c r="N602" s="520">
        <f t="shared" ca="1" si="279"/>
        <v>18.575749999999999</v>
      </c>
      <c r="O602" s="520">
        <f t="shared" ca="1" si="279"/>
        <v>18.731416666666668</v>
      </c>
      <c r="P602" s="520">
        <f t="shared" ca="1" si="279"/>
        <v>18.906166666666667</v>
      </c>
      <c r="Q602" s="520">
        <f t="shared" ca="1" si="279"/>
        <v>19.098166666666668</v>
      </c>
      <c r="R602" s="520">
        <f t="shared" ca="1" si="279"/>
        <v>19.300749999999997</v>
      </c>
      <c r="S602" s="520">
        <f t="shared" ca="1" si="279"/>
        <v>19.5105</v>
      </c>
      <c r="T602" s="520">
        <f t="shared" ca="1" si="279"/>
        <v>19.720083333333339</v>
      </c>
      <c r="U602" s="520">
        <f t="shared" ca="1" si="279"/>
        <v>19.930416666666662</v>
      </c>
      <c r="V602" s="520">
        <f t="shared" ca="1" si="279"/>
        <v>20.140416666666663</v>
      </c>
      <c r="W602" s="520">
        <f t="shared" ca="1" si="279"/>
        <v>20.350249999999999</v>
      </c>
      <c r="X602" s="520">
        <f t="shared" ca="1" si="279"/>
        <v>20.843916666666669</v>
      </c>
      <c r="Y602" s="520">
        <f t="shared" ca="1" si="279"/>
        <v>21.326833333333337</v>
      </c>
      <c r="Z602" s="520">
        <f ca="1">+Z600+Z601</f>
        <v>21.627249999999993</v>
      </c>
      <c r="AA602" s="520">
        <f ca="1">+AA600+AA601</f>
        <v>21.926999999999996</v>
      </c>
      <c r="AB602" s="520">
        <f ca="1">+AB600+AB601</f>
        <v>22.22666666666667</v>
      </c>
      <c r="AC602" s="520">
        <f ca="1">+AC600+AC601</f>
        <v>22.451999999999998</v>
      </c>
    </row>
    <row r="603" spans="1:30">
      <c r="A603" s="455"/>
      <c r="B603" s="5" t="str">
        <f>+"Oil Revenue ($"&amp;$F$5</f>
        <v>Oil Revenue ($Thousands)</v>
      </c>
      <c r="D603" s="5"/>
      <c r="E603" s="141"/>
      <c r="F603" s="141"/>
      <c r="G603" s="141"/>
      <c r="H603" s="614"/>
      <c r="I603" s="615">
        <f t="shared" ref="I603:X603" si="280">I598*I602*1000/unit</f>
        <v>0</v>
      </c>
      <c r="J603" s="615">
        <f t="shared" ca="1" si="280"/>
        <v>0</v>
      </c>
      <c r="K603" s="615">
        <f t="shared" ca="1" si="280"/>
        <v>0</v>
      </c>
      <c r="L603" s="615">
        <f t="shared" ca="1" si="280"/>
        <v>0</v>
      </c>
      <c r="M603" s="615">
        <f t="shared" ca="1" si="280"/>
        <v>0</v>
      </c>
      <c r="N603" s="615">
        <f t="shared" ca="1" si="280"/>
        <v>0</v>
      </c>
      <c r="O603" s="615">
        <f t="shared" ca="1" si="280"/>
        <v>0</v>
      </c>
      <c r="P603" s="615">
        <f t="shared" ca="1" si="280"/>
        <v>0</v>
      </c>
      <c r="Q603" s="615">
        <f t="shared" ca="1" si="280"/>
        <v>0</v>
      </c>
      <c r="R603" s="615">
        <f t="shared" ca="1" si="280"/>
        <v>0</v>
      </c>
      <c r="S603" s="615">
        <f t="shared" ca="1" si="280"/>
        <v>0</v>
      </c>
      <c r="T603" s="615">
        <f t="shared" ca="1" si="280"/>
        <v>0</v>
      </c>
      <c r="U603" s="615">
        <f t="shared" ca="1" si="280"/>
        <v>0</v>
      </c>
      <c r="V603" s="615">
        <f t="shared" ca="1" si="280"/>
        <v>0</v>
      </c>
      <c r="W603" s="615">
        <f t="shared" ca="1" si="280"/>
        <v>0</v>
      </c>
      <c r="X603" s="615">
        <f t="shared" ca="1" si="280"/>
        <v>0</v>
      </c>
      <c r="Y603" s="615">
        <f ca="1">Y598*Y602*1000/unit</f>
        <v>0</v>
      </c>
      <c r="Z603" s="615">
        <f ca="1">Z598*Z602*1000/unit</f>
        <v>0</v>
      </c>
      <c r="AA603" s="615">
        <f ca="1">AA598*AA602*1000/unit</f>
        <v>0</v>
      </c>
      <c r="AB603" s="615">
        <f ca="1">AB598*AB602*1000/unit</f>
        <v>0</v>
      </c>
      <c r="AC603" s="615">
        <f ca="1">AC598*AC602*1000/unit</f>
        <v>0</v>
      </c>
    </row>
    <row r="604" spans="1:30">
      <c r="A604" s="455"/>
      <c r="B604" s="5"/>
      <c r="D604" s="5"/>
      <c r="E604" s="141"/>
      <c r="F604" s="141"/>
      <c r="G604" s="141"/>
      <c r="H604" s="614"/>
      <c r="I604" s="623"/>
      <c r="J604" s="623"/>
      <c r="K604" s="623"/>
      <c r="L604" s="623"/>
      <c r="M604" s="623"/>
      <c r="N604" s="623"/>
      <c r="O604" s="623"/>
      <c r="P604" s="623"/>
      <c r="Q604" s="623"/>
      <c r="R604" s="623"/>
      <c r="S604" s="623"/>
      <c r="T604" s="623"/>
      <c r="U604" s="623"/>
      <c r="V604" s="623"/>
      <c r="W604" s="623"/>
      <c r="X604" s="623"/>
      <c r="Y604" s="622"/>
      <c r="Z604" s="622"/>
      <c r="AA604" s="622"/>
      <c r="AB604" s="622"/>
      <c r="AC604" s="622"/>
    </row>
    <row r="605" spans="1:30">
      <c r="A605" s="455" t="s">
        <v>14</v>
      </c>
      <c r="B605" s="83" t="s">
        <v>521</v>
      </c>
      <c r="D605" s="5"/>
      <c r="E605" s="141"/>
      <c r="F605" s="141"/>
      <c r="G605" s="141"/>
      <c r="H605" s="614"/>
      <c r="I605" s="517">
        <v>0</v>
      </c>
      <c r="J605" s="517">
        <v>0</v>
      </c>
      <c r="K605" s="517">
        <v>0</v>
      </c>
      <c r="L605" s="517">
        <v>0</v>
      </c>
      <c r="M605" s="517">
        <v>0</v>
      </c>
      <c r="N605" s="517">
        <v>0</v>
      </c>
      <c r="O605" s="517">
        <v>0</v>
      </c>
      <c r="P605" s="517">
        <v>0</v>
      </c>
      <c r="Q605" s="517">
        <v>0</v>
      </c>
      <c r="R605" s="517">
        <v>0</v>
      </c>
      <c r="S605" s="517">
        <v>0</v>
      </c>
      <c r="T605" s="517">
        <v>0</v>
      </c>
      <c r="U605" s="517">
        <v>0</v>
      </c>
      <c r="V605" s="517">
        <v>0</v>
      </c>
      <c r="W605" s="517">
        <v>0</v>
      </c>
      <c r="X605" s="517">
        <v>0</v>
      </c>
      <c r="Y605" s="517">
        <v>0</v>
      </c>
      <c r="Z605" s="517">
        <v>0</v>
      </c>
      <c r="AA605" s="517">
        <v>0</v>
      </c>
      <c r="AB605" s="517">
        <v>0</v>
      </c>
      <c r="AC605" s="517">
        <v>0</v>
      </c>
    </row>
    <row r="606" spans="1:30">
      <c r="A606" s="455"/>
      <c r="B606" s="83" t="s">
        <v>517</v>
      </c>
      <c r="D606" s="5"/>
      <c r="E606" s="141"/>
      <c r="F606" s="141"/>
      <c r="G606" s="141"/>
      <c r="H606" s="614"/>
      <c r="I606" s="667">
        <v>1</v>
      </c>
      <c r="J606" s="667">
        <f t="shared" ref="J606:AC606" si="281">I606</f>
        <v>1</v>
      </c>
      <c r="K606" s="667">
        <f t="shared" si="281"/>
        <v>1</v>
      </c>
      <c r="L606" s="667">
        <f t="shared" si="281"/>
        <v>1</v>
      </c>
      <c r="M606" s="667">
        <f t="shared" si="281"/>
        <v>1</v>
      </c>
      <c r="N606" s="667">
        <f t="shared" si="281"/>
        <v>1</v>
      </c>
      <c r="O606" s="667">
        <f t="shared" si="281"/>
        <v>1</v>
      </c>
      <c r="P606" s="667">
        <f t="shared" si="281"/>
        <v>1</v>
      </c>
      <c r="Q606" s="667">
        <f t="shared" si="281"/>
        <v>1</v>
      </c>
      <c r="R606" s="667">
        <f t="shared" si="281"/>
        <v>1</v>
      </c>
      <c r="S606" s="667">
        <f t="shared" si="281"/>
        <v>1</v>
      </c>
      <c r="T606" s="667">
        <f t="shared" si="281"/>
        <v>1</v>
      </c>
      <c r="U606" s="667">
        <f t="shared" si="281"/>
        <v>1</v>
      </c>
      <c r="V606" s="667">
        <f t="shared" si="281"/>
        <v>1</v>
      </c>
      <c r="W606" s="667">
        <f t="shared" si="281"/>
        <v>1</v>
      </c>
      <c r="X606" s="667">
        <f t="shared" si="281"/>
        <v>1</v>
      </c>
      <c r="Y606" s="667">
        <f t="shared" si="281"/>
        <v>1</v>
      </c>
      <c r="Z606" s="667">
        <f t="shared" si="281"/>
        <v>1</v>
      </c>
      <c r="AA606" s="667">
        <f t="shared" si="281"/>
        <v>1</v>
      </c>
      <c r="AB606" s="667">
        <f t="shared" si="281"/>
        <v>1</v>
      </c>
      <c r="AC606" s="667">
        <f t="shared" si="281"/>
        <v>1</v>
      </c>
    </row>
    <row r="607" spans="1:30">
      <c r="B607" s="83" t="s">
        <v>522</v>
      </c>
      <c r="D607" s="5"/>
      <c r="E607" s="141"/>
      <c r="F607" s="141"/>
      <c r="G607" s="141"/>
      <c r="H607" s="623"/>
      <c r="I607" s="666">
        <f>+I605*I606</f>
        <v>0</v>
      </c>
      <c r="J607" s="666">
        <f t="shared" ref="J607:Y607" si="282">+J605*J606</f>
        <v>0</v>
      </c>
      <c r="K607" s="666">
        <f t="shared" si="282"/>
        <v>0</v>
      </c>
      <c r="L607" s="666">
        <f t="shared" si="282"/>
        <v>0</v>
      </c>
      <c r="M607" s="666">
        <f t="shared" si="282"/>
        <v>0</v>
      </c>
      <c r="N607" s="666">
        <f t="shared" si="282"/>
        <v>0</v>
      </c>
      <c r="O607" s="666">
        <f t="shared" si="282"/>
        <v>0</v>
      </c>
      <c r="P607" s="666">
        <f t="shared" si="282"/>
        <v>0</v>
      </c>
      <c r="Q607" s="666">
        <f t="shared" si="282"/>
        <v>0</v>
      </c>
      <c r="R607" s="666">
        <f t="shared" si="282"/>
        <v>0</v>
      </c>
      <c r="S607" s="666">
        <f t="shared" si="282"/>
        <v>0</v>
      </c>
      <c r="T607" s="666">
        <f t="shared" si="282"/>
        <v>0</v>
      </c>
      <c r="U607" s="666">
        <f t="shared" si="282"/>
        <v>0</v>
      </c>
      <c r="V607" s="666">
        <f t="shared" si="282"/>
        <v>0</v>
      </c>
      <c r="W607" s="666">
        <f t="shared" si="282"/>
        <v>0</v>
      </c>
      <c r="X607" s="666">
        <f t="shared" si="282"/>
        <v>0</v>
      </c>
      <c r="Y607" s="666">
        <f t="shared" si="282"/>
        <v>0</v>
      </c>
      <c r="Z607" s="666">
        <f>+Z605*Z606</f>
        <v>0</v>
      </c>
      <c r="AA607" s="666">
        <f>+AA605*AA606</f>
        <v>0</v>
      </c>
      <c r="AB607" s="666">
        <f>+AB605*AB606</f>
        <v>0</v>
      </c>
      <c r="AC607" s="666">
        <f>+AC605*AC606</f>
        <v>0</v>
      </c>
    </row>
    <row r="608" spans="1:30">
      <c r="A608" s="455"/>
      <c r="B608" s="5" t="s">
        <v>181</v>
      </c>
      <c r="D608" s="5"/>
      <c r="E608" s="141"/>
      <c r="F608" s="141"/>
      <c r="G608" s="141"/>
      <c r="H608" s="623"/>
      <c r="I608" s="667">
        <v>1</v>
      </c>
      <c r="J608" s="667">
        <f t="shared" ref="J608:AC608" si="283">I608</f>
        <v>1</v>
      </c>
      <c r="K608" s="667">
        <f t="shared" si="283"/>
        <v>1</v>
      </c>
      <c r="L608" s="667">
        <f t="shared" si="283"/>
        <v>1</v>
      </c>
      <c r="M608" s="667">
        <f t="shared" si="283"/>
        <v>1</v>
      </c>
      <c r="N608" s="667">
        <f t="shared" si="283"/>
        <v>1</v>
      </c>
      <c r="O608" s="667">
        <f t="shared" si="283"/>
        <v>1</v>
      </c>
      <c r="P608" s="667">
        <f t="shared" si="283"/>
        <v>1</v>
      </c>
      <c r="Q608" s="667">
        <f t="shared" si="283"/>
        <v>1</v>
      </c>
      <c r="R608" s="667">
        <f t="shared" si="283"/>
        <v>1</v>
      </c>
      <c r="S608" s="667">
        <f t="shared" si="283"/>
        <v>1</v>
      </c>
      <c r="T608" s="667">
        <f t="shared" si="283"/>
        <v>1</v>
      </c>
      <c r="U608" s="667">
        <f t="shared" si="283"/>
        <v>1</v>
      </c>
      <c r="V608" s="667">
        <f t="shared" si="283"/>
        <v>1</v>
      </c>
      <c r="W608" s="667">
        <f t="shared" si="283"/>
        <v>1</v>
      </c>
      <c r="X608" s="667">
        <f t="shared" si="283"/>
        <v>1</v>
      </c>
      <c r="Y608" s="667">
        <f t="shared" si="283"/>
        <v>1</v>
      </c>
      <c r="Z608" s="667">
        <f t="shared" si="283"/>
        <v>1</v>
      </c>
      <c r="AA608" s="667">
        <f t="shared" si="283"/>
        <v>1</v>
      </c>
      <c r="AB608" s="667">
        <f t="shared" si="283"/>
        <v>1</v>
      </c>
      <c r="AC608" s="667">
        <f t="shared" si="283"/>
        <v>1</v>
      </c>
    </row>
    <row r="609" spans="1:29">
      <c r="B609" s="83" t="s">
        <v>187</v>
      </c>
      <c r="D609" s="5"/>
      <c r="E609" s="141"/>
      <c r="F609" s="141"/>
      <c r="G609" s="141"/>
      <c r="H609" s="623"/>
      <c r="I609" s="666">
        <f>+I607*I608</f>
        <v>0</v>
      </c>
      <c r="J609" s="666">
        <f t="shared" ref="J609:Y609" si="284">+J607*J608</f>
        <v>0</v>
      </c>
      <c r="K609" s="666">
        <f t="shared" si="284"/>
        <v>0</v>
      </c>
      <c r="L609" s="666">
        <f t="shared" si="284"/>
        <v>0</v>
      </c>
      <c r="M609" s="666">
        <f t="shared" si="284"/>
        <v>0</v>
      </c>
      <c r="N609" s="666">
        <f t="shared" si="284"/>
        <v>0</v>
      </c>
      <c r="O609" s="666">
        <f t="shared" si="284"/>
        <v>0</v>
      </c>
      <c r="P609" s="666">
        <f t="shared" si="284"/>
        <v>0</v>
      </c>
      <c r="Q609" s="666">
        <f t="shared" si="284"/>
        <v>0</v>
      </c>
      <c r="R609" s="666">
        <f t="shared" si="284"/>
        <v>0</v>
      </c>
      <c r="S609" s="666">
        <f t="shared" si="284"/>
        <v>0</v>
      </c>
      <c r="T609" s="666">
        <f t="shared" si="284"/>
        <v>0</v>
      </c>
      <c r="U609" s="666">
        <f t="shared" si="284"/>
        <v>0</v>
      </c>
      <c r="V609" s="666">
        <f t="shared" si="284"/>
        <v>0</v>
      </c>
      <c r="W609" s="666">
        <f t="shared" si="284"/>
        <v>0</v>
      </c>
      <c r="X609" s="666">
        <f t="shared" si="284"/>
        <v>0</v>
      </c>
      <c r="Y609" s="666">
        <f t="shared" si="284"/>
        <v>0</v>
      </c>
      <c r="Z609" s="666">
        <f>+Z607*Z608</f>
        <v>0</v>
      </c>
      <c r="AA609" s="666">
        <f>+AA607*AA608</f>
        <v>0</v>
      </c>
      <c r="AB609" s="666">
        <f>+AB607*AB608</f>
        <v>0</v>
      </c>
      <c r="AC609" s="666">
        <f>+AC607*AC608</f>
        <v>0</v>
      </c>
    </row>
    <row r="610" spans="1:29">
      <c r="A610" s="455"/>
      <c r="B610" s="339" t="s">
        <v>191</v>
      </c>
      <c r="D610" s="457" t="s">
        <v>164</v>
      </c>
      <c r="E610" s="458" t="s">
        <v>188</v>
      </c>
      <c r="F610" s="459" t="s">
        <v>189</v>
      </c>
      <c r="G610" s="459" t="s">
        <v>190</v>
      </c>
      <c r="H610" s="614"/>
      <c r="I610" s="623"/>
      <c r="J610" s="623"/>
      <c r="K610" s="623"/>
      <c r="L610" s="623"/>
      <c r="M610" s="623"/>
      <c r="N610" s="623"/>
      <c r="O610" s="623"/>
      <c r="P610" s="623"/>
      <c r="Q610" s="623"/>
      <c r="R610" s="623"/>
      <c r="S610" s="623"/>
      <c r="T610" s="623"/>
      <c r="U610" s="623"/>
      <c r="V610" s="623"/>
      <c r="W610" s="623"/>
      <c r="X610" s="623"/>
      <c r="Y610" s="623"/>
      <c r="Z610" s="623"/>
      <c r="AA610" s="623"/>
      <c r="AB610" s="623"/>
      <c r="AC610" s="623"/>
    </row>
    <row r="611" spans="1:29">
      <c r="A611" s="455"/>
      <c r="D611" s="502" t="s">
        <v>19</v>
      </c>
      <c r="E611" s="581"/>
      <c r="F611" s="581"/>
      <c r="G611" s="581"/>
      <c r="H611" s="614"/>
      <c r="I611" s="526">
        <v>1</v>
      </c>
      <c r="J611" s="526">
        <v>1</v>
      </c>
      <c r="K611" s="526">
        <v>1</v>
      </c>
      <c r="L611" s="526">
        <v>1</v>
      </c>
      <c r="M611" s="526">
        <v>1</v>
      </c>
      <c r="N611" s="526">
        <v>1</v>
      </c>
      <c r="O611" s="526">
        <v>1</v>
      </c>
      <c r="P611" s="526">
        <v>1</v>
      </c>
      <c r="Q611" s="526">
        <v>1</v>
      </c>
      <c r="R611" s="526">
        <v>1</v>
      </c>
      <c r="S611" s="526">
        <v>1</v>
      </c>
      <c r="T611" s="526">
        <v>1</v>
      </c>
      <c r="U611" s="526">
        <v>1</v>
      </c>
      <c r="V611" s="526">
        <v>1</v>
      </c>
      <c r="W611" s="526">
        <v>1</v>
      </c>
      <c r="X611" s="526">
        <v>1</v>
      </c>
      <c r="Y611" s="526">
        <v>1</v>
      </c>
      <c r="Z611" s="526">
        <v>1</v>
      </c>
      <c r="AA611" s="526">
        <v>1</v>
      </c>
      <c r="AB611" s="526">
        <v>1</v>
      </c>
      <c r="AC611" s="526">
        <v>1</v>
      </c>
    </row>
    <row r="612" spans="1:29">
      <c r="A612" s="455"/>
      <c r="B612" s="83" t="s">
        <v>192</v>
      </c>
      <c r="D612" s="5"/>
      <c r="I612" s="615">
        <f>+I611*I609</f>
        <v>0</v>
      </c>
      <c r="J612" s="615">
        <f t="shared" ref="J612:Y612" si="285">+J611*J609</f>
        <v>0</v>
      </c>
      <c r="K612" s="615">
        <f t="shared" si="285"/>
        <v>0</v>
      </c>
      <c r="L612" s="615">
        <f t="shared" si="285"/>
        <v>0</v>
      </c>
      <c r="M612" s="615">
        <f t="shared" si="285"/>
        <v>0</v>
      </c>
      <c r="N612" s="615">
        <f t="shared" si="285"/>
        <v>0</v>
      </c>
      <c r="O612" s="615">
        <f t="shared" si="285"/>
        <v>0</v>
      </c>
      <c r="P612" s="615">
        <f t="shared" si="285"/>
        <v>0</v>
      </c>
      <c r="Q612" s="615">
        <f t="shared" si="285"/>
        <v>0</v>
      </c>
      <c r="R612" s="615">
        <f t="shared" si="285"/>
        <v>0</v>
      </c>
      <c r="S612" s="615">
        <f t="shared" si="285"/>
        <v>0</v>
      </c>
      <c r="T612" s="615">
        <f t="shared" si="285"/>
        <v>0</v>
      </c>
      <c r="U612" s="615">
        <f t="shared" si="285"/>
        <v>0</v>
      </c>
      <c r="V612" s="615">
        <f t="shared" si="285"/>
        <v>0</v>
      </c>
      <c r="W612" s="615">
        <f t="shared" si="285"/>
        <v>0</v>
      </c>
      <c r="X612" s="615">
        <f t="shared" si="285"/>
        <v>0</v>
      </c>
      <c r="Y612" s="615">
        <f t="shared" si="285"/>
        <v>0</v>
      </c>
      <c r="Z612" s="615">
        <f>+Z611*Z609</f>
        <v>0</v>
      </c>
      <c r="AA612" s="615">
        <f>+AA611*AA609</f>
        <v>0</v>
      </c>
      <c r="AB612" s="615">
        <f>+AB611*AB609</f>
        <v>0</v>
      </c>
      <c r="AC612" s="615">
        <f>+AC611*AC609</f>
        <v>0</v>
      </c>
    </row>
    <row r="613" spans="1:29">
      <c r="A613" s="455"/>
      <c r="B613" s="83"/>
      <c r="D613" s="5"/>
      <c r="I613" s="623"/>
      <c r="J613" s="623"/>
      <c r="K613" s="623"/>
      <c r="L613" s="623"/>
      <c r="M613" s="623"/>
      <c r="N613" s="623"/>
      <c r="O613" s="623"/>
      <c r="P613" s="623"/>
      <c r="Q613" s="623"/>
      <c r="R613" s="623"/>
      <c r="S613" s="623"/>
      <c r="T613" s="623"/>
      <c r="U613" s="623"/>
      <c r="V613" s="623"/>
      <c r="W613" s="623"/>
      <c r="X613" s="623"/>
      <c r="Y613" s="623"/>
      <c r="Z613" s="623"/>
      <c r="AA613" s="623"/>
      <c r="AB613" s="623"/>
      <c r="AC613" s="623"/>
    </row>
    <row r="614" spans="1:29">
      <c r="A614" s="455"/>
      <c r="B614" s="83" t="s">
        <v>523</v>
      </c>
      <c r="D614" s="219">
        <v>5</v>
      </c>
      <c r="I614" s="528">
        <f t="shared" ref="I614:AC614" si="286">IF($D614=1,I$197,IF($D614=2,I$200,IF($D614=3,I$202,IF($D614=4,I$204,IF($D614=5,I$206,I$197)))))</f>
        <v>0</v>
      </c>
      <c r="J614" s="528">
        <f t="shared" ca="1" si="286"/>
        <v>2.2389999999999999</v>
      </c>
      <c r="K614" s="528">
        <f t="shared" ca="1" si="286"/>
        <v>2.0167499999999996</v>
      </c>
      <c r="L614" s="528">
        <f t="shared" ca="1" si="286"/>
        <v>2.0158333333333331</v>
      </c>
      <c r="M614" s="528">
        <f t="shared" ca="1" si="286"/>
        <v>2.0045833333333336</v>
      </c>
      <c r="N614" s="528">
        <f t="shared" ca="1" si="286"/>
        <v>2.0054166666666666</v>
      </c>
      <c r="O614" s="528">
        <f t="shared" ca="1" si="286"/>
        <v>2.0133333333333332</v>
      </c>
      <c r="P614" s="528">
        <f t="shared" ca="1" si="286"/>
        <v>2.0291666666666663</v>
      </c>
      <c r="Q614" s="528">
        <f t="shared" ca="1" si="286"/>
        <v>2.0549999999999997</v>
      </c>
      <c r="R614" s="528">
        <f t="shared" ca="1" si="286"/>
        <v>2.0966666666666662</v>
      </c>
      <c r="S614" s="528">
        <f t="shared" ca="1" si="286"/>
        <v>2.1583333333333328</v>
      </c>
      <c r="T614" s="528">
        <f t="shared" ca="1" si="286"/>
        <v>2.2399999999999993</v>
      </c>
      <c r="U614" s="528">
        <f t="shared" ca="1" si="286"/>
        <v>2.3416666666666663</v>
      </c>
      <c r="V614" s="528">
        <f t="shared" ca="1" si="286"/>
        <v>2.4574999999999991</v>
      </c>
      <c r="W614" s="528">
        <f t="shared" ca="1" si="286"/>
        <v>2.5833333333333326</v>
      </c>
      <c r="X614" s="528">
        <f t="shared" ca="1" si="286"/>
        <v>2.7191666666666663</v>
      </c>
      <c r="Y614" s="528">
        <f t="shared" ca="1" si="286"/>
        <v>2.8649999999999998</v>
      </c>
      <c r="Z614" s="528">
        <f t="shared" ca="1" si="286"/>
        <v>3.0208333333333326</v>
      </c>
      <c r="AA614" s="528">
        <f t="shared" ca="1" si="286"/>
        <v>3.186666666666667</v>
      </c>
      <c r="AB614" s="528">
        <f t="shared" ca="1" si="286"/>
        <v>3.3625000000000003</v>
      </c>
      <c r="AC614" s="528">
        <f t="shared" ca="1" si="286"/>
        <v>3.5483333333333325</v>
      </c>
    </row>
    <row r="615" spans="1:29">
      <c r="A615" s="455"/>
      <c r="B615" s="83" t="s">
        <v>184</v>
      </c>
      <c r="D615" s="5"/>
      <c r="E615" s="444"/>
      <c r="F615" s="444"/>
      <c r="G615" s="444"/>
      <c r="H615" s="445"/>
      <c r="I615" s="526">
        <v>0</v>
      </c>
      <c r="J615" s="526">
        <v>0</v>
      </c>
      <c r="K615" s="526">
        <v>0</v>
      </c>
      <c r="L615" s="526">
        <v>0</v>
      </c>
      <c r="M615" s="526">
        <v>0</v>
      </c>
      <c r="N615" s="526">
        <v>0</v>
      </c>
      <c r="O615" s="526">
        <v>0</v>
      </c>
      <c r="P615" s="526">
        <v>0</v>
      </c>
      <c r="Q615" s="526">
        <v>0</v>
      </c>
      <c r="R615" s="526">
        <v>0</v>
      </c>
      <c r="S615" s="526">
        <v>0</v>
      </c>
      <c r="T615" s="526">
        <v>0</v>
      </c>
      <c r="U615" s="526">
        <v>0</v>
      </c>
      <c r="V615" s="526">
        <v>0</v>
      </c>
      <c r="W615" s="526">
        <v>0</v>
      </c>
      <c r="X615" s="526">
        <v>0</v>
      </c>
      <c r="Y615" s="526">
        <v>0</v>
      </c>
      <c r="Z615" s="526">
        <v>0</v>
      </c>
      <c r="AA615" s="526">
        <v>0</v>
      </c>
      <c r="AB615" s="526">
        <v>0</v>
      </c>
      <c r="AC615" s="526">
        <v>0</v>
      </c>
    </row>
    <row r="616" spans="1:29">
      <c r="A616" s="455"/>
      <c r="B616" s="83" t="s">
        <v>194</v>
      </c>
      <c r="D616" s="5"/>
      <c r="I616" s="532">
        <f>+I614+I615</f>
        <v>0</v>
      </c>
      <c r="J616" s="532">
        <f t="shared" ref="J616:Y616" ca="1" si="287">+J614+J615</f>
        <v>2.2389999999999999</v>
      </c>
      <c r="K616" s="532">
        <f t="shared" ca="1" si="287"/>
        <v>2.0167499999999996</v>
      </c>
      <c r="L616" s="532">
        <f t="shared" ca="1" si="287"/>
        <v>2.0158333333333331</v>
      </c>
      <c r="M616" s="532">
        <f t="shared" ca="1" si="287"/>
        <v>2.0045833333333336</v>
      </c>
      <c r="N616" s="532">
        <f t="shared" ca="1" si="287"/>
        <v>2.0054166666666666</v>
      </c>
      <c r="O616" s="532">
        <f t="shared" ca="1" si="287"/>
        <v>2.0133333333333332</v>
      </c>
      <c r="P616" s="532">
        <f t="shared" ca="1" si="287"/>
        <v>2.0291666666666663</v>
      </c>
      <c r="Q616" s="532">
        <f t="shared" ca="1" si="287"/>
        <v>2.0549999999999997</v>
      </c>
      <c r="R616" s="532">
        <f t="shared" ca="1" si="287"/>
        <v>2.0966666666666662</v>
      </c>
      <c r="S616" s="532">
        <f t="shared" ca="1" si="287"/>
        <v>2.1583333333333328</v>
      </c>
      <c r="T616" s="532">
        <f t="shared" ca="1" si="287"/>
        <v>2.2399999999999993</v>
      </c>
      <c r="U616" s="532">
        <f t="shared" ca="1" si="287"/>
        <v>2.3416666666666663</v>
      </c>
      <c r="V616" s="532">
        <f t="shared" ca="1" si="287"/>
        <v>2.4574999999999991</v>
      </c>
      <c r="W616" s="532">
        <f t="shared" ca="1" si="287"/>
        <v>2.5833333333333326</v>
      </c>
      <c r="X616" s="532">
        <f t="shared" ca="1" si="287"/>
        <v>2.7191666666666663</v>
      </c>
      <c r="Y616" s="532">
        <f t="shared" ca="1" si="287"/>
        <v>2.8649999999999998</v>
      </c>
      <c r="Z616" s="532">
        <f ca="1">+Z614+Z615</f>
        <v>3.0208333333333326</v>
      </c>
      <c r="AA616" s="532">
        <f ca="1">+AA614+AA615</f>
        <v>3.186666666666667</v>
      </c>
      <c r="AB616" s="532">
        <f ca="1">+AB614+AB615</f>
        <v>3.3625000000000003</v>
      </c>
      <c r="AC616" s="532">
        <f ca="1">+AC614+AC615</f>
        <v>3.5483333333333325</v>
      </c>
    </row>
    <row r="617" spans="1:29">
      <c r="A617" s="455"/>
      <c r="B617" s="5" t="str">
        <f>+"Gas Revenues ($"&amp;$F$5</f>
        <v>Gas Revenues ($Thousands)</v>
      </c>
      <c r="D617" s="5"/>
      <c r="I617" s="615">
        <f>I612*1000*I616/unit</f>
        <v>0</v>
      </c>
      <c r="J617" s="615">
        <f t="shared" ref="J617:Y617" ca="1" si="288">J612*1000*J616/unit</f>
        <v>0</v>
      </c>
      <c r="K617" s="615">
        <f t="shared" ca="1" si="288"/>
        <v>0</v>
      </c>
      <c r="L617" s="615">
        <f t="shared" ca="1" si="288"/>
        <v>0</v>
      </c>
      <c r="M617" s="615">
        <f t="shared" ca="1" si="288"/>
        <v>0</v>
      </c>
      <c r="N617" s="615">
        <f t="shared" ca="1" si="288"/>
        <v>0</v>
      </c>
      <c r="O617" s="615">
        <f t="shared" ca="1" si="288"/>
        <v>0</v>
      </c>
      <c r="P617" s="615">
        <f t="shared" ca="1" si="288"/>
        <v>0</v>
      </c>
      <c r="Q617" s="615">
        <f t="shared" ca="1" si="288"/>
        <v>0</v>
      </c>
      <c r="R617" s="615">
        <f t="shared" ca="1" si="288"/>
        <v>0</v>
      </c>
      <c r="S617" s="615">
        <f t="shared" ca="1" si="288"/>
        <v>0</v>
      </c>
      <c r="T617" s="615">
        <f t="shared" ca="1" si="288"/>
        <v>0</v>
      </c>
      <c r="U617" s="615">
        <f t="shared" ca="1" si="288"/>
        <v>0</v>
      </c>
      <c r="V617" s="615">
        <f t="shared" ca="1" si="288"/>
        <v>0</v>
      </c>
      <c r="W617" s="615">
        <f t="shared" ca="1" si="288"/>
        <v>0</v>
      </c>
      <c r="X617" s="615">
        <f t="shared" ca="1" si="288"/>
        <v>0</v>
      </c>
      <c r="Y617" s="615">
        <f t="shared" ca="1" si="288"/>
        <v>0</v>
      </c>
      <c r="Z617" s="615">
        <f ca="1">Z612*1000*Z616/unit</f>
        <v>0</v>
      </c>
      <c r="AA617" s="615">
        <f ca="1">AA612*1000*AA616/unit</f>
        <v>0</v>
      </c>
      <c r="AB617" s="615">
        <f ca="1">AB612*1000*AB616/unit</f>
        <v>0</v>
      </c>
      <c r="AC617" s="615">
        <f ca="1">AC612*1000*AC616/unit</f>
        <v>0</v>
      </c>
    </row>
    <row r="618" spans="1:29">
      <c r="A618" s="455"/>
      <c r="B618" s="5"/>
      <c r="D618" s="5"/>
      <c r="E618" s="141"/>
      <c r="F618" s="141"/>
      <c r="G618" s="141"/>
      <c r="H618" s="614"/>
      <c r="I618" s="623"/>
      <c r="J618" s="623"/>
      <c r="K618" s="623"/>
      <c r="L618" s="623"/>
      <c r="M618" s="623"/>
      <c r="N618" s="623"/>
      <c r="O618" s="623"/>
      <c r="P618" s="623"/>
      <c r="Q618" s="623"/>
      <c r="R618" s="623"/>
      <c r="S618" s="623"/>
      <c r="T618" s="623"/>
      <c r="U618" s="623"/>
      <c r="V618" s="623"/>
      <c r="W618" s="623"/>
      <c r="X618" s="623"/>
      <c r="Y618" s="624"/>
      <c r="Z618" s="624"/>
      <c r="AA618" s="624"/>
      <c r="AB618" s="624"/>
      <c r="AC618" s="624"/>
    </row>
    <row r="619" spans="1:29">
      <c r="A619" s="455" t="s">
        <v>524</v>
      </c>
      <c r="B619" s="5" t="s">
        <v>525</v>
      </c>
      <c r="D619" s="5"/>
      <c r="E619" s="141"/>
      <c r="F619" s="141"/>
      <c r="G619" s="141"/>
      <c r="H619" s="614"/>
      <c r="I619" s="517">
        <v>0</v>
      </c>
      <c r="J619" s="517">
        <v>0</v>
      </c>
      <c r="K619" s="517">
        <v>0</v>
      </c>
      <c r="L619" s="517">
        <v>0</v>
      </c>
      <c r="M619" s="517">
        <v>0</v>
      </c>
      <c r="N619" s="517">
        <v>0</v>
      </c>
      <c r="O619" s="517">
        <v>0</v>
      </c>
      <c r="P619" s="517">
        <v>0</v>
      </c>
      <c r="Q619" s="517">
        <v>0</v>
      </c>
      <c r="R619" s="517">
        <v>0</v>
      </c>
      <c r="S619" s="517">
        <v>0</v>
      </c>
      <c r="T619" s="517">
        <v>0</v>
      </c>
      <c r="U619" s="517">
        <v>0</v>
      </c>
      <c r="V619" s="517">
        <v>0</v>
      </c>
      <c r="W619" s="517">
        <v>0</v>
      </c>
      <c r="X619" s="517">
        <v>0</v>
      </c>
      <c r="Y619" s="517">
        <v>0</v>
      </c>
      <c r="Z619" s="517">
        <v>0</v>
      </c>
      <c r="AA619" s="517">
        <v>0</v>
      </c>
      <c r="AB619" s="517">
        <v>0</v>
      </c>
      <c r="AC619" s="517">
        <v>0</v>
      </c>
    </row>
    <row r="620" spans="1:29">
      <c r="A620" s="455"/>
      <c r="B620" s="83" t="s">
        <v>517</v>
      </c>
      <c r="D620" s="5"/>
      <c r="E620" s="141"/>
      <c r="F620" s="141"/>
      <c r="G620" s="141"/>
      <c r="H620" s="614"/>
      <c r="I620" s="667">
        <v>1</v>
      </c>
      <c r="J620" s="667">
        <f t="shared" ref="J620:AC620" si="289">I620</f>
        <v>1</v>
      </c>
      <c r="K620" s="667">
        <f t="shared" si="289"/>
        <v>1</v>
      </c>
      <c r="L620" s="667">
        <f t="shared" si="289"/>
        <v>1</v>
      </c>
      <c r="M620" s="667">
        <f t="shared" si="289"/>
        <v>1</v>
      </c>
      <c r="N620" s="667">
        <f t="shared" si="289"/>
        <v>1</v>
      </c>
      <c r="O620" s="667">
        <f t="shared" si="289"/>
        <v>1</v>
      </c>
      <c r="P620" s="667">
        <f t="shared" si="289"/>
        <v>1</v>
      </c>
      <c r="Q620" s="667">
        <f t="shared" si="289"/>
        <v>1</v>
      </c>
      <c r="R620" s="667">
        <f t="shared" si="289"/>
        <v>1</v>
      </c>
      <c r="S620" s="667">
        <f t="shared" si="289"/>
        <v>1</v>
      </c>
      <c r="T620" s="667">
        <f t="shared" si="289"/>
        <v>1</v>
      </c>
      <c r="U620" s="667">
        <f t="shared" si="289"/>
        <v>1</v>
      </c>
      <c r="V620" s="667">
        <f t="shared" si="289"/>
        <v>1</v>
      </c>
      <c r="W620" s="667">
        <f t="shared" si="289"/>
        <v>1</v>
      </c>
      <c r="X620" s="667">
        <f t="shared" si="289"/>
        <v>1</v>
      </c>
      <c r="Y620" s="667">
        <f t="shared" si="289"/>
        <v>1</v>
      </c>
      <c r="Z620" s="667">
        <f t="shared" si="289"/>
        <v>1</v>
      </c>
      <c r="AA620" s="667">
        <f t="shared" si="289"/>
        <v>1</v>
      </c>
      <c r="AB620" s="667">
        <f t="shared" si="289"/>
        <v>1</v>
      </c>
      <c r="AC620" s="667">
        <f t="shared" si="289"/>
        <v>1</v>
      </c>
    </row>
    <row r="621" spans="1:29">
      <c r="B621" s="83" t="s">
        <v>526</v>
      </c>
      <c r="D621" s="5"/>
      <c r="E621" s="418"/>
      <c r="F621" s="418"/>
      <c r="G621" s="418"/>
      <c r="H621" s="623"/>
      <c r="I621" s="666">
        <f>+I619*I620</f>
        <v>0</v>
      </c>
      <c r="J621" s="666">
        <f t="shared" ref="J621:Y621" si="290">+J619*J620</f>
        <v>0</v>
      </c>
      <c r="K621" s="666">
        <f t="shared" si="290"/>
        <v>0</v>
      </c>
      <c r="L621" s="666">
        <f t="shared" si="290"/>
        <v>0</v>
      </c>
      <c r="M621" s="666">
        <f t="shared" si="290"/>
        <v>0</v>
      </c>
      <c r="N621" s="666">
        <f t="shared" si="290"/>
        <v>0</v>
      </c>
      <c r="O621" s="666">
        <f t="shared" si="290"/>
        <v>0</v>
      </c>
      <c r="P621" s="666">
        <f t="shared" si="290"/>
        <v>0</v>
      </c>
      <c r="Q621" s="666">
        <f t="shared" si="290"/>
        <v>0</v>
      </c>
      <c r="R621" s="666">
        <f t="shared" si="290"/>
        <v>0</v>
      </c>
      <c r="S621" s="666">
        <f t="shared" si="290"/>
        <v>0</v>
      </c>
      <c r="T621" s="666">
        <f t="shared" si="290"/>
        <v>0</v>
      </c>
      <c r="U621" s="666">
        <f t="shared" si="290"/>
        <v>0</v>
      </c>
      <c r="V621" s="666">
        <f t="shared" si="290"/>
        <v>0</v>
      </c>
      <c r="W621" s="666">
        <f t="shared" si="290"/>
        <v>0</v>
      </c>
      <c r="X621" s="666">
        <f t="shared" si="290"/>
        <v>0</v>
      </c>
      <c r="Y621" s="666">
        <f t="shared" si="290"/>
        <v>0</v>
      </c>
      <c r="Z621" s="666">
        <f>+Z619*Z620</f>
        <v>0</v>
      </c>
      <c r="AA621" s="666">
        <f>+AA619*AA620</f>
        <v>0</v>
      </c>
      <c r="AB621" s="666">
        <f>+AB619*AB620</f>
        <v>0</v>
      </c>
      <c r="AC621" s="666">
        <f>+AC619*AC620</f>
        <v>0</v>
      </c>
    </row>
    <row r="622" spans="1:29">
      <c r="A622" s="455"/>
      <c r="B622" s="5" t="s">
        <v>181</v>
      </c>
      <c r="D622" s="5"/>
      <c r="E622" s="418"/>
      <c r="F622" s="418"/>
      <c r="G622" s="418"/>
      <c r="H622" s="623"/>
      <c r="I622" s="667">
        <v>1</v>
      </c>
      <c r="J622" s="667">
        <f t="shared" ref="J622:AC622" si="291">I622</f>
        <v>1</v>
      </c>
      <c r="K622" s="667">
        <f t="shared" si="291"/>
        <v>1</v>
      </c>
      <c r="L622" s="667">
        <f t="shared" si="291"/>
        <v>1</v>
      </c>
      <c r="M622" s="667">
        <f t="shared" si="291"/>
        <v>1</v>
      </c>
      <c r="N622" s="667">
        <f t="shared" si="291"/>
        <v>1</v>
      </c>
      <c r="O622" s="667">
        <f t="shared" si="291"/>
        <v>1</v>
      </c>
      <c r="P622" s="667">
        <f t="shared" si="291"/>
        <v>1</v>
      </c>
      <c r="Q622" s="667">
        <f t="shared" si="291"/>
        <v>1</v>
      </c>
      <c r="R622" s="667">
        <f t="shared" si="291"/>
        <v>1</v>
      </c>
      <c r="S622" s="667">
        <f t="shared" si="291"/>
        <v>1</v>
      </c>
      <c r="T622" s="667">
        <f t="shared" si="291"/>
        <v>1</v>
      </c>
      <c r="U622" s="667">
        <f t="shared" si="291"/>
        <v>1</v>
      </c>
      <c r="V622" s="667">
        <f t="shared" si="291"/>
        <v>1</v>
      </c>
      <c r="W622" s="667">
        <f t="shared" si="291"/>
        <v>1</v>
      </c>
      <c r="X622" s="667">
        <f t="shared" si="291"/>
        <v>1</v>
      </c>
      <c r="Y622" s="667">
        <f t="shared" si="291"/>
        <v>1</v>
      </c>
      <c r="Z622" s="667">
        <f t="shared" si="291"/>
        <v>1</v>
      </c>
      <c r="AA622" s="667">
        <f t="shared" si="291"/>
        <v>1</v>
      </c>
      <c r="AB622" s="667">
        <f t="shared" si="291"/>
        <v>1</v>
      </c>
      <c r="AC622" s="667">
        <f t="shared" si="291"/>
        <v>1</v>
      </c>
    </row>
    <row r="623" spans="1:29">
      <c r="B623" s="83" t="s">
        <v>527</v>
      </c>
      <c r="D623" s="5"/>
      <c r="I623" s="666">
        <f>+I621*I622</f>
        <v>0</v>
      </c>
      <c r="J623" s="666">
        <f t="shared" ref="J623:Y623" si="292">+J621*J622</f>
        <v>0</v>
      </c>
      <c r="K623" s="666">
        <f t="shared" si="292"/>
        <v>0</v>
      </c>
      <c r="L623" s="666">
        <f t="shared" si="292"/>
        <v>0</v>
      </c>
      <c r="M623" s="666">
        <f t="shared" si="292"/>
        <v>0</v>
      </c>
      <c r="N623" s="666">
        <f t="shared" si="292"/>
        <v>0</v>
      </c>
      <c r="O623" s="666">
        <f t="shared" si="292"/>
        <v>0</v>
      </c>
      <c r="P623" s="666">
        <f t="shared" si="292"/>
        <v>0</v>
      </c>
      <c r="Q623" s="666">
        <f t="shared" si="292"/>
        <v>0</v>
      </c>
      <c r="R623" s="666">
        <f t="shared" si="292"/>
        <v>0</v>
      </c>
      <c r="S623" s="666">
        <f t="shared" si="292"/>
        <v>0</v>
      </c>
      <c r="T623" s="666">
        <f t="shared" si="292"/>
        <v>0</v>
      </c>
      <c r="U623" s="666">
        <f t="shared" si="292"/>
        <v>0</v>
      </c>
      <c r="V623" s="666">
        <f t="shared" si="292"/>
        <v>0</v>
      </c>
      <c r="W623" s="666">
        <f t="shared" si="292"/>
        <v>0</v>
      </c>
      <c r="X623" s="666">
        <f t="shared" si="292"/>
        <v>0</v>
      </c>
      <c r="Y623" s="666">
        <f t="shared" si="292"/>
        <v>0</v>
      </c>
      <c r="Z623" s="666">
        <f>+Z621*Z622</f>
        <v>0</v>
      </c>
      <c r="AA623" s="666">
        <f>+AA621*AA622</f>
        <v>0</v>
      </c>
      <c r="AB623" s="666">
        <f>+AB621*AB622</f>
        <v>0</v>
      </c>
      <c r="AC623" s="666">
        <f>+AC621*AC622</f>
        <v>0</v>
      </c>
    </row>
    <row r="624" spans="1:29">
      <c r="D624" s="5"/>
    </row>
    <row r="625" spans="1:29">
      <c r="A625" s="15"/>
      <c r="B625" s="83" t="s">
        <v>528</v>
      </c>
      <c r="D625" s="219">
        <v>1</v>
      </c>
      <c r="I625" s="518">
        <f t="shared" ref="I625:AC625" si="293">IF($D625=1,I$227,IF($D625=2,I$230,IF($D625=3,I$232,IF($D625=4,I$234,IF($D625=5,I$236,I$227)))))</f>
        <v>0</v>
      </c>
      <c r="J625" s="518">
        <f t="shared" ca="1" si="293"/>
        <v>16.997552222222218</v>
      </c>
      <c r="K625" s="518">
        <f t="shared" ca="1" si="293"/>
        <v>14.999466666666665</v>
      </c>
      <c r="L625" s="518">
        <f t="shared" ca="1" si="293"/>
        <v>14.491101666666665</v>
      </c>
      <c r="M625" s="518">
        <f t="shared" ca="1" si="293"/>
        <v>14.5531825</v>
      </c>
      <c r="N625" s="518">
        <f t="shared" ca="1" si="293"/>
        <v>14.6748425</v>
      </c>
      <c r="O625" s="518">
        <f t="shared" ca="1" si="293"/>
        <v>14.797819166666669</v>
      </c>
      <c r="P625" s="518">
        <f t="shared" ca="1" si="293"/>
        <v>14.935871666666667</v>
      </c>
      <c r="Q625" s="518">
        <f t="shared" ca="1" si="293"/>
        <v>15.087551666666668</v>
      </c>
      <c r="R625" s="518">
        <f t="shared" ca="1" si="293"/>
        <v>15.247592499999998</v>
      </c>
      <c r="S625" s="518">
        <f t="shared" ca="1" si="293"/>
        <v>15.413295000000002</v>
      </c>
      <c r="T625" s="518">
        <f t="shared" ca="1" si="293"/>
        <v>15.578865833333339</v>
      </c>
      <c r="U625" s="518">
        <f t="shared" ca="1" si="293"/>
        <v>15.745029166666663</v>
      </c>
      <c r="V625" s="518">
        <f t="shared" ca="1" si="293"/>
        <v>15.910929166666664</v>
      </c>
      <c r="W625" s="518">
        <f t="shared" ca="1" si="293"/>
        <v>16.076697500000002</v>
      </c>
      <c r="X625" s="518">
        <f t="shared" ca="1" si="293"/>
        <v>16.46669416666667</v>
      </c>
      <c r="Y625" s="518">
        <f t="shared" ca="1" si="293"/>
        <v>16.848198333333336</v>
      </c>
      <c r="Z625" s="518">
        <f t="shared" ca="1" si="293"/>
        <v>17.085527499999994</v>
      </c>
      <c r="AA625" s="518">
        <f t="shared" ca="1" si="293"/>
        <v>17.322329999999997</v>
      </c>
      <c r="AB625" s="518">
        <f t="shared" ca="1" si="293"/>
        <v>17.55906666666667</v>
      </c>
      <c r="AC625" s="518">
        <f t="shared" ca="1" si="293"/>
        <v>17.737079999999999</v>
      </c>
    </row>
    <row r="626" spans="1:29">
      <c r="A626" s="15"/>
      <c r="B626" s="83" t="s">
        <v>184</v>
      </c>
      <c r="D626" s="5"/>
      <c r="I626" s="519">
        <v>0</v>
      </c>
      <c r="J626" s="519">
        <v>0</v>
      </c>
      <c r="K626" s="519">
        <v>0</v>
      </c>
      <c r="L626" s="519">
        <v>0</v>
      </c>
      <c r="M626" s="519">
        <v>0</v>
      </c>
      <c r="N626" s="519">
        <v>0</v>
      </c>
      <c r="O626" s="519">
        <v>0</v>
      </c>
      <c r="P626" s="519">
        <v>0</v>
      </c>
      <c r="Q626" s="519">
        <v>0</v>
      </c>
      <c r="R626" s="519">
        <v>0</v>
      </c>
      <c r="S626" s="519">
        <v>0</v>
      </c>
      <c r="T626" s="519">
        <v>0</v>
      </c>
      <c r="U626" s="519">
        <v>0</v>
      </c>
      <c r="V626" s="519">
        <v>0</v>
      </c>
      <c r="W626" s="519">
        <v>0</v>
      </c>
      <c r="X626" s="519">
        <v>0</v>
      </c>
      <c r="Y626" s="519">
        <v>0</v>
      </c>
      <c r="Z626" s="519">
        <v>0</v>
      </c>
      <c r="AA626" s="519">
        <v>0</v>
      </c>
      <c r="AB626" s="519">
        <v>0</v>
      </c>
      <c r="AC626" s="519">
        <v>0</v>
      </c>
    </row>
    <row r="627" spans="1:29">
      <c r="A627" s="15"/>
      <c r="B627" s="83" t="s">
        <v>529</v>
      </c>
      <c r="D627" s="5"/>
      <c r="I627" s="520">
        <f>+I625+I626</f>
        <v>0</v>
      </c>
      <c r="J627" s="520">
        <f t="shared" ref="J627:Y627" ca="1" si="294">+J625+J626</f>
        <v>16.997552222222218</v>
      </c>
      <c r="K627" s="520">
        <f t="shared" ca="1" si="294"/>
        <v>14.999466666666665</v>
      </c>
      <c r="L627" s="520">
        <f t="shared" ca="1" si="294"/>
        <v>14.491101666666665</v>
      </c>
      <c r="M627" s="520">
        <f t="shared" ca="1" si="294"/>
        <v>14.5531825</v>
      </c>
      <c r="N627" s="520">
        <f t="shared" ca="1" si="294"/>
        <v>14.6748425</v>
      </c>
      <c r="O627" s="520">
        <f t="shared" ca="1" si="294"/>
        <v>14.797819166666669</v>
      </c>
      <c r="P627" s="520">
        <f t="shared" ca="1" si="294"/>
        <v>14.935871666666667</v>
      </c>
      <c r="Q627" s="520">
        <f t="shared" ca="1" si="294"/>
        <v>15.087551666666668</v>
      </c>
      <c r="R627" s="520">
        <f t="shared" ca="1" si="294"/>
        <v>15.247592499999998</v>
      </c>
      <c r="S627" s="520">
        <f t="shared" ca="1" si="294"/>
        <v>15.413295000000002</v>
      </c>
      <c r="T627" s="520">
        <f t="shared" ca="1" si="294"/>
        <v>15.578865833333339</v>
      </c>
      <c r="U627" s="520">
        <f t="shared" ca="1" si="294"/>
        <v>15.745029166666663</v>
      </c>
      <c r="V627" s="520">
        <f t="shared" ca="1" si="294"/>
        <v>15.910929166666664</v>
      </c>
      <c r="W627" s="520">
        <f t="shared" ca="1" si="294"/>
        <v>16.076697500000002</v>
      </c>
      <c r="X627" s="520">
        <f t="shared" ca="1" si="294"/>
        <v>16.46669416666667</v>
      </c>
      <c r="Y627" s="520">
        <f t="shared" ca="1" si="294"/>
        <v>16.848198333333336</v>
      </c>
      <c r="Z627" s="520">
        <f ca="1">+Z625+Z626</f>
        <v>17.085527499999994</v>
      </c>
      <c r="AA627" s="520">
        <f ca="1">+AA625+AA626</f>
        <v>17.322329999999997</v>
      </c>
      <c r="AB627" s="520">
        <f ca="1">+AB625+AB626</f>
        <v>17.55906666666667</v>
      </c>
      <c r="AC627" s="520">
        <f ca="1">+AC625+AC626</f>
        <v>17.737079999999999</v>
      </c>
    </row>
    <row r="628" spans="1:29">
      <c r="A628" s="15"/>
      <c r="B628" s="5" t="s">
        <v>536</v>
      </c>
      <c r="D628" s="5"/>
      <c r="I628" s="615">
        <f t="shared" ref="I628:X628" si="295">I623*I627*1000/unit</f>
        <v>0</v>
      </c>
      <c r="J628" s="615">
        <f t="shared" ca="1" si="295"/>
        <v>0</v>
      </c>
      <c r="K628" s="615">
        <f t="shared" ca="1" si="295"/>
        <v>0</v>
      </c>
      <c r="L628" s="615">
        <f t="shared" ca="1" si="295"/>
        <v>0</v>
      </c>
      <c r="M628" s="615">
        <f t="shared" ca="1" si="295"/>
        <v>0</v>
      </c>
      <c r="N628" s="615">
        <f t="shared" ca="1" si="295"/>
        <v>0</v>
      </c>
      <c r="O628" s="615">
        <f t="shared" ca="1" si="295"/>
        <v>0</v>
      </c>
      <c r="P628" s="615">
        <f t="shared" ca="1" si="295"/>
        <v>0</v>
      </c>
      <c r="Q628" s="615">
        <f t="shared" ca="1" si="295"/>
        <v>0</v>
      </c>
      <c r="R628" s="615">
        <f t="shared" ca="1" si="295"/>
        <v>0</v>
      </c>
      <c r="S628" s="615">
        <f t="shared" ca="1" si="295"/>
        <v>0</v>
      </c>
      <c r="T628" s="615">
        <f t="shared" ca="1" si="295"/>
        <v>0</v>
      </c>
      <c r="U628" s="615">
        <f t="shared" ca="1" si="295"/>
        <v>0</v>
      </c>
      <c r="V628" s="615">
        <f t="shared" ca="1" si="295"/>
        <v>0</v>
      </c>
      <c r="W628" s="615">
        <f t="shared" ca="1" si="295"/>
        <v>0</v>
      </c>
      <c r="X628" s="615">
        <f t="shared" ca="1" si="295"/>
        <v>0</v>
      </c>
      <c r="Y628" s="615">
        <f ca="1">Y623*Y627*1000/unit</f>
        <v>0</v>
      </c>
      <c r="Z628" s="615">
        <f ca="1">Z623*Z627*1000/unit</f>
        <v>0</v>
      </c>
      <c r="AA628" s="615">
        <f ca="1">AA623*AA627*1000/unit</f>
        <v>0</v>
      </c>
      <c r="AB628" s="615">
        <f ca="1">AB623*AB627*1000/unit</f>
        <v>0</v>
      </c>
      <c r="AC628" s="615">
        <f ca="1">AC623*AC627*1000/unit</f>
        <v>0</v>
      </c>
    </row>
    <row r="629" spans="1:29">
      <c r="B629" s="5"/>
      <c r="D629" s="5"/>
      <c r="E629" s="418"/>
      <c r="F629" s="418"/>
      <c r="G629" s="418"/>
      <c r="H629" s="614"/>
      <c r="I629" s="623"/>
      <c r="J629" s="623"/>
      <c r="K629" s="623"/>
      <c r="L629" s="623"/>
      <c r="M629" s="623"/>
      <c r="N629" s="623"/>
      <c r="O629" s="623"/>
      <c r="P629" s="623"/>
      <c r="Q629" s="623"/>
      <c r="R629" s="623"/>
      <c r="S629" s="623"/>
      <c r="T629" s="623"/>
      <c r="U629" s="623"/>
      <c r="V629" s="623"/>
      <c r="W629" s="623"/>
      <c r="X629" s="623"/>
      <c r="Y629" s="624"/>
      <c r="Z629" s="624"/>
      <c r="AA629" s="624"/>
      <c r="AB629" s="624"/>
      <c r="AC629" s="624"/>
    </row>
    <row r="630" spans="1:29">
      <c r="A630" s="337" t="str">
        <f>+"Total Revenues - "&amp;C19</f>
        <v>Total Revenues - Class F Reserves</v>
      </c>
      <c r="D630" s="5"/>
      <c r="E630" s="484">
        <v>0</v>
      </c>
      <c r="F630" s="484">
        <v>0</v>
      </c>
      <c r="G630" s="484">
        <v>0</v>
      </c>
      <c r="H630" s="218">
        <f t="shared" ref="H630:W630" si="296">H617+H603+H628</f>
        <v>0</v>
      </c>
      <c r="I630" s="623">
        <f t="shared" si="296"/>
        <v>0</v>
      </c>
      <c r="J630" s="623">
        <f t="shared" ca="1" si="296"/>
        <v>0</v>
      </c>
      <c r="K630" s="623">
        <f t="shared" ca="1" si="296"/>
        <v>0</v>
      </c>
      <c r="L630" s="623">
        <f t="shared" ca="1" si="296"/>
        <v>0</v>
      </c>
      <c r="M630" s="623">
        <f t="shared" ca="1" si="296"/>
        <v>0</v>
      </c>
      <c r="N630" s="623">
        <f t="shared" ca="1" si="296"/>
        <v>0</v>
      </c>
      <c r="O630" s="623">
        <f t="shared" ca="1" si="296"/>
        <v>0</v>
      </c>
      <c r="P630" s="623">
        <f t="shared" ca="1" si="296"/>
        <v>0</v>
      </c>
      <c r="Q630" s="623">
        <f t="shared" ca="1" si="296"/>
        <v>0</v>
      </c>
      <c r="R630" s="623">
        <f t="shared" ca="1" si="296"/>
        <v>0</v>
      </c>
      <c r="S630" s="623">
        <f t="shared" ca="1" si="296"/>
        <v>0</v>
      </c>
      <c r="T630" s="623">
        <f t="shared" ca="1" si="296"/>
        <v>0</v>
      </c>
      <c r="U630" s="623">
        <f t="shared" ca="1" si="296"/>
        <v>0</v>
      </c>
      <c r="V630" s="623">
        <f t="shared" ca="1" si="296"/>
        <v>0</v>
      </c>
      <c r="W630" s="623">
        <f t="shared" ca="1" si="296"/>
        <v>0</v>
      </c>
      <c r="X630" s="623">
        <f t="shared" ref="X630:AC630" ca="1" si="297">X617+X603+X628</f>
        <v>0</v>
      </c>
      <c r="Y630" s="623">
        <f t="shared" ca="1" si="297"/>
        <v>0</v>
      </c>
      <c r="Z630" s="623">
        <f t="shared" ca="1" si="297"/>
        <v>0</v>
      </c>
      <c r="AA630" s="623">
        <f t="shared" ca="1" si="297"/>
        <v>0</v>
      </c>
      <c r="AB630" s="623">
        <f t="shared" ca="1" si="297"/>
        <v>0</v>
      </c>
      <c r="AC630" s="623">
        <f t="shared" ca="1" si="297"/>
        <v>0</v>
      </c>
    </row>
    <row r="631" spans="1:29" ht="12" thickBot="1">
      <c r="A631" s="15"/>
      <c r="B631" s="5"/>
      <c r="D631" s="5"/>
      <c r="E631" s="141"/>
      <c r="F631" s="141"/>
      <c r="G631" s="141"/>
      <c r="H631" s="614"/>
      <c r="I631" s="623"/>
      <c r="J631" s="623"/>
      <c r="K631" s="623"/>
      <c r="L631" s="623"/>
      <c r="M631" s="623"/>
      <c r="N631" s="623"/>
      <c r="O631" s="623"/>
      <c r="P631" s="623"/>
      <c r="Q631" s="623"/>
      <c r="R631" s="623"/>
      <c r="S631" s="623"/>
      <c r="T631" s="623"/>
      <c r="U631" s="623"/>
      <c r="V631" s="623"/>
      <c r="W631" s="623"/>
      <c r="X631" s="623"/>
      <c r="Y631" s="624"/>
      <c r="Z631" s="624"/>
      <c r="AA631" s="624"/>
      <c r="AB631" s="624"/>
      <c r="AC631" s="624"/>
    </row>
    <row r="632" spans="1:29" ht="12" thickTop="1">
      <c r="A632" s="443"/>
      <c r="B632" s="443"/>
      <c r="C632" s="443"/>
      <c r="D632" s="443"/>
      <c r="E632" s="443"/>
      <c r="F632" s="443"/>
      <c r="G632" s="443"/>
      <c r="H632" s="443"/>
      <c r="I632" s="443"/>
      <c r="J632" s="443"/>
      <c r="K632" s="443"/>
      <c r="L632" s="443"/>
      <c r="M632" s="443"/>
      <c r="N632" s="443"/>
      <c r="O632" s="443"/>
      <c r="P632" s="443"/>
      <c r="Q632" s="443"/>
      <c r="R632" s="443"/>
      <c r="S632" s="443"/>
      <c r="T632" s="443"/>
      <c r="U632" s="443"/>
      <c r="V632" s="443"/>
      <c r="W632" s="443"/>
      <c r="X632" s="443"/>
      <c r="Y632" s="443"/>
      <c r="Z632" s="443"/>
      <c r="AA632" s="443"/>
      <c r="AB632" s="443"/>
      <c r="AC632" s="443"/>
    </row>
    <row r="633" spans="1:29">
      <c r="A633" s="15"/>
      <c r="B633" s="15" t="s">
        <v>196</v>
      </c>
      <c r="C633" s="330"/>
      <c r="D633" s="330"/>
      <c r="E633" s="623"/>
      <c r="F633" s="623"/>
      <c r="G633" s="623"/>
      <c r="H633" s="614"/>
      <c r="I633" s="623"/>
      <c r="J633" s="623"/>
      <c r="K633" s="623"/>
      <c r="L633" s="623"/>
      <c r="M633" s="623"/>
      <c r="N633" s="623"/>
      <c r="O633" s="623"/>
      <c r="P633" s="623"/>
      <c r="Q633" s="623"/>
      <c r="R633" s="623"/>
      <c r="S633" s="623"/>
      <c r="T633" s="623"/>
      <c r="U633" s="623"/>
      <c r="V633" s="623"/>
      <c r="W633" s="623"/>
      <c r="X633" s="623"/>
      <c r="Y633" s="623"/>
      <c r="Z633" s="623"/>
      <c r="AA633" s="623"/>
      <c r="AB633" s="623"/>
      <c r="AC633" s="623"/>
    </row>
    <row r="634" spans="1:29">
      <c r="A634" s="15"/>
      <c r="B634" s="308" t="s">
        <v>197</v>
      </c>
      <c r="C634" s="416" t="s">
        <v>198</v>
      </c>
      <c r="D634" s="219">
        <v>6</v>
      </c>
      <c r="E634" s="476"/>
      <c r="F634" s="614"/>
      <c r="G634" s="614"/>
      <c r="H634" s="618" t="s">
        <v>199</v>
      </c>
      <c r="I634" s="623">
        <f>(I598+(I612/$D634)+I623)*1000</f>
        <v>0</v>
      </c>
      <c r="J634" s="623">
        <f t="shared" ref="J634:Y634" si="298">(J598+(J612/$D634)+J623)*1000</f>
        <v>0</v>
      </c>
      <c r="K634" s="623">
        <f t="shared" si="298"/>
        <v>0</v>
      </c>
      <c r="L634" s="623">
        <f t="shared" si="298"/>
        <v>0</v>
      </c>
      <c r="M634" s="623">
        <f t="shared" si="298"/>
        <v>0</v>
      </c>
      <c r="N634" s="623">
        <f t="shared" si="298"/>
        <v>0</v>
      </c>
      <c r="O634" s="623">
        <f t="shared" si="298"/>
        <v>0</v>
      </c>
      <c r="P634" s="623">
        <f t="shared" si="298"/>
        <v>0</v>
      </c>
      <c r="Q634" s="623">
        <f t="shared" si="298"/>
        <v>0</v>
      </c>
      <c r="R634" s="623">
        <f t="shared" si="298"/>
        <v>0</v>
      </c>
      <c r="S634" s="623">
        <f t="shared" si="298"/>
        <v>0</v>
      </c>
      <c r="T634" s="623">
        <f t="shared" si="298"/>
        <v>0</v>
      </c>
      <c r="U634" s="623">
        <f t="shared" si="298"/>
        <v>0</v>
      </c>
      <c r="V634" s="623">
        <f t="shared" si="298"/>
        <v>0</v>
      </c>
      <c r="W634" s="623">
        <f t="shared" si="298"/>
        <v>0</v>
      </c>
      <c r="X634" s="623">
        <f t="shared" si="298"/>
        <v>0</v>
      </c>
      <c r="Y634" s="623">
        <f t="shared" si="298"/>
        <v>0</v>
      </c>
      <c r="Z634" s="623">
        <f>(Z598+(Z612/$D634)+Z623)*1000</f>
        <v>0</v>
      </c>
      <c r="AA634" s="623">
        <f>(AA598+(AA612/$D634)+AA623)*1000</f>
        <v>0</v>
      </c>
      <c r="AB634" s="623">
        <f>(AB598+(AB612/$D634)+AB623)*1000</f>
        <v>0</v>
      </c>
      <c r="AC634" s="623">
        <f>(AC598+(AC612/$D634)+AC623)*1000</f>
        <v>0</v>
      </c>
    </row>
    <row r="635" spans="1:29">
      <c r="A635" s="15"/>
      <c r="B635" s="341"/>
      <c r="C635" s="416"/>
      <c r="D635" s="330"/>
      <c r="E635" s="614"/>
      <c r="F635" s="614"/>
      <c r="G635" s="614"/>
      <c r="H635" s="614"/>
      <c r="I635" s="623"/>
      <c r="J635" s="623"/>
      <c r="K635" s="623"/>
      <c r="L635" s="623"/>
      <c r="M635" s="623"/>
      <c r="N635" s="623"/>
      <c r="O635" s="623"/>
      <c r="P635" s="623"/>
      <c r="Q635" s="623"/>
      <c r="R635" s="623"/>
      <c r="S635" s="623"/>
      <c r="T635" s="623"/>
      <c r="U635" s="623"/>
      <c r="V635" s="623"/>
      <c r="W635" s="623"/>
      <c r="X635" s="623"/>
      <c r="Y635" s="623"/>
      <c r="Z635" s="623"/>
      <c r="AA635" s="623"/>
      <c r="AB635" s="623"/>
      <c r="AC635" s="623"/>
    </row>
    <row r="636" spans="1:29">
      <c r="A636" s="15"/>
      <c r="B636" s="346" t="s">
        <v>164</v>
      </c>
      <c r="C636" s="503" t="s">
        <v>19</v>
      </c>
      <c r="E636" s="339" t="s">
        <v>200</v>
      </c>
      <c r="H636" s="514">
        <v>0</v>
      </c>
    </row>
    <row r="637" spans="1:29">
      <c r="A637" s="15"/>
      <c r="B637" s="339" t="s">
        <v>165</v>
      </c>
      <c r="C637" s="503"/>
      <c r="E637" t="s">
        <v>201</v>
      </c>
      <c r="H637" s="507">
        <v>0</v>
      </c>
    </row>
    <row r="638" spans="1:29">
      <c r="A638" s="15"/>
      <c r="B638" s="339" t="s">
        <v>166</v>
      </c>
      <c r="C638" s="503"/>
      <c r="E638" s="339" t="s">
        <v>202</v>
      </c>
      <c r="H638" s="476">
        <f>+H636*H637</f>
        <v>0</v>
      </c>
    </row>
    <row r="639" spans="1:29">
      <c r="A639" s="15"/>
      <c r="B639" s="339" t="s">
        <v>167</v>
      </c>
      <c r="C639" s="503"/>
      <c r="E639" s="339" t="s">
        <v>203</v>
      </c>
      <c r="H639" s="343">
        <v>3</v>
      </c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  <c r="AA639" s="335"/>
      <c r="AB639" s="335"/>
      <c r="AC639" s="335"/>
    </row>
    <row r="640" spans="1:29">
      <c r="A640" s="15"/>
      <c r="B640" s="411" t="s">
        <v>204</v>
      </c>
      <c r="E640" s="476"/>
      <c r="F640" s="476"/>
      <c r="G640" s="476"/>
      <c r="H640" s="476"/>
      <c r="I640" s="476">
        <f t="shared" ref="I640:X640" ca="1" si="299">($H638)*(I634)*(IF($H639=1,I$185,IF($H639=2,I$188,IF($H639=3,I$191,0))))/unit</f>
        <v>0</v>
      </c>
      <c r="J640" s="476">
        <f t="shared" ca="1" si="299"/>
        <v>0</v>
      </c>
      <c r="K640" s="476">
        <f t="shared" ca="1" si="299"/>
        <v>0</v>
      </c>
      <c r="L640" s="476">
        <f t="shared" ca="1" si="299"/>
        <v>0</v>
      </c>
      <c r="M640" s="476">
        <f t="shared" ca="1" si="299"/>
        <v>0</v>
      </c>
      <c r="N640" s="476">
        <f t="shared" ca="1" si="299"/>
        <v>0</v>
      </c>
      <c r="O640" s="476">
        <f t="shared" ca="1" si="299"/>
        <v>0</v>
      </c>
      <c r="P640" s="476">
        <f t="shared" ca="1" si="299"/>
        <v>0</v>
      </c>
      <c r="Q640" s="476">
        <f t="shared" ca="1" si="299"/>
        <v>0</v>
      </c>
      <c r="R640" s="476">
        <f t="shared" ca="1" si="299"/>
        <v>0</v>
      </c>
      <c r="S640" s="476">
        <f t="shared" ca="1" si="299"/>
        <v>0</v>
      </c>
      <c r="T640" s="476">
        <f t="shared" ca="1" si="299"/>
        <v>0</v>
      </c>
      <c r="U640" s="476">
        <f t="shared" ca="1" si="299"/>
        <v>0</v>
      </c>
      <c r="V640" s="476">
        <f t="shared" ca="1" si="299"/>
        <v>0</v>
      </c>
      <c r="W640" s="476">
        <f t="shared" ca="1" si="299"/>
        <v>0</v>
      </c>
      <c r="X640" s="476">
        <f t="shared" ca="1" si="299"/>
        <v>0</v>
      </c>
      <c r="Y640" s="476">
        <f ca="1">($H638)*(Y634)*(IF($H639=1,Y$185,IF($H639=2,Y$188,IF($H639=3,Y$191,0))))/unit</f>
        <v>0</v>
      </c>
      <c r="Z640" s="476">
        <f ca="1">($H638)*(Z634)*(IF($H639=1,Z$185,IF($H639=2,Z$188,IF($H639=3,Z$191,0))))/unit</f>
        <v>0</v>
      </c>
      <c r="AA640" s="476">
        <f ca="1">($H638)*(AA634)*(IF($H639=1,AA$185,IF($H639=2,AA$188,IF($H639=3,AA$191,0))))/unit</f>
        <v>0</v>
      </c>
      <c r="AB640" s="476">
        <f ca="1">($H638)*(AB634)*(IF($H639=1,AB$185,IF($H639=2,AB$188,IF($H639=3,AB$191,0))))/unit</f>
        <v>0</v>
      </c>
      <c r="AC640" s="476">
        <f ca="1">($H638)*(AC634)*(IF($H639=1,AC$185,IF($H639=2,AC$188,IF($H639=3,AC$191,0))))/unit</f>
        <v>0</v>
      </c>
    </row>
    <row r="641" spans="1:29">
      <c r="A641" s="15"/>
      <c r="B641" s="411"/>
      <c r="E641" s="476"/>
      <c r="F641" s="476"/>
      <c r="G641" s="476"/>
      <c r="H641" s="476"/>
      <c r="I641" s="476"/>
      <c r="J641" s="476"/>
      <c r="K641" s="476"/>
      <c r="L641" s="476"/>
      <c r="M641" s="476"/>
      <c r="N641" s="476"/>
      <c r="O641" s="476"/>
      <c r="P641" s="476"/>
      <c r="Q641" s="476"/>
      <c r="R641" s="476"/>
      <c r="S641" s="476"/>
      <c r="T641" s="476"/>
      <c r="U641" s="476"/>
      <c r="V641" s="476"/>
      <c r="W641" s="476"/>
      <c r="X641" s="476"/>
      <c r="Y641" s="476"/>
      <c r="Z641" s="476"/>
      <c r="AA641" s="476"/>
      <c r="AB641" s="476"/>
      <c r="AC641" s="476"/>
    </row>
    <row r="642" spans="1:29">
      <c r="A642" s="15"/>
      <c r="B642" s="411" t="s">
        <v>205</v>
      </c>
      <c r="E642" s="476" t="s">
        <v>533</v>
      </c>
      <c r="F642" s="476"/>
      <c r="G642" s="476"/>
      <c r="H642" s="507">
        <v>0</v>
      </c>
      <c r="I642" s="476">
        <f>+$H642*I630</f>
        <v>0</v>
      </c>
      <c r="J642" s="476">
        <f t="shared" ref="J642:Y642" ca="1" si="300">+$H642*J630</f>
        <v>0</v>
      </c>
      <c r="K642" s="476">
        <f t="shared" ca="1" si="300"/>
        <v>0</v>
      </c>
      <c r="L642" s="476">
        <f t="shared" ca="1" si="300"/>
        <v>0</v>
      </c>
      <c r="M642" s="476">
        <f t="shared" ca="1" si="300"/>
        <v>0</v>
      </c>
      <c r="N642" s="476">
        <f t="shared" ca="1" si="300"/>
        <v>0</v>
      </c>
      <c r="O642" s="476">
        <f t="shared" ca="1" si="300"/>
        <v>0</v>
      </c>
      <c r="P642" s="476">
        <f t="shared" ca="1" si="300"/>
        <v>0</v>
      </c>
      <c r="Q642" s="476">
        <f t="shared" ca="1" si="300"/>
        <v>0</v>
      </c>
      <c r="R642" s="476">
        <f t="shared" ca="1" si="300"/>
        <v>0</v>
      </c>
      <c r="S642" s="476">
        <f t="shared" ca="1" si="300"/>
        <v>0</v>
      </c>
      <c r="T642" s="476">
        <f t="shared" ca="1" si="300"/>
        <v>0</v>
      </c>
      <c r="U642" s="476">
        <f t="shared" ca="1" si="300"/>
        <v>0</v>
      </c>
      <c r="V642" s="476">
        <f t="shared" ca="1" si="300"/>
        <v>0</v>
      </c>
      <c r="W642" s="476">
        <f t="shared" ca="1" si="300"/>
        <v>0</v>
      </c>
      <c r="X642" s="476">
        <f t="shared" ca="1" si="300"/>
        <v>0</v>
      </c>
      <c r="Y642" s="476">
        <f t="shared" ca="1" si="300"/>
        <v>0</v>
      </c>
      <c r="Z642" s="476">
        <f ca="1">+$H642*Z630</f>
        <v>0</v>
      </c>
      <c r="AA642" s="476">
        <f ca="1">+$H642*AA630</f>
        <v>0</v>
      </c>
      <c r="AB642" s="476">
        <f ca="1">+$H642*AB630</f>
        <v>0</v>
      </c>
      <c r="AC642" s="476">
        <f ca="1">+$H642*AC630</f>
        <v>0</v>
      </c>
    </row>
    <row r="643" spans="1:29">
      <c r="A643" s="15"/>
      <c r="B643" s="411"/>
      <c r="E643" s="476"/>
      <c r="F643" s="476"/>
      <c r="G643" s="476"/>
      <c r="H643" s="476"/>
      <c r="I643" s="476"/>
      <c r="J643" s="476"/>
      <c r="K643" s="476"/>
      <c r="L643" s="476"/>
      <c r="M643" s="476"/>
      <c r="N643" s="476"/>
      <c r="O643" s="476"/>
      <c r="P643" s="476"/>
      <c r="Q643" s="476"/>
      <c r="R643" s="476"/>
      <c r="S643" s="476"/>
      <c r="T643" s="476"/>
      <c r="U643" s="476"/>
      <c r="V643" s="476"/>
      <c r="W643" s="476"/>
      <c r="X643" s="476"/>
      <c r="Y643" s="476"/>
      <c r="Z643" s="476"/>
      <c r="AA643" s="476"/>
      <c r="AB643" s="476"/>
      <c r="AC643" s="476"/>
    </row>
    <row r="644" spans="1:29">
      <c r="A644" s="15"/>
      <c r="B644" s="346" t="s">
        <v>207</v>
      </c>
      <c r="E644" s="476"/>
      <c r="F644" s="476"/>
      <c r="G644" s="476"/>
      <c r="H644" s="476"/>
      <c r="I644" s="476"/>
      <c r="J644" s="476"/>
      <c r="K644" s="476"/>
      <c r="L644" s="476"/>
      <c r="M644" s="476"/>
      <c r="N644" s="476"/>
      <c r="O644" s="476"/>
      <c r="P644" s="476"/>
      <c r="Q644" s="476"/>
      <c r="R644" s="476"/>
      <c r="S644" s="476"/>
      <c r="T644" s="476"/>
      <c r="U644" s="476"/>
      <c r="V644" s="476"/>
      <c r="W644" s="476"/>
      <c r="X644" s="476"/>
      <c r="Y644" s="476"/>
      <c r="Z644" s="476"/>
      <c r="AA644" s="476"/>
      <c r="AB644" s="476"/>
      <c r="AC644" s="476"/>
    </row>
    <row r="645" spans="1:29">
      <c r="A645" s="15"/>
      <c r="B645" s="346" t="s">
        <v>164</v>
      </c>
      <c r="C645" s="503" t="s">
        <v>19</v>
      </c>
      <c r="E645" s="339" t="s">
        <v>208</v>
      </c>
      <c r="H645" s="343">
        <v>0</v>
      </c>
      <c r="I645" s="334"/>
      <c r="J645" s="334"/>
      <c r="K645" s="334"/>
      <c r="L645" s="334"/>
      <c r="M645" s="334"/>
      <c r="N645" s="334"/>
      <c r="O645" s="334"/>
      <c r="P645" s="334"/>
      <c r="Q645" s="334"/>
      <c r="R645" s="334"/>
      <c r="S645" s="334"/>
      <c r="T645" s="334"/>
      <c r="U645" s="334"/>
      <c r="V645" s="334"/>
      <c r="W645" s="334"/>
      <c r="X645" s="334"/>
      <c r="Y645" s="334"/>
      <c r="Z645" s="334"/>
      <c r="AA645" s="334"/>
      <c r="AB645" s="334"/>
      <c r="AC645" s="334"/>
    </row>
    <row r="646" spans="1:29">
      <c r="A646" s="15"/>
      <c r="B646" s="339" t="s">
        <v>165</v>
      </c>
      <c r="C646" s="503"/>
      <c r="E646" t="s">
        <v>201</v>
      </c>
      <c r="H646" s="507">
        <v>0</v>
      </c>
      <c r="I646" s="208"/>
      <c r="J646" s="208"/>
      <c r="K646" s="208"/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</row>
    <row r="647" spans="1:29">
      <c r="A647" s="15"/>
      <c r="B647" s="339" t="s">
        <v>166</v>
      </c>
      <c r="C647" s="503"/>
      <c r="E647" s="339" t="s">
        <v>202</v>
      </c>
      <c r="H647" s="476">
        <f>+H645*H646</f>
        <v>0</v>
      </c>
    </row>
    <row r="648" spans="1:29">
      <c r="A648" s="15"/>
      <c r="B648" s="339" t="s">
        <v>167</v>
      </c>
      <c r="C648" s="503"/>
      <c r="E648" s="339" t="s">
        <v>203</v>
      </c>
      <c r="H648" s="343">
        <v>1</v>
      </c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  <c r="AA648" s="335"/>
      <c r="AB648" s="335"/>
      <c r="AC648" s="335"/>
    </row>
    <row r="649" spans="1:29">
      <c r="A649" s="15"/>
      <c r="B649" s="411" t="s">
        <v>209</v>
      </c>
      <c r="E649" s="476"/>
      <c r="F649" s="476"/>
      <c r="G649" s="476"/>
      <c r="H649" s="476"/>
      <c r="I649" s="476">
        <f ca="1">($H647)*(IF($H648=1,I$185,IF($H648=2,I$188,IF($H648=3,I$191,0))))*(stub)</f>
        <v>0</v>
      </c>
      <c r="J649" s="476">
        <f ca="1">($H647)*(IF($H648=1,J$185,IF($H648=2,J$188,IF($H648=3,J$191,0))))</f>
        <v>0</v>
      </c>
      <c r="K649" s="476">
        <f t="shared" ref="K649:Z649" ca="1" si="301">($H647)*(IF($H648=1,K$185,IF($H648=2,K$188,IF($H648=3,K$191,0))))</f>
        <v>0</v>
      </c>
      <c r="L649" s="476">
        <f t="shared" ca="1" si="301"/>
        <v>0</v>
      </c>
      <c r="M649" s="476">
        <f t="shared" ca="1" si="301"/>
        <v>0</v>
      </c>
      <c r="N649" s="476">
        <f t="shared" ca="1" si="301"/>
        <v>0</v>
      </c>
      <c r="O649" s="476">
        <f t="shared" ca="1" si="301"/>
        <v>0</v>
      </c>
      <c r="P649" s="476">
        <f t="shared" ca="1" si="301"/>
        <v>0</v>
      </c>
      <c r="Q649" s="476">
        <f t="shared" ca="1" si="301"/>
        <v>0</v>
      </c>
      <c r="R649" s="476">
        <f t="shared" ca="1" si="301"/>
        <v>0</v>
      </c>
      <c r="S649" s="476">
        <f t="shared" ca="1" si="301"/>
        <v>0</v>
      </c>
      <c r="T649" s="476">
        <f t="shared" ca="1" si="301"/>
        <v>0</v>
      </c>
      <c r="U649" s="476">
        <f t="shared" ca="1" si="301"/>
        <v>0</v>
      </c>
      <c r="V649" s="476">
        <f t="shared" ca="1" si="301"/>
        <v>0</v>
      </c>
      <c r="W649" s="476">
        <f t="shared" ca="1" si="301"/>
        <v>0</v>
      </c>
      <c r="X649" s="476">
        <f t="shared" ca="1" si="301"/>
        <v>0</v>
      </c>
      <c r="Y649" s="476">
        <f t="shared" ca="1" si="301"/>
        <v>0</v>
      </c>
      <c r="Z649" s="476">
        <f t="shared" ca="1" si="301"/>
        <v>0</v>
      </c>
      <c r="AA649" s="476">
        <f ca="1">($H647)*(IF($H648=1,AA$185,IF($H648=2,AA$188,IF($H648=3,AA$191,0))))</f>
        <v>0</v>
      </c>
      <c r="AB649" s="476">
        <f ca="1">($H647)*(IF($H648=1,AB$185,IF($H648=2,AB$188,IF($H648=3,AB$191,0))))</f>
        <v>0</v>
      </c>
      <c r="AC649" s="476">
        <f ca="1">($H647)*(IF($H648=1,AC$185,IF($H648=2,AC$188,IF($H648=3,AC$191,0))))</f>
        <v>0</v>
      </c>
    </row>
    <row r="650" spans="1:29">
      <c r="A650" s="15"/>
      <c r="B650" s="411"/>
      <c r="E650" s="476"/>
      <c r="F650" s="476"/>
      <c r="G650" s="476"/>
      <c r="H650" s="476"/>
      <c r="I650" s="476"/>
      <c r="J650" s="476"/>
      <c r="K650" s="476"/>
      <c r="L650" s="476"/>
      <c r="M650" s="476"/>
      <c r="N650" s="476"/>
      <c r="O650" s="476"/>
      <c r="P650" s="476"/>
      <c r="Q650" s="476"/>
      <c r="R650" s="476"/>
      <c r="S650" s="476"/>
      <c r="T650" s="476"/>
      <c r="U650" s="476"/>
      <c r="V650" s="476"/>
      <c r="W650" s="476"/>
      <c r="X650" s="476"/>
      <c r="Y650" s="476"/>
      <c r="Z650" s="476"/>
      <c r="AA650" s="476"/>
      <c r="AB650" s="476"/>
      <c r="AC650" s="476"/>
    </row>
    <row r="651" spans="1:29">
      <c r="A651" s="15"/>
      <c r="B651" s="411" t="s">
        <v>210</v>
      </c>
      <c r="E651" s="476"/>
      <c r="F651" s="476"/>
      <c r="G651" s="476"/>
      <c r="H651" s="476"/>
      <c r="I651" s="536">
        <v>0</v>
      </c>
      <c r="J651" s="536">
        <v>0</v>
      </c>
      <c r="K651" s="536">
        <v>0</v>
      </c>
      <c r="L651" s="536">
        <v>0</v>
      </c>
      <c r="M651" s="536">
        <v>0</v>
      </c>
      <c r="N651" s="536">
        <v>0</v>
      </c>
      <c r="O651" s="536">
        <v>0</v>
      </c>
      <c r="P651" s="536">
        <v>0</v>
      </c>
      <c r="Q651" s="536">
        <v>0</v>
      </c>
      <c r="R651" s="536">
        <v>0</v>
      </c>
      <c r="S651" s="536">
        <v>0</v>
      </c>
      <c r="T651" s="536">
        <v>0</v>
      </c>
      <c r="U651" s="536">
        <v>0</v>
      </c>
      <c r="V651" s="536">
        <v>0</v>
      </c>
      <c r="W651" s="536">
        <v>0</v>
      </c>
      <c r="X651" s="536">
        <v>0</v>
      </c>
      <c r="Y651" s="536">
        <v>0</v>
      </c>
      <c r="Z651" s="536">
        <v>0</v>
      </c>
      <c r="AA651" s="536">
        <v>0</v>
      </c>
      <c r="AB651" s="536">
        <v>0</v>
      </c>
      <c r="AC651" s="536">
        <v>0</v>
      </c>
    </row>
    <row r="652" spans="1:29">
      <c r="A652" s="417" t="str">
        <f>"Total Production Costs - "&amp;C19</f>
        <v>Total Production Costs - Class F Reserves</v>
      </c>
      <c r="E652" s="505">
        <v>0</v>
      </c>
      <c r="F652" s="505">
        <v>0</v>
      </c>
      <c r="G652" s="505">
        <v>0</v>
      </c>
      <c r="H652" s="505">
        <v>0</v>
      </c>
      <c r="I652" s="620">
        <f ca="1">+I649+I640+I642+I651</f>
        <v>0</v>
      </c>
      <c r="J652" s="620">
        <f t="shared" ref="J652:Y652" ca="1" si="302">+J649+J640+J642+J651</f>
        <v>0</v>
      </c>
      <c r="K652" s="620">
        <f t="shared" ca="1" si="302"/>
        <v>0</v>
      </c>
      <c r="L652" s="620">
        <f t="shared" ca="1" si="302"/>
        <v>0</v>
      </c>
      <c r="M652" s="620">
        <f t="shared" ca="1" si="302"/>
        <v>0</v>
      </c>
      <c r="N652" s="620">
        <f t="shared" ca="1" si="302"/>
        <v>0</v>
      </c>
      <c r="O652" s="620">
        <f t="shared" ca="1" si="302"/>
        <v>0</v>
      </c>
      <c r="P652" s="620">
        <f t="shared" ca="1" si="302"/>
        <v>0</v>
      </c>
      <c r="Q652" s="620">
        <f t="shared" ca="1" si="302"/>
        <v>0</v>
      </c>
      <c r="R652" s="620">
        <f t="shared" ca="1" si="302"/>
        <v>0</v>
      </c>
      <c r="S652" s="620">
        <f t="shared" ca="1" si="302"/>
        <v>0</v>
      </c>
      <c r="T652" s="620">
        <f t="shared" ca="1" si="302"/>
        <v>0</v>
      </c>
      <c r="U652" s="620">
        <f t="shared" ca="1" si="302"/>
        <v>0</v>
      </c>
      <c r="V652" s="620">
        <f t="shared" ca="1" si="302"/>
        <v>0</v>
      </c>
      <c r="W652" s="620">
        <f t="shared" ca="1" si="302"/>
        <v>0</v>
      </c>
      <c r="X652" s="620">
        <f t="shared" ca="1" si="302"/>
        <v>0</v>
      </c>
      <c r="Y652" s="620">
        <f t="shared" ca="1" si="302"/>
        <v>0</v>
      </c>
      <c r="Z652" s="620">
        <f ca="1">+Z649+Z640+Z642+Z651</f>
        <v>0</v>
      </c>
      <c r="AA652" s="620">
        <f ca="1">+AA649+AA640+AA642+AA651</f>
        <v>0</v>
      </c>
      <c r="AB652" s="620">
        <f ca="1">+AB649+AB640+AB642+AB651</f>
        <v>0</v>
      </c>
      <c r="AC652" s="620">
        <f ca="1">+AC649+AC640+AC642+AC651</f>
        <v>0</v>
      </c>
    </row>
    <row r="653" spans="1:29">
      <c r="A653" s="15" t="str">
        <f>"Net Oil &amp; Gas Income - "&amp;C19</f>
        <v>Net Oil &amp; Gas Income - Class F Reserves</v>
      </c>
      <c r="D653" s="74"/>
      <c r="E653" s="617">
        <f>+E630-E652</f>
        <v>0</v>
      </c>
      <c r="F653" s="617">
        <f t="shared" ref="F653:U653" si="303">+F630-F652</f>
        <v>0</v>
      </c>
      <c r="G653" s="617">
        <f t="shared" si="303"/>
        <v>0</v>
      </c>
      <c r="H653" s="617">
        <f t="shared" si="303"/>
        <v>0</v>
      </c>
      <c r="I653" s="615">
        <f t="shared" ca="1" si="303"/>
        <v>0</v>
      </c>
      <c r="J653" s="615">
        <f t="shared" ca="1" si="303"/>
        <v>0</v>
      </c>
      <c r="K653" s="615">
        <f t="shared" ca="1" si="303"/>
        <v>0</v>
      </c>
      <c r="L653" s="615">
        <f t="shared" ca="1" si="303"/>
        <v>0</v>
      </c>
      <c r="M653" s="615">
        <f t="shared" ca="1" si="303"/>
        <v>0</v>
      </c>
      <c r="N653" s="615">
        <f t="shared" ca="1" si="303"/>
        <v>0</v>
      </c>
      <c r="O653" s="615">
        <f t="shared" ca="1" si="303"/>
        <v>0</v>
      </c>
      <c r="P653" s="615">
        <f t="shared" ca="1" si="303"/>
        <v>0</v>
      </c>
      <c r="Q653" s="615">
        <f t="shared" ca="1" si="303"/>
        <v>0</v>
      </c>
      <c r="R653" s="615">
        <f t="shared" ca="1" si="303"/>
        <v>0</v>
      </c>
      <c r="S653" s="615">
        <f t="shared" ca="1" si="303"/>
        <v>0</v>
      </c>
      <c r="T653" s="615">
        <f t="shared" ca="1" si="303"/>
        <v>0</v>
      </c>
      <c r="U653" s="615">
        <f t="shared" ca="1" si="303"/>
        <v>0</v>
      </c>
      <c r="V653" s="615">
        <f t="shared" ref="V653:AC653" ca="1" si="304">+V630-V652</f>
        <v>0</v>
      </c>
      <c r="W653" s="615">
        <f t="shared" ca="1" si="304"/>
        <v>0</v>
      </c>
      <c r="X653" s="615">
        <f t="shared" ca="1" si="304"/>
        <v>0</v>
      </c>
      <c r="Y653" s="615">
        <f t="shared" ca="1" si="304"/>
        <v>0</v>
      </c>
      <c r="Z653" s="615">
        <f t="shared" ca="1" si="304"/>
        <v>0</v>
      </c>
      <c r="AA653" s="615">
        <f t="shared" ca="1" si="304"/>
        <v>0</v>
      </c>
      <c r="AB653" s="615">
        <f t="shared" ca="1" si="304"/>
        <v>0</v>
      </c>
      <c r="AC653" s="615">
        <f t="shared" ca="1" si="304"/>
        <v>0</v>
      </c>
    </row>
    <row r="654" spans="1:29">
      <c r="A654" s="15"/>
      <c r="B654" s="5"/>
      <c r="D654" s="5"/>
      <c r="E654" s="141"/>
      <c r="F654" s="141"/>
      <c r="G654" s="141"/>
      <c r="I654" s="623"/>
      <c r="J654" s="623"/>
      <c r="K654" s="623"/>
      <c r="L654" s="623"/>
      <c r="M654" s="623"/>
      <c r="N654" s="623"/>
      <c r="O654" s="623"/>
      <c r="P654" s="623"/>
      <c r="Q654" s="623"/>
      <c r="R654" s="623"/>
      <c r="S654" s="623"/>
      <c r="T654" s="623"/>
      <c r="U654" s="623"/>
      <c r="V654" s="623"/>
      <c r="W654" s="623"/>
      <c r="X654" s="623"/>
      <c r="Y654" s="624"/>
      <c r="Z654" s="624"/>
      <c r="AA654" s="624"/>
      <c r="AB654" s="624"/>
      <c r="AC654" s="624"/>
    </row>
    <row r="655" spans="1:29">
      <c r="A655" s="15"/>
      <c r="B655" s="5" t="s">
        <v>534</v>
      </c>
      <c r="D655" s="5"/>
      <c r="E655" s="141"/>
      <c r="F655" s="141"/>
      <c r="G655" s="141"/>
      <c r="I655" s="517">
        <v>0</v>
      </c>
      <c r="J655" s="517">
        <v>0</v>
      </c>
      <c r="K655" s="517">
        <v>0</v>
      </c>
      <c r="L655" s="517">
        <v>0</v>
      </c>
      <c r="M655" s="517">
        <v>0</v>
      </c>
      <c r="N655" s="517">
        <v>0</v>
      </c>
      <c r="O655" s="517">
        <v>0</v>
      </c>
      <c r="P655" s="517">
        <v>0</v>
      </c>
      <c r="Q655" s="517">
        <v>0</v>
      </c>
      <c r="R655" s="517">
        <v>0</v>
      </c>
      <c r="S655" s="517">
        <v>0</v>
      </c>
      <c r="T655" s="517">
        <v>0</v>
      </c>
      <c r="U655" s="517">
        <v>0</v>
      </c>
      <c r="V655" s="517">
        <v>0</v>
      </c>
      <c r="W655" s="517">
        <v>0</v>
      </c>
      <c r="X655" s="517">
        <v>0</v>
      </c>
      <c r="Y655" s="538">
        <v>0</v>
      </c>
      <c r="Z655" s="538">
        <v>0</v>
      </c>
      <c r="AA655" s="538">
        <v>0</v>
      </c>
      <c r="AB655" s="538">
        <v>0</v>
      </c>
      <c r="AC655" s="538">
        <v>0</v>
      </c>
    </row>
    <row r="656" spans="1:29">
      <c r="A656" s="15"/>
      <c r="B656" s="5"/>
      <c r="D656" s="5"/>
      <c r="E656" s="141"/>
      <c r="F656" s="141"/>
      <c r="G656" s="141"/>
      <c r="H656" s="614"/>
      <c r="I656" s="623"/>
      <c r="J656" s="623"/>
      <c r="K656" s="623"/>
      <c r="L656" s="623"/>
      <c r="M656" s="623"/>
      <c r="N656" s="623"/>
      <c r="O656" s="623"/>
      <c r="P656" s="623"/>
      <c r="Q656" s="623"/>
      <c r="R656" s="623"/>
      <c r="S656" s="623"/>
      <c r="T656" s="623"/>
      <c r="U656" s="623"/>
      <c r="V656" s="623"/>
      <c r="W656" s="623"/>
      <c r="X656" s="623"/>
      <c r="Y656" s="624"/>
      <c r="Z656" s="624"/>
      <c r="AA656" s="624"/>
      <c r="AB656" s="624"/>
      <c r="AC656" s="624"/>
    </row>
    <row r="657" spans="1:29" ht="12" thickBot="1">
      <c r="A657" s="15"/>
      <c r="B657" s="5"/>
      <c r="D657" s="5"/>
      <c r="E657" s="141"/>
      <c r="F657" s="141"/>
      <c r="G657" s="141"/>
      <c r="H657" s="614"/>
      <c r="I657" s="623"/>
      <c r="J657" s="623"/>
      <c r="K657" s="623"/>
      <c r="L657" s="623"/>
      <c r="M657" s="623"/>
      <c r="N657" s="623"/>
      <c r="O657" s="623"/>
      <c r="P657" s="623"/>
      <c r="Q657" s="623"/>
      <c r="R657" s="623"/>
      <c r="S657" s="623"/>
      <c r="T657" s="623"/>
      <c r="U657" s="623"/>
      <c r="V657" s="623"/>
      <c r="W657" s="623"/>
      <c r="X657" s="623"/>
      <c r="Y657" s="624"/>
      <c r="Z657" s="624"/>
      <c r="AA657" s="624"/>
      <c r="AB657" s="624"/>
      <c r="AC657" s="624"/>
    </row>
    <row r="658" spans="1:29" ht="12.75" thickTop="1" thickBot="1">
      <c r="A658" s="471"/>
      <c r="B658" s="471"/>
      <c r="C658" s="301"/>
      <c r="D658" s="304"/>
      <c r="E658" s="472"/>
      <c r="F658" s="472"/>
      <c r="G658" s="472"/>
      <c r="H658" s="472"/>
      <c r="I658" s="360"/>
      <c r="J658" s="360"/>
      <c r="K658" s="360"/>
      <c r="L658" s="360"/>
      <c r="M658" s="360"/>
      <c r="N658" s="360"/>
      <c r="O658" s="360"/>
      <c r="P658" s="360"/>
      <c r="Q658" s="360"/>
      <c r="R658" s="360"/>
      <c r="S658" s="360"/>
      <c r="T658" s="360"/>
      <c r="U658" s="360"/>
      <c r="V658" s="360"/>
      <c r="W658" s="360"/>
      <c r="X658" s="360"/>
      <c r="Y658" s="360"/>
      <c r="Z658" s="360"/>
      <c r="AA658" s="360"/>
      <c r="AB658" s="360"/>
      <c r="AC658" s="360"/>
    </row>
    <row r="659" spans="1:29" ht="12.75" thickTop="1" thickBot="1">
      <c r="B659" s="5"/>
      <c r="C659" s="5"/>
      <c r="E659" s="166" t="str">
        <f>+E3</f>
        <v xml:space="preserve">1996 </v>
      </c>
      <c r="F659" s="166" t="str">
        <f t="shared" ref="F659:U659" si="305">+F3</f>
        <v xml:space="preserve">1997 </v>
      </c>
      <c r="G659" s="166" t="str">
        <f t="shared" si="305"/>
        <v xml:space="preserve">1998 </v>
      </c>
      <c r="H659" s="166" t="str">
        <f t="shared" ca="1" si="305"/>
        <v xml:space="preserve">6 M/1999 </v>
      </c>
      <c r="I659" s="166" t="str">
        <f t="shared" ca="1" si="305"/>
        <v xml:space="preserve">6 M/1999 </v>
      </c>
      <c r="J659" s="166">
        <f t="shared" si="305"/>
        <v>2000</v>
      </c>
      <c r="K659" s="166">
        <f t="shared" si="305"/>
        <v>2001</v>
      </c>
      <c r="L659" s="166">
        <f t="shared" si="305"/>
        <v>2002</v>
      </c>
      <c r="M659" s="166">
        <f t="shared" si="305"/>
        <v>2003</v>
      </c>
      <c r="N659" s="166">
        <f t="shared" si="305"/>
        <v>2004</v>
      </c>
      <c r="O659" s="166">
        <f t="shared" si="305"/>
        <v>2005</v>
      </c>
      <c r="P659" s="166">
        <f t="shared" si="305"/>
        <v>2006</v>
      </c>
      <c r="Q659" s="166">
        <f t="shared" si="305"/>
        <v>2007</v>
      </c>
      <c r="R659" s="166">
        <f t="shared" si="305"/>
        <v>2008</v>
      </c>
      <c r="S659" s="166">
        <f t="shared" si="305"/>
        <v>2009</v>
      </c>
      <c r="T659" s="166">
        <f t="shared" si="305"/>
        <v>2010</v>
      </c>
      <c r="U659" s="166">
        <f t="shared" si="305"/>
        <v>2011</v>
      </c>
      <c r="V659" s="166">
        <f t="shared" ref="V659:AC659" si="306">+V3</f>
        <v>2012</v>
      </c>
      <c r="W659" s="166">
        <f t="shared" si="306"/>
        <v>2013</v>
      </c>
      <c r="X659" s="166">
        <f t="shared" si="306"/>
        <v>2014</v>
      </c>
      <c r="Y659" s="166">
        <f t="shared" si="306"/>
        <v>2015</v>
      </c>
      <c r="Z659" s="166">
        <f t="shared" si="306"/>
        <v>2016</v>
      </c>
      <c r="AA659" s="166">
        <f t="shared" si="306"/>
        <v>2017</v>
      </c>
      <c r="AB659" s="166">
        <f t="shared" si="306"/>
        <v>2018</v>
      </c>
      <c r="AC659" s="166">
        <f t="shared" si="306"/>
        <v>2019</v>
      </c>
    </row>
    <row r="660" spans="1:29" ht="12" thickTop="1">
      <c r="A660" s="15" t="s">
        <v>542</v>
      </c>
      <c r="B660" s="5"/>
      <c r="C660" s="5"/>
      <c r="E660" s="540"/>
      <c r="F660" s="540"/>
      <c r="G660" s="540"/>
      <c r="H660" s="540"/>
      <c r="I660" s="540"/>
      <c r="J660" s="540"/>
      <c r="K660" s="540"/>
      <c r="L660" s="540"/>
      <c r="M660" s="540"/>
      <c r="N660" s="540"/>
      <c r="O660" s="540"/>
      <c r="P660" s="540"/>
      <c r="Q660" s="540"/>
      <c r="R660" s="540"/>
      <c r="S660" s="540"/>
      <c r="T660" s="540"/>
      <c r="U660" s="540"/>
      <c r="V660" s="540"/>
      <c r="W660" s="540"/>
      <c r="X660" s="540"/>
      <c r="Y660" s="540"/>
      <c r="Z660" s="540"/>
      <c r="AA660" s="540"/>
      <c r="AB660" s="540"/>
      <c r="AC660" s="540"/>
    </row>
    <row r="661" spans="1:29">
      <c r="A661" s="15" t="s">
        <v>543</v>
      </c>
      <c r="B661" s="5"/>
      <c r="C661" s="5"/>
      <c r="D661" s="5"/>
      <c r="E661" s="429">
        <v>0</v>
      </c>
      <c r="F661" s="429">
        <v>0</v>
      </c>
      <c r="G661" s="429">
        <v>0</v>
      </c>
      <c r="H661" s="429">
        <v>0</v>
      </c>
      <c r="I661" s="542">
        <v>0</v>
      </c>
      <c r="J661" s="429">
        <v>0</v>
      </c>
      <c r="K661" s="429">
        <v>0</v>
      </c>
      <c r="L661" s="429">
        <v>0</v>
      </c>
      <c r="M661" s="429">
        <v>0</v>
      </c>
      <c r="N661" s="429">
        <v>0</v>
      </c>
      <c r="O661" s="429">
        <v>0</v>
      </c>
      <c r="P661" s="429">
        <v>0</v>
      </c>
      <c r="Q661" s="429">
        <v>0</v>
      </c>
      <c r="R661" s="429">
        <v>0</v>
      </c>
      <c r="S661" s="429">
        <v>0</v>
      </c>
      <c r="T661" s="429">
        <v>0</v>
      </c>
      <c r="U661" s="429">
        <v>0</v>
      </c>
      <c r="V661" s="429">
        <v>0</v>
      </c>
      <c r="W661" s="429">
        <v>0</v>
      </c>
      <c r="X661" s="429">
        <v>0</v>
      </c>
      <c r="Y661" s="429">
        <v>0</v>
      </c>
      <c r="Z661" s="429">
        <v>0</v>
      </c>
      <c r="AA661" s="429">
        <v>0</v>
      </c>
      <c r="AB661" s="429">
        <v>0</v>
      </c>
      <c r="AC661" s="429">
        <v>0</v>
      </c>
    </row>
    <row r="662" spans="1:29" ht="12" thickBot="1">
      <c r="A662" s="15"/>
      <c r="B662" s="5"/>
      <c r="D662" s="5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539"/>
      <c r="Z662" s="539"/>
      <c r="AA662" s="539"/>
      <c r="AB662" s="539"/>
      <c r="AC662" s="539"/>
    </row>
    <row r="663" spans="1:29" ht="12" thickTop="1">
      <c r="A663" s="443"/>
      <c r="B663" s="443"/>
      <c r="C663" s="443"/>
      <c r="D663" s="443"/>
      <c r="E663" s="443"/>
      <c r="F663" s="443"/>
      <c r="G663" s="443"/>
      <c r="H663" s="443"/>
      <c r="I663" s="443"/>
      <c r="J663" s="443"/>
      <c r="K663" s="443"/>
      <c r="L663" s="443"/>
      <c r="M663" s="443"/>
      <c r="N663" s="443"/>
      <c r="O663" s="443"/>
      <c r="P663" s="443"/>
      <c r="Q663" s="443"/>
      <c r="R663" s="443"/>
      <c r="S663" s="443"/>
      <c r="T663" s="443"/>
      <c r="U663" s="443"/>
      <c r="V663" s="443"/>
      <c r="W663" s="443"/>
      <c r="X663" s="443"/>
      <c r="Y663" s="443"/>
      <c r="Z663" s="443"/>
      <c r="AA663" s="443"/>
      <c r="AB663" s="443"/>
      <c r="AC663" s="443"/>
    </row>
    <row r="664" spans="1:29">
      <c r="A664" s="413" t="s">
        <v>544</v>
      </c>
      <c r="B664" s="5"/>
      <c r="D664" s="5"/>
      <c r="H664" s="540"/>
      <c r="I664" s="540"/>
      <c r="J664" s="540"/>
      <c r="K664" s="540"/>
      <c r="L664" s="540"/>
      <c r="M664" s="540"/>
      <c r="N664" s="540"/>
      <c r="O664" s="540"/>
      <c r="P664" s="540"/>
      <c r="Q664" s="540"/>
      <c r="R664" s="540"/>
      <c r="S664" s="540"/>
      <c r="T664" s="540"/>
      <c r="U664" s="540"/>
      <c r="V664" s="540"/>
      <c r="W664" s="540"/>
      <c r="X664" s="540"/>
      <c r="Y664" s="540"/>
      <c r="Z664" s="540"/>
      <c r="AA664" s="540"/>
      <c r="AB664" s="540"/>
      <c r="AC664" s="540"/>
    </row>
    <row r="665" spans="1:29">
      <c r="A665" s="5" t="s">
        <v>545</v>
      </c>
      <c r="C665" s="5"/>
      <c r="D665" s="5"/>
      <c r="E665" s="543">
        <f>IF(E247+E317+E390+E460+E530+E598=0,0,(E247*E251+E317*E321+E390*E394+E460*E464+E530*E534+E598*E602)/(E247+E317+E390+E460+E530+E598))</f>
        <v>0</v>
      </c>
      <c r="F665" s="543">
        <f t="shared" ref="F665:U665" si="307">IF(F247+F317+F390+F460+F530+F598=0,0,(F247*F251+F317*F321+F390*F394+F460*F464+F530*F534+F598*F602)/(F247+F317+F390+F460+F530+F598))</f>
        <v>0</v>
      </c>
      <c r="G665" s="543">
        <f t="shared" si="307"/>
        <v>0</v>
      </c>
      <c r="H665" s="543">
        <f t="shared" si="307"/>
        <v>0</v>
      </c>
      <c r="I665" s="543">
        <f t="shared" si="307"/>
        <v>-2.375</v>
      </c>
      <c r="J665" s="543">
        <f t="shared" ca="1" si="307"/>
        <v>19.140888888888881</v>
      </c>
      <c r="K665" s="543">
        <f t="shared" ca="1" si="307"/>
        <v>16.611666666666665</v>
      </c>
      <c r="L665" s="543">
        <f t="shared" ca="1" si="307"/>
        <v>15.968166666666663</v>
      </c>
      <c r="M665" s="543">
        <f t="shared" ca="1" si="307"/>
        <v>16.046749999999999</v>
      </c>
      <c r="N665" s="543">
        <f t="shared" ca="1" si="307"/>
        <v>16.200749999999999</v>
      </c>
      <c r="O665" s="543">
        <f t="shared" ca="1" si="307"/>
        <v>16.356416666666668</v>
      </c>
      <c r="P665" s="543">
        <f t="shared" ca="1" si="307"/>
        <v>16.531166666666664</v>
      </c>
      <c r="Q665" s="543">
        <f t="shared" ca="1" si="307"/>
        <v>16.723166666666668</v>
      </c>
      <c r="R665" s="543">
        <f t="shared" ca="1" si="307"/>
        <v>16.925749999999997</v>
      </c>
      <c r="S665" s="543">
        <f t="shared" ca="1" si="307"/>
        <v>17.1355</v>
      </c>
      <c r="T665" s="543">
        <f t="shared" ca="1" si="307"/>
        <v>17.345083333333335</v>
      </c>
      <c r="U665" s="543">
        <f t="shared" ca="1" si="307"/>
        <v>17.555416666666662</v>
      </c>
      <c r="V665" s="543">
        <f t="shared" ref="V665:AC665" ca="1" si="308">IF(V247+V317+V390+V460+V530+V598=0,0,(V247*V251+V317*V321+V390*V394+V460*V464+V530*V534+V598*V602)/(V247+V317+V390+V460+V530+V598))</f>
        <v>17.76541666666666</v>
      </c>
      <c r="W665" s="543">
        <f t="shared" ca="1" si="308"/>
        <v>17.975250000000003</v>
      </c>
      <c r="X665" s="543">
        <f t="shared" ca="1" si="308"/>
        <v>18.468916666666665</v>
      </c>
      <c r="Y665" s="543">
        <f t="shared" ca="1" si="308"/>
        <v>18.951833333333337</v>
      </c>
      <c r="Z665" s="543">
        <f t="shared" ca="1" si="308"/>
        <v>19.252249999999993</v>
      </c>
      <c r="AA665" s="543">
        <f t="shared" ca="1" si="308"/>
        <v>19.551999999999996</v>
      </c>
      <c r="AB665" s="543">
        <f t="shared" ca="1" si="308"/>
        <v>19.85166666666667</v>
      </c>
      <c r="AC665" s="543">
        <f t="shared" ca="1" si="308"/>
        <v>20.076999999999998</v>
      </c>
    </row>
    <row r="666" spans="1:29">
      <c r="A666" s="83" t="s">
        <v>546</v>
      </c>
      <c r="C666" s="5"/>
      <c r="D666" s="5"/>
      <c r="E666" s="5">
        <f>E247+E317+E390+E460+E530+E598</f>
        <v>0</v>
      </c>
      <c r="F666" s="5">
        <f t="shared" ref="F666:U666" si="309">F247+F317+F390+F460+F530+F598</f>
        <v>0</v>
      </c>
      <c r="G666" s="5">
        <f t="shared" si="309"/>
        <v>0</v>
      </c>
      <c r="H666" s="5">
        <f t="shared" si="309"/>
        <v>0</v>
      </c>
      <c r="I666" s="5">
        <f t="shared" si="309"/>
        <v>67.48969225892337</v>
      </c>
      <c r="J666" s="5">
        <f t="shared" si="309"/>
        <v>137.94638451784675</v>
      </c>
      <c r="K666" s="5">
        <f t="shared" si="309"/>
        <v>107.09038546675102</v>
      </c>
      <c r="L666" s="5">
        <f t="shared" si="309"/>
        <v>87.7089409730863</v>
      </c>
      <c r="M666" s="5">
        <f t="shared" si="309"/>
        <v>77.505116740789632</v>
      </c>
      <c r="N666" s="5">
        <f t="shared" si="309"/>
        <v>57.388026721603559</v>
      </c>
      <c r="O666" s="5">
        <f t="shared" si="309"/>
        <v>43.899425714965552</v>
      </c>
      <c r="P666" s="5">
        <f t="shared" si="309"/>
        <v>32.046551107649684</v>
      </c>
      <c r="Q666" s="5">
        <f t="shared" si="309"/>
        <v>25.290600128011402</v>
      </c>
      <c r="R666" s="5">
        <f t="shared" si="309"/>
        <v>19.96378666447497</v>
      </c>
      <c r="S666" s="5">
        <f t="shared" si="309"/>
        <v>15.763360380428766</v>
      </c>
      <c r="T666" s="5">
        <f t="shared" si="309"/>
        <v>12.450315937591089</v>
      </c>
      <c r="U666" s="5">
        <f t="shared" si="309"/>
        <v>9.8367915893701738</v>
      </c>
      <c r="V666" s="5">
        <f t="shared" ref="V666:AC666" si="310">V247+V317+V390+V460+V530+V598</f>
        <v>7.7743699354515208</v>
      </c>
      <c r="W666" s="5">
        <f t="shared" si="310"/>
        <v>6.14566159726387</v>
      </c>
      <c r="X666" s="5">
        <f t="shared" si="310"/>
        <v>4.8606847026129838</v>
      </c>
      <c r="Y666" s="5">
        <f t="shared" si="310"/>
        <v>3.8456570038399405</v>
      </c>
      <c r="Z666" s="5">
        <f t="shared" si="310"/>
        <v>2.7898992128673235</v>
      </c>
      <c r="AA666" s="5">
        <f t="shared" si="310"/>
        <v>2.1946124504090836</v>
      </c>
      <c r="AB666" s="5">
        <f t="shared" si="310"/>
        <v>1.7263432977353248</v>
      </c>
      <c r="AC666" s="5">
        <f t="shared" si="310"/>
        <v>1.3579897357641186</v>
      </c>
    </row>
    <row r="667" spans="1:29">
      <c r="A667" s="5" t="s">
        <v>547</v>
      </c>
      <c r="C667" s="5"/>
      <c r="D667" s="5"/>
      <c r="E667" s="168">
        <f>E665*E666*1000/unit</f>
        <v>0</v>
      </c>
      <c r="F667" s="168">
        <f>F665*F666</f>
        <v>0</v>
      </c>
      <c r="G667" s="168">
        <f t="shared" ref="G667:V667" si="311">G665*G666*1000/unit</f>
        <v>0</v>
      </c>
      <c r="H667" s="168">
        <f t="shared" si="311"/>
        <v>0</v>
      </c>
      <c r="I667" s="168">
        <f t="shared" si="311"/>
        <v>-160.28801911494301</v>
      </c>
      <c r="J667" s="168">
        <f t="shared" ca="1" si="311"/>
        <v>2640.4164186800463</v>
      </c>
      <c r="K667" s="168">
        <f t="shared" ca="1" si="311"/>
        <v>1778.949786578512</v>
      </c>
      <c r="L667" s="168">
        <f t="shared" ca="1" si="311"/>
        <v>1400.5509876150704</v>
      </c>
      <c r="M667" s="168">
        <f t="shared" ca="1" si="311"/>
        <v>1243.7052320602659</v>
      </c>
      <c r="N667" s="168">
        <f t="shared" ca="1" si="311"/>
        <v>929.72907391001877</v>
      </c>
      <c r="O667" s="168">
        <f t="shared" ca="1" si="311"/>
        <v>718.03729842135783</v>
      </c>
      <c r="P667" s="168">
        <f t="shared" ca="1" si="311"/>
        <v>529.76687745240815</v>
      </c>
      <c r="Q667" s="168">
        <f t="shared" ca="1" si="311"/>
        <v>422.93892104075604</v>
      </c>
      <c r="R667" s="168">
        <f t="shared" ca="1" si="311"/>
        <v>337.90206213623719</v>
      </c>
      <c r="S667" s="168">
        <f t="shared" ca="1" si="311"/>
        <v>270.11306179883707</v>
      </c>
      <c r="T667" s="168">
        <f t="shared" ca="1" si="311"/>
        <v>215.95176746384558</v>
      </c>
      <c r="U667" s="168">
        <f t="shared" ca="1" si="311"/>
        <v>172.68897501455561</v>
      </c>
      <c r="V667" s="168">
        <f t="shared" ca="1" si="311"/>
        <v>138.11492122410266</v>
      </c>
      <c r="W667" s="168">
        <f t="shared" ref="W667:AC667" ca="1" si="312">W665*W666*1000/unit</f>
        <v>110.4698036262174</v>
      </c>
      <c r="X667" s="168">
        <f t="shared" ca="1" si="312"/>
        <v>89.771580715500633</v>
      </c>
      <c r="Y667" s="168">
        <f t="shared" ca="1" si="312"/>
        <v>72.882250593940597</v>
      </c>
      <c r="Z667" s="168">
        <f t="shared" ca="1" si="312"/>
        <v>53.711837120924905</v>
      </c>
      <c r="AA667" s="168">
        <f t="shared" ca="1" si="312"/>
        <v>42.909062630398395</v>
      </c>
      <c r="AB667" s="168">
        <f t="shared" ca="1" si="312"/>
        <v>34.270791698875762</v>
      </c>
      <c r="AC667" s="168">
        <f t="shared" ca="1" si="312"/>
        <v>27.264359924936208</v>
      </c>
    </row>
    <row r="668" spans="1:29">
      <c r="A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69"/>
      <c r="Y668" s="69"/>
      <c r="Z668" s="69"/>
      <c r="AA668" s="69"/>
      <c r="AB668" s="69"/>
      <c r="AC668" s="69"/>
    </row>
    <row r="669" spans="1:29">
      <c r="A669" s="349" t="s">
        <v>548</v>
      </c>
      <c r="C669" s="5"/>
      <c r="D669" s="5"/>
      <c r="E669" s="544"/>
      <c r="F669" s="544"/>
      <c r="G669" s="544"/>
      <c r="H669" s="544"/>
      <c r="I669" s="545">
        <v>0</v>
      </c>
      <c r="J669" s="545">
        <v>0</v>
      </c>
      <c r="K669" s="545">
        <v>0</v>
      </c>
      <c r="L669" s="545">
        <v>0</v>
      </c>
      <c r="M669" s="545">
        <v>0</v>
      </c>
      <c r="N669" s="545">
        <v>0</v>
      </c>
      <c r="O669" s="545">
        <v>0</v>
      </c>
      <c r="P669" s="545">
        <v>0</v>
      </c>
      <c r="Q669" s="545">
        <v>0</v>
      </c>
      <c r="R669" s="545">
        <f t="shared" ref="R669:AC669" si="313">+R860</f>
        <v>0</v>
      </c>
      <c r="S669" s="545">
        <f t="shared" si="313"/>
        <v>0</v>
      </c>
      <c r="T669" s="545">
        <f t="shared" si="313"/>
        <v>0</v>
      </c>
      <c r="U669" s="545">
        <f t="shared" si="313"/>
        <v>0</v>
      </c>
      <c r="V669" s="545">
        <f t="shared" si="313"/>
        <v>0</v>
      </c>
      <c r="W669" s="545">
        <f t="shared" si="313"/>
        <v>0</v>
      </c>
      <c r="X669" s="545">
        <f t="shared" si="313"/>
        <v>0</v>
      </c>
      <c r="Y669" s="545">
        <f t="shared" si="313"/>
        <v>0</v>
      </c>
      <c r="Z669" s="545">
        <f t="shared" si="313"/>
        <v>0</v>
      </c>
      <c r="AA669" s="545">
        <f t="shared" si="313"/>
        <v>0</v>
      </c>
      <c r="AB669" s="545">
        <f t="shared" si="313"/>
        <v>0</v>
      </c>
      <c r="AC669" s="545">
        <f t="shared" si="313"/>
        <v>0</v>
      </c>
    </row>
    <row r="670" spans="1:29">
      <c r="A670" s="229" t="s">
        <v>549</v>
      </c>
      <c r="C670" s="5"/>
      <c r="D670" s="5"/>
      <c r="E670" s="544"/>
      <c r="F670" s="544"/>
      <c r="G670" s="544"/>
      <c r="H670" s="544"/>
      <c r="I670" s="231">
        <f>IF(I666&lt;0,0,MIN(I666,I669-+H672))</f>
        <v>0</v>
      </c>
      <c r="J670" s="231">
        <f t="shared" ref="J670:Y670" si="314">IF(J666&lt;0,0,MIN(J666,J669-+I672))</f>
        <v>0</v>
      </c>
      <c r="K670" s="231">
        <f t="shared" si="314"/>
        <v>0</v>
      </c>
      <c r="L670" s="231">
        <f t="shared" si="314"/>
        <v>0</v>
      </c>
      <c r="M670" s="231">
        <f t="shared" si="314"/>
        <v>0</v>
      </c>
      <c r="N670" s="231">
        <f t="shared" si="314"/>
        <v>0</v>
      </c>
      <c r="O670" s="231">
        <f t="shared" si="314"/>
        <v>0</v>
      </c>
      <c r="P670" s="231">
        <f t="shared" si="314"/>
        <v>0</v>
      </c>
      <c r="Q670" s="231">
        <f t="shared" si="314"/>
        <v>0</v>
      </c>
      <c r="R670" s="231">
        <f t="shared" si="314"/>
        <v>0</v>
      </c>
      <c r="S670" s="231">
        <f t="shared" si="314"/>
        <v>0</v>
      </c>
      <c r="T670" s="231">
        <f t="shared" si="314"/>
        <v>0</v>
      </c>
      <c r="U670" s="231">
        <f t="shared" si="314"/>
        <v>0</v>
      </c>
      <c r="V670" s="231">
        <f t="shared" si="314"/>
        <v>0</v>
      </c>
      <c r="W670" s="231">
        <f t="shared" si="314"/>
        <v>0</v>
      </c>
      <c r="X670" s="231">
        <f t="shared" si="314"/>
        <v>0</v>
      </c>
      <c r="Y670" s="231">
        <f t="shared" si="314"/>
        <v>0</v>
      </c>
      <c r="Z670" s="231">
        <f>IF(Z666&lt;0,0,MIN(Z666,Z669-+Y672))</f>
        <v>0</v>
      </c>
      <c r="AA670" s="231">
        <f>IF(AA666&lt;0,0,MIN(AA666,AA669-+Z672))</f>
        <v>0</v>
      </c>
      <c r="AB670" s="231">
        <f>IF(AB666&lt;0,0,MIN(AB666,AB669-+AA672))</f>
        <v>0</v>
      </c>
      <c r="AC670" s="231">
        <f>IF(AC666&lt;0,0,MIN(AC666,AC669-+AB672))</f>
        <v>0</v>
      </c>
    </row>
    <row r="671" spans="1:29">
      <c r="A671" s="229" t="s">
        <v>550</v>
      </c>
      <c r="C671" s="5"/>
      <c r="D671" s="5"/>
      <c r="E671" s="544"/>
      <c r="F671" s="544"/>
      <c r="G671" s="544"/>
      <c r="H671" s="544"/>
      <c r="I671" s="231">
        <f>+I670-I669</f>
        <v>0</v>
      </c>
      <c r="J671" s="231">
        <f>+J670-J669</f>
        <v>0</v>
      </c>
      <c r="K671" s="231">
        <f t="shared" ref="K671:Z671" si="315">+K670-K669</f>
        <v>0</v>
      </c>
      <c r="L671" s="231">
        <f t="shared" si="315"/>
        <v>0</v>
      </c>
      <c r="M671" s="231">
        <f t="shared" si="315"/>
        <v>0</v>
      </c>
      <c r="N671" s="231">
        <f t="shared" si="315"/>
        <v>0</v>
      </c>
      <c r="O671" s="231">
        <f t="shared" si="315"/>
        <v>0</v>
      </c>
      <c r="P671" s="231">
        <f t="shared" si="315"/>
        <v>0</v>
      </c>
      <c r="Q671" s="231">
        <f t="shared" si="315"/>
        <v>0</v>
      </c>
      <c r="R671" s="231">
        <f t="shared" si="315"/>
        <v>0</v>
      </c>
      <c r="S671" s="231">
        <f t="shared" si="315"/>
        <v>0</v>
      </c>
      <c r="T671" s="231">
        <f t="shared" si="315"/>
        <v>0</v>
      </c>
      <c r="U671" s="231">
        <f t="shared" si="315"/>
        <v>0</v>
      </c>
      <c r="V671" s="231">
        <f t="shared" si="315"/>
        <v>0</v>
      </c>
      <c r="W671" s="231">
        <f t="shared" si="315"/>
        <v>0</v>
      </c>
      <c r="X671" s="231">
        <f t="shared" si="315"/>
        <v>0</v>
      </c>
      <c r="Y671" s="231">
        <f t="shared" si="315"/>
        <v>0</v>
      </c>
      <c r="Z671" s="231">
        <f t="shared" si="315"/>
        <v>0</v>
      </c>
      <c r="AA671" s="231">
        <f>+AA670-AA669</f>
        <v>0</v>
      </c>
      <c r="AB671" s="231">
        <f>+AB670-AB669</f>
        <v>0</v>
      </c>
      <c r="AC671" s="231">
        <f>+AC670-AC669</f>
        <v>0</v>
      </c>
    </row>
    <row r="672" spans="1:29">
      <c r="A672" s="349" t="s">
        <v>551</v>
      </c>
      <c r="C672" s="5"/>
      <c r="D672" s="5"/>
      <c r="E672" s="544"/>
      <c r="F672" s="544"/>
      <c r="G672" s="544"/>
      <c r="H672" s="544"/>
      <c r="I672" s="544">
        <f t="shared" ref="I672:Z672" si="316">+I671+H672</f>
        <v>0</v>
      </c>
      <c r="J672" s="544">
        <f t="shared" si="316"/>
        <v>0</v>
      </c>
      <c r="K672" s="544">
        <f t="shared" si="316"/>
        <v>0</v>
      </c>
      <c r="L672" s="544">
        <f t="shared" si="316"/>
        <v>0</v>
      </c>
      <c r="M672" s="544">
        <f t="shared" si="316"/>
        <v>0</v>
      </c>
      <c r="N672" s="544">
        <f t="shared" si="316"/>
        <v>0</v>
      </c>
      <c r="O672" s="544">
        <f t="shared" si="316"/>
        <v>0</v>
      </c>
      <c r="P672" s="544">
        <f t="shared" si="316"/>
        <v>0</v>
      </c>
      <c r="Q672" s="544">
        <f t="shared" si="316"/>
        <v>0</v>
      </c>
      <c r="R672" s="544">
        <f t="shared" si="316"/>
        <v>0</v>
      </c>
      <c r="S672" s="544">
        <f t="shared" si="316"/>
        <v>0</v>
      </c>
      <c r="T672" s="544">
        <f t="shared" si="316"/>
        <v>0</v>
      </c>
      <c r="U672" s="544">
        <f t="shared" si="316"/>
        <v>0</v>
      </c>
      <c r="V672" s="544">
        <f t="shared" si="316"/>
        <v>0</v>
      </c>
      <c r="W672" s="544">
        <f t="shared" si="316"/>
        <v>0</v>
      </c>
      <c r="X672" s="544">
        <f t="shared" si="316"/>
        <v>0</v>
      </c>
      <c r="Y672" s="544">
        <f t="shared" si="316"/>
        <v>0</v>
      </c>
      <c r="Z672" s="544">
        <f t="shared" si="316"/>
        <v>0</v>
      </c>
      <c r="AA672" s="544">
        <f>+AA671+Z672</f>
        <v>0</v>
      </c>
      <c r="AB672" s="544">
        <f>+AB671+AA672</f>
        <v>0</v>
      </c>
      <c r="AC672" s="544">
        <f>+AC671+AB672</f>
        <v>0</v>
      </c>
    </row>
    <row r="673" spans="1:29">
      <c r="A673" s="403"/>
      <c r="C673" s="5"/>
      <c r="D673" s="5"/>
      <c r="E673" s="544"/>
      <c r="F673" s="544"/>
      <c r="G673" s="544"/>
      <c r="H673" s="544"/>
      <c r="I673" s="544"/>
      <c r="J673" s="544"/>
      <c r="K673" s="544"/>
      <c r="L673" s="544"/>
      <c r="M673" s="544"/>
      <c r="N673" s="544"/>
      <c r="O673" s="544"/>
      <c r="P673" s="544"/>
      <c r="Q673" s="544"/>
      <c r="R673" s="544"/>
      <c r="S673" s="544"/>
      <c r="T673" s="544"/>
      <c r="U673" s="544"/>
      <c r="V673" s="544"/>
      <c r="W673" s="544"/>
      <c r="X673" s="544"/>
      <c r="Y673" s="544"/>
      <c r="Z673" s="544"/>
      <c r="AA673" s="544"/>
      <c r="AB673" s="544"/>
      <c r="AC673" s="544"/>
    </row>
    <row r="674" spans="1:29">
      <c r="A674" s="77" t="s">
        <v>552</v>
      </c>
      <c r="C674" s="5"/>
      <c r="D674" s="5"/>
      <c r="E674" s="544"/>
      <c r="F674" s="544"/>
      <c r="G674" s="544"/>
      <c r="H674" s="544"/>
      <c r="I674" s="546">
        <f t="shared" ref="I674:R674" si="317">+I251</f>
        <v>-2.375</v>
      </c>
      <c r="J674" s="546">
        <f t="shared" ca="1" si="317"/>
        <v>19.140888888888885</v>
      </c>
      <c r="K674" s="546">
        <f t="shared" ca="1" si="317"/>
        <v>16.611666666666665</v>
      </c>
      <c r="L674" s="546">
        <f t="shared" ca="1" si="317"/>
        <v>15.968166666666665</v>
      </c>
      <c r="M674" s="546">
        <f t="shared" ca="1" si="317"/>
        <v>16.046749999999999</v>
      </c>
      <c r="N674" s="546">
        <f t="shared" ca="1" si="317"/>
        <v>16.200749999999999</v>
      </c>
      <c r="O674" s="546">
        <f t="shared" ca="1" si="317"/>
        <v>16.356416666666668</v>
      </c>
      <c r="P674" s="546">
        <f t="shared" ca="1" si="317"/>
        <v>16.531166666666667</v>
      </c>
      <c r="Q674" s="546">
        <f t="shared" ca="1" si="317"/>
        <v>16.723166666666668</v>
      </c>
      <c r="R674" s="546">
        <f t="shared" ca="1" si="317"/>
        <v>16.925749999999997</v>
      </c>
      <c r="S674" s="546">
        <f t="shared" ref="S674:AC674" ca="1" si="318">+S251</f>
        <v>17.1355</v>
      </c>
      <c r="T674" s="546">
        <f t="shared" ca="1" si="318"/>
        <v>17.345083333333339</v>
      </c>
      <c r="U674" s="546">
        <f t="shared" ca="1" si="318"/>
        <v>17.555416666666662</v>
      </c>
      <c r="V674" s="546">
        <f t="shared" ca="1" si="318"/>
        <v>17.765416666666663</v>
      </c>
      <c r="W674" s="546">
        <f t="shared" ca="1" si="318"/>
        <v>17.975249999999999</v>
      </c>
      <c r="X674" s="546">
        <f t="shared" ca="1" si="318"/>
        <v>18.468916666666669</v>
      </c>
      <c r="Y674" s="546">
        <f t="shared" ca="1" si="318"/>
        <v>18.951833333333337</v>
      </c>
      <c r="Z674" s="546">
        <f t="shared" ca="1" si="318"/>
        <v>19.252249999999993</v>
      </c>
      <c r="AA674" s="546">
        <f t="shared" ca="1" si="318"/>
        <v>19.551999999999996</v>
      </c>
      <c r="AB674" s="546">
        <f t="shared" ca="1" si="318"/>
        <v>19.85166666666667</v>
      </c>
      <c r="AC674" s="546">
        <f t="shared" ca="1" si="318"/>
        <v>20.076999999999998</v>
      </c>
    </row>
    <row r="675" spans="1:29">
      <c r="A675" s="77" t="s">
        <v>553</v>
      </c>
      <c r="C675" s="5"/>
      <c r="D675" s="5"/>
      <c r="E675" s="544"/>
      <c r="F675" s="544"/>
      <c r="G675" s="544"/>
      <c r="H675" s="544"/>
      <c r="I675" s="547">
        <f>I670*I674</f>
        <v>0</v>
      </c>
      <c r="J675" s="547">
        <f t="shared" ref="J675:Z675" ca="1" si="319">J670*J674</f>
        <v>0</v>
      </c>
      <c r="K675" s="547">
        <f t="shared" ca="1" si="319"/>
        <v>0</v>
      </c>
      <c r="L675" s="547">
        <f t="shared" ca="1" si="319"/>
        <v>0</v>
      </c>
      <c r="M675" s="547">
        <f t="shared" ca="1" si="319"/>
        <v>0</v>
      </c>
      <c r="N675" s="547">
        <f t="shared" ca="1" si="319"/>
        <v>0</v>
      </c>
      <c r="O675" s="547">
        <f t="shared" ca="1" si="319"/>
        <v>0</v>
      </c>
      <c r="P675" s="547">
        <f t="shared" ca="1" si="319"/>
        <v>0</v>
      </c>
      <c r="Q675" s="547">
        <f t="shared" ca="1" si="319"/>
        <v>0</v>
      </c>
      <c r="R675" s="547">
        <f t="shared" ca="1" si="319"/>
        <v>0</v>
      </c>
      <c r="S675" s="547">
        <f t="shared" ca="1" si="319"/>
        <v>0</v>
      </c>
      <c r="T675" s="547">
        <f t="shared" ca="1" si="319"/>
        <v>0</v>
      </c>
      <c r="U675" s="547">
        <f t="shared" ca="1" si="319"/>
        <v>0</v>
      </c>
      <c r="V675" s="547">
        <f t="shared" ca="1" si="319"/>
        <v>0</v>
      </c>
      <c r="W675" s="547">
        <f t="shared" ca="1" si="319"/>
        <v>0</v>
      </c>
      <c r="X675" s="547">
        <f t="shared" ca="1" si="319"/>
        <v>0</v>
      </c>
      <c r="Y675" s="547">
        <f t="shared" ca="1" si="319"/>
        <v>0</v>
      </c>
      <c r="Z675" s="547">
        <f t="shared" ca="1" si="319"/>
        <v>0</v>
      </c>
      <c r="AA675" s="547">
        <f ca="1">AA670*AA674</f>
        <v>0</v>
      </c>
      <c r="AB675" s="547">
        <f ca="1">AB670*AB674</f>
        <v>0</v>
      </c>
      <c r="AC675" s="547">
        <f ca="1">AC670*AC674</f>
        <v>0</v>
      </c>
    </row>
    <row r="676" spans="1:29">
      <c r="A676" s="77"/>
      <c r="C676" s="5"/>
      <c r="D676" s="5"/>
      <c r="E676" s="544"/>
      <c r="F676" s="544"/>
      <c r="G676" s="544"/>
      <c r="H676" s="544"/>
      <c r="I676" s="544"/>
      <c r="J676" s="544"/>
      <c r="K676" s="544"/>
      <c r="L676" s="544"/>
      <c r="M676" s="544"/>
      <c r="N676" s="544"/>
      <c r="O676" s="544"/>
      <c r="P676" s="544"/>
      <c r="Q676" s="544"/>
      <c r="R676" s="544"/>
      <c r="S676" s="544"/>
      <c r="T676" s="544"/>
      <c r="U676" s="544"/>
      <c r="V676" s="544"/>
      <c r="W676" s="544"/>
      <c r="X676" s="544"/>
      <c r="Y676" s="544"/>
      <c r="Z676" s="544"/>
      <c r="AA676" s="544"/>
      <c r="AB676" s="544"/>
      <c r="AC676" s="544"/>
    </row>
    <row r="677" spans="1:29">
      <c r="A677" s="5" t="s">
        <v>554</v>
      </c>
      <c r="C677" s="5"/>
      <c r="D677" s="5"/>
      <c r="E677" s="168">
        <f>E667-E675</f>
        <v>0</v>
      </c>
      <c r="F677" s="168">
        <f>F667-F675</f>
        <v>0</v>
      </c>
      <c r="G677" s="168">
        <f>G667-G675</f>
        <v>0</v>
      </c>
      <c r="H677" s="168">
        <f>H667-H675</f>
        <v>0</v>
      </c>
      <c r="I677" s="168">
        <f>I667-I675</f>
        <v>-160.28801911494301</v>
      </c>
      <c r="J677" s="168">
        <f t="shared" ref="J677:Z677" ca="1" si="320">J667-J675</f>
        <v>2640.4164186800463</v>
      </c>
      <c r="K677" s="168">
        <f t="shared" ca="1" si="320"/>
        <v>1778.949786578512</v>
      </c>
      <c r="L677" s="168">
        <f t="shared" ca="1" si="320"/>
        <v>1400.5509876150704</v>
      </c>
      <c r="M677" s="168">
        <f t="shared" ca="1" si="320"/>
        <v>1243.7052320602659</v>
      </c>
      <c r="N677" s="168">
        <f t="shared" ca="1" si="320"/>
        <v>929.72907391001877</v>
      </c>
      <c r="O677" s="168">
        <f t="shared" ca="1" si="320"/>
        <v>718.03729842135783</v>
      </c>
      <c r="P677" s="168">
        <f t="shared" ca="1" si="320"/>
        <v>529.76687745240815</v>
      </c>
      <c r="Q677" s="168">
        <f t="shared" ca="1" si="320"/>
        <v>422.93892104075604</v>
      </c>
      <c r="R677" s="168">
        <f t="shared" ca="1" si="320"/>
        <v>337.90206213623719</v>
      </c>
      <c r="S677" s="168">
        <f t="shared" ca="1" si="320"/>
        <v>270.11306179883707</v>
      </c>
      <c r="T677" s="168">
        <f t="shared" ca="1" si="320"/>
        <v>215.95176746384558</v>
      </c>
      <c r="U677" s="168">
        <f t="shared" ca="1" si="320"/>
        <v>172.68897501455561</v>
      </c>
      <c r="V677" s="168">
        <f t="shared" ca="1" si="320"/>
        <v>138.11492122410266</v>
      </c>
      <c r="W677" s="168">
        <f t="shared" ca="1" si="320"/>
        <v>110.4698036262174</v>
      </c>
      <c r="X677" s="168">
        <f t="shared" ca="1" si="320"/>
        <v>89.771580715500633</v>
      </c>
      <c r="Y677" s="168">
        <f t="shared" ca="1" si="320"/>
        <v>72.882250593940597</v>
      </c>
      <c r="Z677" s="168">
        <f t="shared" ca="1" si="320"/>
        <v>53.711837120924905</v>
      </c>
      <c r="AA677" s="168">
        <f ca="1">AA667-AA675</f>
        <v>42.909062630398395</v>
      </c>
      <c r="AB677" s="168">
        <f ca="1">AB667-AB675</f>
        <v>34.270791698875762</v>
      </c>
      <c r="AC677" s="168">
        <f ca="1">AC667-AC675</f>
        <v>27.264359924936208</v>
      </c>
    </row>
    <row r="678" spans="1:29" ht="12" thickBot="1">
      <c r="A678" s="5"/>
      <c r="C678" s="5"/>
      <c r="D678" s="5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</row>
    <row r="679" spans="1:29" ht="12" thickTop="1">
      <c r="A679" s="443"/>
      <c r="B679" s="443"/>
      <c r="C679" s="443"/>
      <c r="D679" s="443"/>
      <c r="E679" s="443"/>
      <c r="F679" s="443"/>
      <c r="G679" s="443"/>
      <c r="H679" s="443"/>
      <c r="I679" s="443"/>
      <c r="J679" s="443"/>
      <c r="K679" s="443"/>
      <c r="L679" s="443"/>
      <c r="M679" s="443"/>
      <c r="N679" s="443"/>
      <c r="O679" s="443"/>
      <c r="P679" s="443"/>
      <c r="Q679" s="443"/>
      <c r="R679" s="443"/>
      <c r="S679" s="443"/>
      <c r="T679" s="443"/>
      <c r="U679" s="443"/>
      <c r="V679" s="443"/>
      <c r="W679" s="443"/>
      <c r="X679" s="443"/>
      <c r="Y679" s="443"/>
      <c r="Z679" s="443"/>
      <c r="AA679" s="443"/>
      <c r="AB679" s="443"/>
      <c r="AC679" s="443"/>
    </row>
    <row r="680" spans="1:29">
      <c r="A680" s="5" t="s">
        <v>555</v>
      </c>
      <c r="C680" s="5"/>
      <c r="D680" s="5"/>
      <c r="E680" s="543">
        <f>IF(E263+E333+E406+E476+E546+E612=0,0,(E263*E267+E333*E337+E406*E410+E476*E480+E546*E550+E612*E616)/(E263+E333+E406+E476+E546+E612))</f>
        <v>0</v>
      </c>
      <c r="F680" s="543">
        <f t="shared" ref="F680:U680" si="321">IF(F263+F333+F406+F476+F546+F612=0,0,(F263*F267+F333*F337+F406*F410+F476*F480+F546*F550+F612*F616)/(F263+F333+F406+F476+F546+F612))</f>
        <v>0</v>
      </c>
      <c r="G680" s="543">
        <f t="shared" si="321"/>
        <v>0</v>
      </c>
      <c r="H680" s="543">
        <f t="shared" si="321"/>
        <v>0</v>
      </c>
      <c r="I680" s="543">
        <f t="shared" si="321"/>
        <v>-0.37499999999999994</v>
      </c>
      <c r="J680" s="543">
        <f t="shared" ca="1" si="321"/>
        <v>1.8639999999999999</v>
      </c>
      <c r="K680" s="543">
        <f t="shared" ca="1" si="321"/>
        <v>1.6417499999999994</v>
      </c>
      <c r="L680" s="543">
        <f t="shared" ca="1" si="321"/>
        <v>1.6408333333333331</v>
      </c>
      <c r="M680" s="543">
        <f t="shared" ca="1" si="321"/>
        <v>1.6295833333333336</v>
      </c>
      <c r="N680" s="543">
        <f t="shared" ca="1" si="321"/>
        <v>1.6304166666666666</v>
      </c>
      <c r="O680" s="543">
        <f t="shared" ca="1" si="321"/>
        <v>1.6383333333333332</v>
      </c>
      <c r="P680" s="543">
        <f t="shared" ca="1" si="321"/>
        <v>1.6541666666666663</v>
      </c>
      <c r="Q680" s="543">
        <f t="shared" ca="1" si="321"/>
        <v>1.68</v>
      </c>
      <c r="R680" s="543">
        <f t="shared" ca="1" si="321"/>
        <v>1.721666666666666</v>
      </c>
      <c r="S680" s="543">
        <f t="shared" ca="1" si="321"/>
        <v>1.7833333333333328</v>
      </c>
      <c r="T680" s="543">
        <f t="shared" ca="1" si="321"/>
        <v>1.8649999999999991</v>
      </c>
      <c r="U680" s="543">
        <f t="shared" ca="1" si="321"/>
        <v>1.9666666666666663</v>
      </c>
      <c r="V680" s="543">
        <f t="shared" ref="V680:AC680" ca="1" si="322">IF(V263+V333+V406+V476+V546+V612=0,0,(V263*V267+V333*V337+V406*V410+V476*V480+V546*V550+V612*V616)/(V263+V333+V406+V476+V546+V612))</f>
        <v>2.0824999999999991</v>
      </c>
      <c r="W680" s="543">
        <f t="shared" ca="1" si="322"/>
        <v>2.208333333333333</v>
      </c>
      <c r="X680" s="543">
        <f t="shared" ca="1" si="322"/>
        <v>2.3441666666666663</v>
      </c>
      <c r="Y680" s="543">
        <f t="shared" ca="1" si="322"/>
        <v>2.4899999999999998</v>
      </c>
      <c r="Z680" s="543">
        <f t="shared" ca="1" si="322"/>
        <v>2.6458333333333326</v>
      </c>
      <c r="AA680" s="543">
        <f t="shared" ca="1" si="322"/>
        <v>2.811666666666667</v>
      </c>
      <c r="AB680" s="543">
        <f t="shared" ca="1" si="322"/>
        <v>2.9874999999999998</v>
      </c>
      <c r="AC680" s="543">
        <f t="shared" ca="1" si="322"/>
        <v>3.173333333333332</v>
      </c>
    </row>
    <row r="681" spans="1:29">
      <c r="A681" s="83" t="s">
        <v>192</v>
      </c>
      <c r="C681" s="5"/>
      <c r="D681" s="5"/>
      <c r="E681" s="5">
        <f>E263+E333+E406+E476+E546+E612</f>
        <v>0</v>
      </c>
      <c r="F681" s="5">
        <f t="shared" ref="F681:U681" si="323">F263+F333+F406+F476+F546+F612</f>
        <v>0</v>
      </c>
      <c r="G681" s="5">
        <f t="shared" si="323"/>
        <v>0</v>
      </c>
      <c r="H681" s="5">
        <f t="shared" si="323"/>
        <v>0</v>
      </c>
      <c r="I681" s="5">
        <f t="shared" si="323"/>
        <v>948.23879108898814</v>
      </c>
      <c r="J681" s="5">
        <f t="shared" si="323"/>
        <v>2226.4555821779763</v>
      </c>
      <c r="K681" s="5">
        <f t="shared" si="323"/>
        <v>2216.3195643650329</v>
      </c>
      <c r="L681" s="5">
        <f t="shared" si="323"/>
        <v>2184.2860909189249</v>
      </c>
      <c r="M681" s="5">
        <f t="shared" si="323"/>
        <v>2077.2850328130125</v>
      </c>
      <c r="N681" s="5">
        <f t="shared" si="323"/>
        <v>1992.3040322078073</v>
      </c>
      <c r="O681" s="5">
        <f t="shared" si="323"/>
        <v>1783.1177513222287</v>
      </c>
      <c r="P681" s="5">
        <f t="shared" si="323"/>
        <v>1567.6667372573893</v>
      </c>
      <c r="Q681" s="5">
        <f t="shared" si="323"/>
        <v>1374.6390061793245</v>
      </c>
      <c r="R681" s="5">
        <f t="shared" si="323"/>
        <v>1182.743714447457</v>
      </c>
      <c r="S681" s="5">
        <f t="shared" si="323"/>
        <v>1008.9935116576958</v>
      </c>
      <c r="T681" s="5">
        <f t="shared" si="323"/>
        <v>852.43136627872684</v>
      </c>
      <c r="U681" s="5">
        <f t="shared" si="323"/>
        <v>718.16882300885959</v>
      </c>
      <c r="V681" s="5">
        <f t="shared" ref="V681:AC681" si="324">V263+V333+V406+V476+V546+V612</f>
        <v>591.48079596605999</v>
      </c>
      <c r="W681" s="5">
        <f t="shared" si="324"/>
        <v>486.44212661376559</v>
      </c>
      <c r="X681" s="5">
        <f t="shared" si="324"/>
        <v>395.36224273279038</v>
      </c>
      <c r="Y681" s="5">
        <f t="shared" si="324"/>
        <v>311.49134719631388</v>
      </c>
      <c r="Z681" s="5">
        <f t="shared" si="324"/>
        <v>229.0336448745378</v>
      </c>
      <c r="AA681" s="5">
        <f t="shared" si="324"/>
        <v>174.77118448178211</v>
      </c>
      <c r="AB681" s="5">
        <f t="shared" si="324"/>
        <v>134.21795112539638</v>
      </c>
      <c r="AC681" s="5">
        <f t="shared" si="324"/>
        <v>111.34889605167577</v>
      </c>
    </row>
    <row r="682" spans="1:29">
      <c r="A682" s="5" t="s">
        <v>556</v>
      </c>
      <c r="C682" s="5"/>
      <c r="D682" s="5"/>
      <c r="E682" s="168">
        <f>E681*1000*E680/unit</f>
        <v>0</v>
      </c>
      <c r="F682" s="168">
        <f t="shared" ref="F682:U682" si="325">F681*1000*F680/unit</f>
        <v>0</v>
      </c>
      <c r="G682" s="168">
        <f t="shared" si="325"/>
        <v>0</v>
      </c>
      <c r="H682" s="168">
        <f t="shared" si="325"/>
        <v>0</v>
      </c>
      <c r="I682" s="168">
        <f t="shared" si="325"/>
        <v>-355.58954665837052</v>
      </c>
      <c r="J682" s="168">
        <f t="shared" ca="1" si="325"/>
        <v>4150.1132051797476</v>
      </c>
      <c r="K682" s="168">
        <f t="shared" ca="1" si="325"/>
        <v>3638.6426447962917</v>
      </c>
      <c r="L682" s="168">
        <f t="shared" ca="1" si="325"/>
        <v>3584.049427516135</v>
      </c>
      <c r="M682" s="168">
        <f t="shared" ca="1" si="325"/>
        <v>3385.1090680548728</v>
      </c>
      <c r="N682" s="168">
        <f t="shared" ca="1" si="325"/>
        <v>3248.2856991788126</v>
      </c>
      <c r="O682" s="168">
        <f t="shared" ca="1" si="325"/>
        <v>2921.3412492495845</v>
      </c>
      <c r="P682" s="168">
        <f t="shared" ca="1" si="325"/>
        <v>2593.1820612132642</v>
      </c>
      <c r="Q682" s="168">
        <f t="shared" ca="1" si="325"/>
        <v>2309.393530381265</v>
      </c>
      <c r="R682" s="168">
        <f t="shared" ca="1" si="325"/>
        <v>2036.2904283737046</v>
      </c>
      <c r="S682" s="168">
        <f t="shared" ca="1" si="325"/>
        <v>1799.3717624562237</v>
      </c>
      <c r="T682" s="168">
        <f t="shared" ca="1" si="325"/>
        <v>1589.7844981098247</v>
      </c>
      <c r="U682" s="168">
        <f t="shared" ca="1" si="325"/>
        <v>1412.3986852507571</v>
      </c>
      <c r="V682" s="168">
        <f t="shared" ref="V682:AC682" ca="1" si="326">V681*1000*V680/unit</f>
        <v>1231.7587575993196</v>
      </c>
      <c r="W682" s="168">
        <f t="shared" ca="1" si="326"/>
        <v>1074.2263629387321</v>
      </c>
      <c r="X682" s="168">
        <f t="shared" ca="1" si="326"/>
        <v>926.79499067278255</v>
      </c>
      <c r="Y682" s="168">
        <f t="shared" ca="1" si="326"/>
        <v>775.61345451882153</v>
      </c>
      <c r="Z682" s="168">
        <f t="shared" ca="1" si="326"/>
        <v>605.98485206388114</v>
      </c>
      <c r="AA682" s="168">
        <f t="shared" ca="1" si="326"/>
        <v>491.3983137012774</v>
      </c>
      <c r="AB682" s="168">
        <f t="shared" ca="1" si="326"/>
        <v>400.97612898712168</v>
      </c>
      <c r="AC682" s="168">
        <f t="shared" ca="1" si="326"/>
        <v>353.34716347065097</v>
      </c>
    </row>
    <row r="683" spans="1:29">
      <c r="A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>
      <c r="A684" s="349" t="s">
        <v>548</v>
      </c>
      <c r="C684" s="5"/>
      <c r="D684" s="5"/>
      <c r="E684" s="544"/>
      <c r="F684" s="544"/>
      <c r="G684" s="544"/>
      <c r="H684" s="544"/>
      <c r="I684" s="545">
        <v>0</v>
      </c>
      <c r="J684" s="545">
        <v>0</v>
      </c>
      <c r="K684" s="545">
        <v>0</v>
      </c>
      <c r="L684" s="545">
        <v>0</v>
      </c>
      <c r="M684" s="545">
        <v>0</v>
      </c>
      <c r="N684" s="545">
        <v>0</v>
      </c>
      <c r="O684" s="545">
        <v>0</v>
      </c>
      <c r="P684" s="545">
        <v>0</v>
      </c>
      <c r="Q684" s="545">
        <v>0</v>
      </c>
      <c r="R684" s="545">
        <v>0</v>
      </c>
      <c r="S684" s="545">
        <v>0</v>
      </c>
      <c r="T684" s="545">
        <v>0</v>
      </c>
      <c r="U684" s="545">
        <v>0</v>
      </c>
      <c r="V684" s="545">
        <v>0</v>
      </c>
      <c r="W684" s="545">
        <v>0</v>
      </c>
      <c r="X684" s="545">
        <v>0</v>
      </c>
      <c r="Y684" s="545">
        <v>0</v>
      </c>
      <c r="Z684" s="545">
        <v>0</v>
      </c>
      <c r="AA684" s="545">
        <v>0</v>
      </c>
      <c r="AB684" s="545">
        <v>0</v>
      </c>
      <c r="AC684" s="545">
        <v>0</v>
      </c>
    </row>
    <row r="685" spans="1:29">
      <c r="A685" s="229" t="s">
        <v>549</v>
      </c>
      <c r="C685" s="5"/>
      <c r="D685" s="5"/>
      <c r="E685" s="544"/>
      <c r="F685" s="544"/>
      <c r="G685" s="544"/>
      <c r="H685" s="544"/>
      <c r="I685" s="231">
        <f>IF(I681&lt;0,0,MIN(I681,I684-+H687))</f>
        <v>0</v>
      </c>
      <c r="J685" s="231">
        <f t="shared" ref="J685:Y685" si="327">IF(J681&lt;0,0,MIN(J681,J684-+I687))</f>
        <v>0</v>
      </c>
      <c r="K685" s="231">
        <f t="shared" si="327"/>
        <v>0</v>
      </c>
      <c r="L685" s="231">
        <f t="shared" si="327"/>
        <v>0</v>
      </c>
      <c r="M685" s="231">
        <f t="shared" si="327"/>
        <v>0</v>
      </c>
      <c r="N685" s="231">
        <f t="shared" si="327"/>
        <v>0</v>
      </c>
      <c r="O685" s="231">
        <f t="shared" si="327"/>
        <v>0</v>
      </c>
      <c r="P685" s="231">
        <f t="shared" si="327"/>
        <v>0</v>
      </c>
      <c r="Q685" s="231">
        <f t="shared" si="327"/>
        <v>0</v>
      </c>
      <c r="R685" s="231">
        <f t="shared" si="327"/>
        <v>0</v>
      </c>
      <c r="S685" s="231">
        <f t="shared" si="327"/>
        <v>0</v>
      </c>
      <c r="T685" s="231">
        <f t="shared" si="327"/>
        <v>0</v>
      </c>
      <c r="U685" s="231">
        <f t="shared" si="327"/>
        <v>0</v>
      </c>
      <c r="V685" s="231">
        <f t="shared" si="327"/>
        <v>0</v>
      </c>
      <c r="W685" s="231">
        <f t="shared" si="327"/>
        <v>0</v>
      </c>
      <c r="X685" s="231">
        <f t="shared" si="327"/>
        <v>0</v>
      </c>
      <c r="Y685" s="231">
        <f t="shared" si="327"/>
        <v>0</v>
      </c>
      <c r="Z685" s="231">
        <f>IF(Z681&lt;0,0,MIN(Z681,Z684-+Y687))</f>
        <v>0</v>
      </c>
      <c r="AA685" s="231">
        <f>IF(AA681&lt;0,0,MIN(AA681,AA684-+Z687))</f>
        <v>0</v>
      </c>
      <c r="AB685" s="231">
        <f>IF(AB681&lt;0,0,MIN(AB681,AB684-+AA687))</f>
        <v>0</v>
      </c>
      <c r="AC685" s="231">
        <f>IF(AC681&lt;0,0,MIN(AC681,AC684-+AB687))</f>
        <v>0</v>
      </c>
    </row>
    <row r="686" spans="1:29">
      <c r="A686" s="229" t="s">
        <v>550</v>
      </c>
      <c r="C686" s="5"/>
      <c r="D686" s="5"/>
      <c r="E686" s="544"/>
      <c r="F686" s="544"/>
      <c r="G686" s="544"/>
      <c r="H686" s="544"/>
      <c r="I686" s="231">
        <f>+I685-I684</f>
        <v>0</v>
      </c>
      <c r="J686" s="231">
        <f>+J685-J684</f>
        <v>0</v>
      </c>
      <c r="K686" s="231">
        <f t="shared" ref="K686:Z686" si="328">+K685-K684</f>
        <v>0</v>
      </c>
      <c r="L686" s="231">
        <f t="shared" si="328"/>
        <v>0</v>
      </c>
      <c r="M686" s="231">
        <f t="shared" si="328"/>
        <v>0</v>
      </c>
      <c r="N686" s="231">
        <f t="shared" si="328"/>
        <v>0</v>
      </c>
      <c r="O686" s="231">
        <f t="shared" si="328"/>
        <v>0</v>
      </c>
      <c r="P686" s="231">
        <f t="shared" si="328"/>
        <v>0</v>
      </c>
      <c r="Q686" s="231">
        <f t="shared" si="328"/>
        <v>0</v>
      </c>
      <c r="R686" s="231">
        <f t="shared" si="328"/>
        <v>0</v>
      </c>
      <c r="S686" s="231">
        <f t="shared" si="328"/>
        <v>0</v>
      </c>
      <c r="T686" s="231">
        <f t="shared" si="328"/>
        <v>0</v>
      </c>
      <c r="U686" s="231">
        <f t="shared" si="328"/>
        <v>0</v>
      </c>
      <c r="V686" s="231">
        <f t="shared" si="328"/>
        <v>0</v>
      </c>
      <c r="W686" s="231">
        <f t="shared" si="328"/>
        <v>0</v>
      </c>
      <c r="X686" s="231">
        <f t="shared" si="328"/>
        <v>0</v>
      </c>
      <c r="Y686" s="231">
        <f t="shared" si="328"/>
        <v>0</v>
      </c>
      <c r="Z686" s="231">
        <f t="shared" si="328"/>
        <v>0</v>
      </c>
      <c r="AA686" s="231">
        <f>+AA685-AA684</f>
        <v>0</v>
      </c>
      <c r="AB686" s="231">
        <f>+AB685-AB684</f>
        <v>0</v>
      </c>
      <c r="AC686" s="231">
        <f>+AC685-AC684</f>
        <v>0</v>
      </c>
    </row>
    <row r="687" spans="1:29">
      <c r="A687" s="349" t="s">
        <v>551</v>
      </c>
      <c r="C687" s="5"/>
      <c r="D687" s="5"/>
      <c r="E687" s="544"/>
      <c r="F687" s="544"/>
      <c r="G687" s="544"/>
      <c r="H687" s="544"/>
      <c r="I687" s="544">
        <f t="shared" ref="I687:X687" si="329">+I686+H687</f>
        <v>0</v>
      </c>
      <c r="J687" s="544">
        <f t="shared" si="329"/>
        <v>0</v>
      </c>
      <c r="K687" s="544">
        <f t="shared" si="329"/>
        <v>0</v>
      </c>
      <c r="L687" s="544">
        <f t="shared" si="329"/>
        <v>0</v>
      </c>
      <c r="M687" s="544">
        <f t="shared" si="329"/>
        <v>0</v>
      </c>
      <c r="N687" s="544">
        <f t="shared" si="329"/>
        <v>0</v>
      </c>
      <c r="O687" s="544">
        <f t="shared" si="329"/>
        <v>0</v>
      </c>
      <c r="P687" s="544">
        <f t="shared" si="329"/>
        <v>0</v>
      </c>
      <c r="Q687" s="544">
        <f t="shared" si="329"/>
        <v>0</v>
      </c>
      <c r="R687" s="544">
        <f t="shared" si="329"/>
        <v>0</v>
      </c>
      <c r="S687" s="544">
        <f t="shared" si="329"/>
        <v>0</v>
      </c>
      <c r="T687" s="544">
        <f t="shared" si="329"/>
        <v>0</v>
      </c>
      <c r="U687" s="544">
        <f t="shared" si="329"/>
        <v>0</v>
      </c>
      <c r="V687" s="544">
        <f t="shared" si="329"/>
        <v>0</v>
      </c>
      <c r="W687" s="544">
        <f t="shared" si="329"/>
        <v>0</v>
      </c>
      <c r="X687" s="544">
        <f t="shared" si="329"/>
        <v>0</v>
      </c>
      <c r="Y687" s="544">
        <f>+Y686+X687</f>
        <v>0</v>
      </c>
      <c r="Z687" s="544">
        <f>+Z686+Y687</f>
        <v>0</v>
      </c>
      <c r="AA687" s="544">
        <f>+AA686+Z687</f>
        <v>0</v>
      </c>
      <c r="AB687" s="544">
        <f>+AB686+AA687</f>
        <v>0</v>
      </c>
      <c r="AC687" s="544">
        <f>+AC686+AB687</f>
        <v>0</v>
      </c>
    </row>
    <row r="688" spans="1:29">
      <c r="A688" s="403"/>
      <c r="C688" s="5"/>
      <c r="D688" s="5"/>
      <c r="E688" s="544"/>
      <c r="F688" s="544"/>
      <c r="G688" s="544"/>
      <c r="H688" s="544"/>
      <c r="I688" s="544"/>
      <c r="J688" s="544"/>
      <c r="K688" s="544"/>
      <c r="L688" s="544"/>
      <c r="M688" s="544"/>
      <c r="N688" s="544"/>
      <c r="O688" s="544"/>
      <c r="P688" s="544"/>
      <c r="Q688" s="544"/>
      <c r="R688" s="544"/>
      <c r="S688" s="544"/>
      <c r="T688" s="544"/>
      <c r="U688" s="544"/>
      <c r="V688" s="544"/>
      <c r="W688" s="544"/>
      <c r="X688" s="544"/>
      <c r="Y688" s="544"/>
      <c r="Z688" s="544"/>
      <c r="AA688" s="544"/>
      <c r="AB688" s="544"/>
      <c r="AC688" s="544"/>
    </row>
    <row r="689" spans="1:29">
      <c r="A689" s="77" t="s">
        <v>552</v>
      </c>
      <c r="C689" s="5"/>
      <c r="D689" s="5"/>
      <c r="E689" s="544"/>
      <c r="F689" s="544"/>
      <c r="G689" s="544"/>
      <c r="H689" s="544"/>
      <c r="I689" s="546">
        <f>+I267</f>
        <v>-0.375</v>
      </c>
      <c r="J689" s="546">
        <f t="shared" ref="J689:Z689" ca="1" si="330">+J267</f>
        <v>1.8639999999999999</v>
      </c>
      <c r="K689" s="546">
        <f t="shared" ca="1" si="330"/>
        <v>1.6417499999999996</v>
      </c>
      <c r="L689" s="546">
        <f t="shared" ca="1" si="330"/>
        <v>1.6408333333333331</v>
      </c>
      <c r="M689" s="546">
        <f t="shared" ca="1" si="330"/>
        <v>1.6295833333333336</v>
      </c>
      <c r="N689" s="546">
        <f t="shared" ca="1" si="330"/>
        <v>1.6304166666666666</v>
      </c>
      <c r="O689" s="546">
        <f t="shared" ca="1" si="330"/>
        <v>1.6383333333333332</v>
      </c>
      <c r="P689" s="546">
        <f t="shared" ca="1" si="330"/>
        <v>1.6541666666666663</v>
      </c>
      <c r="Q689" s="546">
        <f t="shared" ca="1" si="330"/>
        <v>1.6799999999999997</v>
      </c>
      <c r="R689" s="546">
        <f t="shared" ca="1" si="330"/>
        <v>1.7216666666666662</v>
      </c>
      <c r="S689" s="546">
        <f t="shared" ca="1" si="330"/>
        <v>1.7833333333333328</v>
      </c>
      <c r="T689" s="546">
        <f t="shared" ca="1" si="330"/>
        <v>1.8649999999999993</v>
      </c>
      <c r="U689" s="546">
        <f t="shared" ca="1" si="330"/>
        <v>1.9666666666666663</v>
      </c>
      <c r="V689" s="546">
        <f t="shared" ca="1" si="330"/>
        <v>2.0824999999999991</v>
      </c>
      <c r="W689" s="546">
        <f t="shared" ca="1" si="330"/>
        <v>2.2083333333333326</v>
      </c>
      <c r="X689" s="546">
        <f t="shared" ca="1" si="330"/>
        <v>2.3441666666666663</v>
      </c>
      <c r="Y689" s="546">
        <f t="shared" ca="1" si="330"/>
        <v>2.4899999999999998</v>
      </c>
      <c r="Z689" s="546">
        <f t="shared" ca="1" si="330"/>
        <v>2.6458333333333326</v>
      </c>
      <c r="AA689" s="546">
        <f ca="1">+AA267</f>
        <v>2.811666666666667</v>
      </c>
      <c r="AB689" s="546">
        <f ca="1">+AB267</f>
        <v>2.9875000000000003</v>
      </c>
      <c r="AC689" s="546">
        <f ca="1">+AC267</f>
        <v>3.1733333333333325</v>
      </c>
    </row>
    <row r="690" spans="1:29">
      <c r="A690" s="77" t="s">
        <v>553</v>
      </c>
      <c r="C690" s="5"/>
      <c r="D690" s="5"/>
      <c r="E690" s="544"/>
      <c r="F690" s="544"/>
      <c r="G690" s="544"/>
      <c r="H690" s="544"/>
      <c r="I690" s="547">
        <f>I685*I689</f>
        <v>0</v>
      </c>
      <c r="J690" s="547">
        <f t="shared" ref="J690:Z690" ca="1" si="331">J685*J689</f>
        <v>0</v>
      </c>
      <c r="K690" s="547">
        <f t="shared" ca="1" si="331"/>
        <v>0</v>
      </c>
      <c r="L690" s="547">
        <f t="shared" ca="1" si="331"/>
        <v>0</v>
      </c>
      <c r="M690" s="547">
        <f t="shared" ca="1" si="331"/>
        <v>0</v>
      </c>
      <c r="N690" s="547">
        <f t="shared" ca="1" si="331"/>
        <v>0</v>
      </c>
      <c r="O690" s="547">
        <f t="shared" ca="1" si="331"/>
        <v>0</v>
      </c>
      <c r="P690" s="547">
        <f t="shared" ca="1" si="331"/>
        <v>0</v>
      </c>
      <c r="Q690" s="547">
        <f t="shared" ca="1" si="331"/>
        <v>0</v>
      </c>
      <c r="R690" s="547">
        <f t="shared" ca="1" si="331"/>
        <v>0</v>
      </c>
      <c r="S690" s="547">
        <f t="shared" ca="1" si="331"/>
        <v>0</v>
      </c>
      <c r="T690" s="547">
        <f t="shared" ca="1" si="331"/>
        <v>0</v>
      </c>
      <c r="U690" s="547">
        <f t="shared" ca="1" si="331"/>
        <v>0</v>
      </c>
      <c r="V690" s="547">
        <f t="shared" ca="1" si="331"/>
        <v>0</v>
      </c>
      <c r="W690" s="547">
        <f t="shared" ca="1" si="331"/>
        <v>0</v>
      </c>
      <c r="X690" s="547">
        <f t="shared" ca="1" si="331"/>
        <v>0</v>
      </c>
      <c r="Y690" s="547">
        <f t="shared" ca="1" si="331"/>
        <v>0</v>
      </c>
      <c r="Z690" s="547">
        <f t="shared" ca="1" si="331"/>
        <v>0</v>
      </c>
      <c r="AA690" s="547">
        <f ca="1">AA685*AA689</f>
        <v>0</v>
      </c>
      <c r="AB690" s="547">
        <f ca="1">AB685*AB689</f>
        <v>0</v>
      </c>
      <c r="AC690" s="547">
        <f ca="1">AC685*AC689</f>
        <v>0</v>
      </c>
    </row>
    <row r="691" spans="1:29">
      <c r="A691" s="5"/>
      <c r="C691" s="5"/>
      <c r="D691" s="5"/>
      <c r="E691" s="544"/>
      <c r="F691" s="544"/>
      <c r="G691" s="544"/>
      <c r="H691" s="544"/>
      <c r="I691" s="544"/>
      <c r="J691" s="544"/>
      <c r="K691" s="544"/>
      <c r="L691" s="544"/>
      <c r="M691" s="544"/>
      <c r="N691" s="544"/>
      <c r="O691" s="544"/>
      <c r="P691" s="544"/>
      <c r="Q691" s="544"/>
      <c r="R691" s="544"/>
      <c r="S691" s="544"/>
      <c r="T691" s="544"/>
      <c r="U691" s="544"/>
      <c r="V691" s="544"/>
      <c r="W691" s="544"/>
      <c r="X691" s="544"/>
      <c r="Y691" s="544"/>
      <c r="Z691" s="544"/>
      <c r="AA691" s="544"/>
      <c r="AB691" s="544"/>
      <c r="AC691" s="544"/>
    </row>
    <row r="692" spans="1:29">
      <c r="A692" s="5" t="s">
        <v>557</v>
      </c>
      <c r="C692" s="5"/>
      <c r="D692" s="5"/>
      <c r="E692" s="168">
        <f>E682-E690</f>
        <v>0</v>
      </c>
      <c r="F692" s="168">
        <f>F682-F690</f>
        <v>0</v>
      </c>
      <c r="G692" s="168">
        <f>G682-G690</f>
        <v>0</v>
      </c>
      <c r="H692" s="168">
        <f>H682-H690</f>
        <v>0</v>
      </c>
      <c r="I692" s="168">
        <f>I682-I690</f>
        <v>-355.58954665837052</v>
      </c>
      <c r="J692" s="168">
        <f t="shared" ref="J692:Z692" ca="1" si="332">J682-J690</f>
        <v>4150.1132051797476</v>
      </c>
      <c r="K692" s="168">
        <f t="shared" ca="1" si="332"/>
        <v>3638.6426447962917</v>
      </c>
      <c r="L692" s="168">
        <f t="shared" ca="1" si="332"/>
        <v>3584.049427516135</v>
      </c>
      <c r="M692" s="168">
        <f t="shared" ca="1" si="332"/>
        <v>3385.1090680548728</v>
      </c>
      <c r="N692" s="168">
        <f t="shared" ca="1" si="332"/>
        <v>3248.2856991788126</v>
      </c>
      <c r="O692" s="168">
        <f t="shared" ca="1" si="332"/>
        <v>2921.3412492495845</v>
      </c>
      <c r="P692" s="168">
        <f t="shared" ca="1" si="332"/>
        <v>2593.1820612132642</v>
      </c>
      <c r="Q692" s="168">
        <f t="shared" ca="1" si="332"/>
        <v>2309.393530381265</v>
      </c>
      <c r="R692" s="168">
        <f t="shared" ca="1" si="332"/>
        <v>2036.2904283737046</v>
      </c>
      <c r="S692" s="168">
        <f t="shared" ca="1" si="332"/>
        <v>1799.3717624562237</v>
      </c>
      <c r="T692" s="168">
        <f t="shared" ca="1" si="332"/>
        <v>1589.7844981098247</v>
      </c>
      <c r="U692" s="168">
        <f t="shared" ca="1" si="332"/>
        <v>1412.3986852507571</v>
      </c>
      <c r="V692" s="168">
        <f t="shared" ca="1" si="332"/>
        <v>1231.7587575993196</v>
      </c>
      <c r="W692" s="168">
        <f t="shared" ca="1" si="332"/>
        <v>1074.2263629387321</v>
      </c>
      <c r="X692" s="168">
        <f t="shared" ca="1" si="332"/>
        <v>926.79499067278255</v>
      </c>
      <c r="Y692" s="168">
        <f t="shared" ca="1" si="332"/>
        <v>775.61345451882153</v>
      </c>
      <c r="Z692" s="168">
        <f t="shared" ca="1" si="332"/>
        <v>605.98485206388114</v>
      </c>
      <c r="AA692" s="168">
        <f ca="1">AA682-AA690</f>
        <v>491.3983137012774</v>
      </c>
      <c r="AB692" s="168">
        <f ca="1">AB682-AB690</f>
        <v>400.97612898712168</v>
      </c>
      <c r="AC692" s="168">
        <f ca="1">AC682-AC690</f>
        <v>353.34716347065097</v>
      </c>
    </row>
    <row r="693" spans="1:29" ht="12" thickBot="1">
      <c r="A693" s="5"/>
      <c r="C693" s="5"/>
      <c r="D693" s="5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</row>
    <row r="694" spans="1:29" ht="12" thickTop="1">
      <c r="A694" s="443"/>
      <c r="B694" s="443"/>
      <c r="C694" s="443"/>
      <c r="D694" s="443"/>
      <c r="E694" s="443"/>
      <c r="F694" s="443"/>
      <c r="G694" s="443"/>
      <c r="H694" s="443"/>
      <c r="I694" s="443"/>
      <c r="J694" s="443"/>
      <c r="K694" s="443"/>
      <c r="L694" s="443"/>
      <c r="M694" s="443"/>
      <c r="N694" s="443"/>
      <c r="O694" s="443"/>
      <c r="P694" s="443"/>
      <c r="Q694" s="443"/>
      <c r="R694" s="443"/>
      <c r="S694" s="443"/>
      <c r="T694" s="443"/>
      <c r="U694" s="443"/>
      <c r="V694" s="443"/>
      <c r="W694" s="443"/>
      <c r="X694" s="443"/>
      <c r="Y694" s="443"/>
      <c r="Z694" s="443"/>
      <c r="AA694" s="443"/>
      <c r="AB694" s="443"/>
      <c r="AC694" s="443"/>
    </row>
    <row r="695" spans="1:29">
      <c r="A695" s="83" t="s">
        <v>558</v>
      </c>
      <c r="C695" s="5"/>
      <c r="D695" s="5"/>
      <c r="E695" s="543">
        <f>IF(E274+E344+E417+E487+E557+E623=0,0,(E274*E278+E344*E348+E417*E421+E487*E491+E557*E561+E623*E627)/(E274+E344+E417+E487+E557+E623))</f>
        <v>0</v>
      </c>
      <c r="F695" s="543">
        <f t="shared" ref="F695:U695" si="333">IF(F274+F344+F417+F487+F557+F623=0,0,(F274*F278+F344*F348+F417*F421+F487*F491+F557*F561+F623*F627)/(F274+F344+F417+F487+F557+F623))</f>
        <v>0</v>
      </c>
      <c r="G695" s="543">
        <f t="shared" si="333"/>
        <v>0</v>
      </c>
      <c r="H695" s="543">
        <f t="shared" si="333"/>
        <v>0</v>
      </c>
      <c r="I695" s="543">
        <f t="shared" si="333"/>
        <v>0</v>
      </c>
      <c r="J695" s="543">
        <f t="shared" si="333"/>
        <v>0</v>
      </c>
      <c r="K695" s="543">
        <f t="shared" si="333"/>
        <v>0</v>
      </c>
      <c r="L695" s="543">
        <f t="shared" si="333"/>
        <v>0</v>
      </c>
      <c r="M695" s="543">
        <f t="shared" si="333"/>
        <v>0</v>
      </c>
      <c r="N695" s="543">
        <f t="shared" si="333"/>
        <v>0</v>
      </c>
      <c r="O695" s="543">
        <f t="shared" si="333"/>
        <v>0</v>
      </c>
      <c r="P695" s="543">
        <f t="shared" si="333"/>
        <v>0</v>
      </c>
      <c r="Q695" s="543">
        <f t="shared" si="333"/>
        <v>0</v>
      </c>
      <c r="R695" s="543">
        <f t="shared" si="333"/>
        <v>0</v>
      </c>
      <c r="S695" s="543">
        <f t="shared" si="333"/>
        <v>0</v>
      </c>
      <c r="T695" s="543">
        <f t="shared" si="333"/>
        <v>0</v>
      </c>
      <c r="U695" s="543">
        <f t="shared" si="333"/>
        <v>0</v>
      </c>
      <c r="V695" s="543">
        <f t="shared" ref="V695:AC695" si="334">IF(V274+V344+V417+V487+V557+V623=0,0,(V274*V278+V344*V348+V417*V421+V487*V491+V557*V561+V623*V627)/(V274+V344+V417+V487+V557+V623))</f>
        <v>0</v>
      </c>
      <c r="W695" s="543">
        <f t="shared" si="334"/>
        <v>0</v>
      </c>
      <c r="X695" s="543">
        <f t="shared" si="334"/>
        <v>0</v>
      </c>
      <c r="Y695" s="543">
        <f t="shared" si="334"/>
        <v>0</v>
      </c>
      <c r="Z695" s="543">
        <f t="shared" si="334"/>
        <v>0</v>
      </c>
      <c r="AA695" s="543">
        <f t="shared" si="334"/>
        <v>0</v>
      </c>
      <c r="AB695" s="543">
        <f t="shared" si="334"/>
        <v>0</v>
      </c>
      <c r="AC695" s="543">
        <f t="shared" si="334"/>
        <v>0</v>
      </c>
    </row>
    <row r="696" spans="1:29">
      <c r="A696" s="83" t="s">
        <v>559</v>
      </c>
      <c r="C696" s="5"/>
      <c r="D696" s="5"/>
      <c r="E696" s="5">
        <f>E274+E344+E417+E487+E557+E623</f>
        <v>0</v>
      </c>
      <c r="F696" s="5">
        <f t="shared" ref="F696:U696" si="335">F274+F344+F417+F487+F557+F623</f>
        <v>0</v>
      </c>
      <c r="G696" s="5">
        <f t="shared" si="335"/>
        <v>0</v>
      </c>
      <c r="H696" s="5">
        <f t="shared" si="335"/>
        <v>0</v>
      </c>
      <c r="I696" s="5">
        <f t="shared" si="335"/>
        <v>0</v>
      </c>
      <c r="J696" s="5">
        <f t="shared" si="335"/>
        <v>0</v>
      </c>
      <c r="K696" s="5">
        <f t="shared" si="335"/>
        <v>0</v>
      </c>
      <c r="L696" s="5">
        <f t="shared" si="335"/>
        <v>0</v>
      </c>
      <c r="M696" s="5">
        <f t="shared" si="335"/>
        <v>0</v>
      </c>
      <c r="N696" s="5">
        <f t="shared" si="335"/>
        <v>0</v>
      </c>
      <c r="O696" s="5">
        <f t="shared" si="335"/>
        <v>0</v>
      </c>
      <c r="P696" s="5">
        <f t="shared" si="335"/>
        <v>0</v>
      </c>
      <c r="Q696" s="5">
        <f t="shared" si="335"/>
        <v>0</v>
      </c>
      <c r="R696" s="5">
        <f t="shared" si="335"/>
        <v>0</v>
      </c>
      <c r="S696" s="5">
        <f t="shared" si="335"/>
        <v>0</v>
      </c>
      <c r="T696" s="5">
        <f t="shared" si="335"/>
        <v>0</v>
      </c>
      <c r="U696" s="5">
        <f t="shared" si="335"/>
        <v>0</v>
      </c>
      <c r="V696" s="5">
        <f t="shared" ref="V696:AC696" si="336">V274+V344+V417+V487+V557+V623</f>
        <v>0</v>
      </c>
      <c r="W696" s="5">
        <f t="shared" si="336"/>
        <v>0</v>
      </c>
      <c r="X696" s="5">
        <f t="shared" si="336"/>
        <v>0</v>
      </c>
      <c r="Y696" s="5">
        <f t="shared" si="336"/>
        <v>0</v>
      </c>
      <c r="Z696" s="5">
        <f t="shared" si="336"/>
        <v>0</v>
      </c>
      <c r="AA696" s="5">
        <f t="shared" si="336"/>
        <v>0</v>
      </c>
      <c r="AB696" s="5">
        <f t="shared" si="336"/>
        <v>0</v>
      </c>
      <c r="AC696" s="5">
        <f t="shared" si="336"/>
        <v>0</v>
      </c>
    </row>
    <row r="697" spans="1:29">
      <c r="A697" s="83" t="s">
        <v>560</v>
      </c>
      <c r="C697" s="5"/>
      <c r="D697" s="5"/>
      <c r="E697" s="168">
        <f>E695*E696*1000/unit</f>
        <v>0</v>
      </c>
      <c r="F697" s="168">
        <f>F695*F696</f>
        <v>0</v>
      </c>
      <c r="G697" s="168">
        <f t="shared" ref="G697:V697" si="337">G695*G696*1000/unit</f>
        <v>0</v>
      </c>
      <c r="H697" s="168">
        <f t="shared" si="337"/>
        <v>0</v>
      </c>
      <c r="I697" s="168">
        <f t="shared" si="337"/>
        <v>0</v>
      </c>
      <c r="J697" s="168">
        <f t="shared" si="337"/>
        <v>0</v>
      </c>
      <c r="K697" s="168">
        <f t="shared" si="337"/>
        <v>0</v>
      </c>
      <c r="L697" s="168">
        <f t="shared" si="337"/>
        <v>0</v>
      </c>
      <c r="M697" s="168">
        <f t="shared" si="337"/>
        <v>0</v>
      </c>
      <c r="N697" s="168">
        <f t="shared" si="337"/>
        <v>0</v>
      </c>
      <c r="O697" s="168">
        <f t="shared" si="337"/>
        <v>0</v>
      </c>
      <c r="P697" s="168">
        <f t="shared" si="337"/>
        <v>0</v>
      </c>
      <c r="Q697" s="168">
        <f t="shared" si="337"/>
        <v>0</v>
      </c>
      <c r="R697" s="168">
        <f t="shared" si="337"/>
        <v>0</v>
      </c>
      <c r="S697" s="168">
        <f t="shared" si="337"/>
        <v>0</v>
      </c>
      <c r="T697" s="168">
        <f t="shared" si="337"/>
        <v>0</v>
      </c>
      <c r="U697" s="168">
        <f t="shared" si="337"/>
        <v>0</v>
      </c>
      <c r="V697" s="168">
        <f t="shared" si="337"/>
        <v>0</v>
      </c>
      <c r="W697" s="168">
        <f t="shared" ref="W697:AC697" si="338">W695*W696*1000/unit</f>
        <v>0</v>
      </c>
      <c r="X697" s="168">
        <f t="shared" si="338"/>
        <v>0</v>
      </c>
      <c r="Y697" s="168">
        <f t="shared" si="338"/>
        <v>0</v>
      </c>
      <c r="Z697" s="168">
        <f t="shared" si="338"/>
        <v>0</v>
      </c>
      <c r="AA697" s="168">
        <f t="shared" si="338"/>
        <v>0</v>
      </c>
      <c r="AB697" s="168">
        <f t="shared" si="338"/>
        <v>0</v>
      </c>
      <c r="AC697" s="168">
        <f t="shared" si="338"/>
        <v>0</v>
      </c>
    </row>
    <row r="698" spans="1:29">
      <c r="A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>
      <c r="A699" s="349" t="s">
        <v>548</v>
      </c>
      <c r="C699" s="5"/>
      <c r="D699" s="5"/>
      <c r="E699" s="544"/>
      <c r="F699" s="544"/>
      <c r="G699" s="544"/>
      <c r="H699" s="544"/>
      <c r="I699" s="545">
        <v>0</v>
      </c>
      <c r="J699" s="545">
        <v>0</v>
      </c>
      <c r="K699" s="545">
        <v>0</v>
      </c>
      <c r="L699" s="545">
        <v>0</v>
      </c>
      <c r="M699" s="545">
        <v>0</v>
      </c>
      <c r="N699" s="545">
        <v>0</v>
      </c>
      <c r="O699" s="545">
        <v>0</v>
      </c>
      <c r="P699" s="545">
        <v>0</v>
      </c>
      <c r="Q699" s="545">
        <v>0</v>
      </c>
      <c r="R699" s="545">
        <v>0</v>
      </c>
      <c r="S699" s="545">
        <v>0</v>
      </c>
      <c r="T699" s="545">
        <v>0</v>
      </c>
      <c r="U699" s="545">
        <v>0</v>
      </c>
      <c r="V699" s="545">
        <v>0</v>
      </c>
      <c r="W699" s="545">
        <v>0</v>
      </c>
      <c r="X699" s="545">
        <v>0</v>
      </c>
      <c r="Y699" s="545">
        <v>0</v>
      </c>
      <c r="Z699" s="545">
        <v>0</v>
      </c>
      <c r="AA699" s="545">
        <v>0</v>
      </c>
      <c r="AB699" s="545">
        <v>0</v>
      </c>
      <c r="AC699" s="545">
        <v>0</v>
      </c>
    </row>
    <row r="700" spans="1:29">
      <c r="A700" s="229" t="s">
        <v>549</v>
      </c>
      <c r="C700" s="5"/>
      <c r="D700" s="5"/>
      <c r="E700" s="544"/>
      <c r="F700" s="544"/>
      <c r="G700" s="544"/>
      <c r="H700" s="544"/>
      <c r="I700" s="231">
        <f>IF(I696&lt;0,0,MIN(I696,I699-+H702))</f>
        <v>0</v>
      </c>
      <c r="J700" s="231">
        <f t="shared" ref="J700:Y700" si="339">IF(J696&lt;0,0,MIN(J696,J699-+I702))</f>
        <v>0</v>
      </c>
      <c r="K700" s="231">
        <f t="shared" si="339"/>
        <v>0</v>
      </c>
      <c r="L700" s="231">
        <f t="shared" si="339"/>
        <v>0</v>
      </c>
      <c r="M700" s="231">
        <f t="shared" si="339"/>
        <v>0</v>
      </c>
      <c r="N700" s="231">
        <f t="shared" si="339"/>
        <v>0</v>
      </c>
      <c r="O700" s="231">
        <f t="shared" si="339"/>
        <v>0</v>
      </c>
      <c r="P700" s="231">
        <f t="shared" si="339"/>
        <v>0</v>
      </c>
      <c r="Q700" s="231">
        <f t="shared" si="339"/>
        <v>0</v>
      </c>
      <c r="R700" s="231">
        <f t="shared" si="339"/>
        <v>0</v>
      </c>
      <c r="S700" s="231">
        <f t="shared" si="339"/>
        <v>0</v>
      </c>
      <c r="T700" s="231">
        <f t="shared" si="339"/>
        <v>0</v>
      </c>
      <c r="U700" s="231">
        <f t="shared" si="339"/>
        <v>0</v>
      </c>
      <c r="V700" s="231">
        <f t="shared" si="339"/>
        <v>0</v>
      </c>
      <c r="W700" s="231">
        <f t="shared" si="339"/>
        <v>0</v>
      </c>
      <c r="X700" s="231">
        <f t="shared" si="339"/>
        <v>0</v>
      </c>
      <c r="Y700" s="231">
        <f t="shared" si="339"/>
        <v>0</v>
      </c>
      <c r="Z700" s="231">
        <f>IF(Z696&lt;0,0,MIN(Z696,Z699-+Y702))</f>
        <v>0</v>
      </c>
      <c r="AA700" s="231">
        <f>IF(AA696&lt;0,0,MIN(AA696,AA699-+Z702))</f>
        <v>0</v>
      </c>
      <c r="AB700" s="231">
        <f>IF(AB696&lt;0,0,MIN(AB696,AB699-+AA702))</f>
        <v>0</v>
      </c>
      <c r="AC700" s="231">
        <f>IF(AC696&lt;0,0,MIN(AC696,AC699-+AB702))</f>
        <v>0</v>
      </c>
    </row>
    <row r="701" spans="1:29">
      <c r="A701" s="229" t="s">
        <v>550</v>
      </c>
      <c r="C701" s="5"/>
      <c r="D701" s="5"/>
      <c r="E701" s="544"/>
      <c r="F701" s="544"/>
      <c r="G701" s="544"/>
      <c r="H701" s="544"/>
      <c r="I701" s="231">
        <f t="shared" ref="I701:X701" si="340">+I700-I699</f>
        <v>0</v>
      </c>
      <c r="J701" s="231">
        <f t="shared" si="340"/>
        <v>0</v>
      </c>
      <c r="K701" s="231">
        <f t="shared" si="340"/>
        <v>0</v>
      </c>
      <c r="L701" s="231">
        <f t="shared" si="340"/>
        <v>0</v>
      </c>
      <c r="M701" s="231">
        <f t="shared" si="340"/>
        <v>0</v>
      </c>
      <c r="N701" s="231">
        <f t="shared" si="340"/>
        <v>0</v>
      </c>
      <c r="O701" s="231">
        <f t="shared" si="340"/>
        <v>0</v>
      </c>
      <c r="P701" s="231">
        <f t="shared" si="340"/>
        <v>0</v>
      </c>
      <c r="Q701" s="231">
        <f t="shared" si="340"/>
        <v>0</v>
      </c>
      <c r="R701" s="231">
        <f t="shared" si="340"/>
        <v>0</v>
      </c>
      <c r="S701" s="231">
        <f t="shared" si="340"/>
        <v>0</v>
      </c>
      <c r="T701" s="231">
        <f t="shared" si="340"/>
        <v>0</v>
      </c>
      <c r="U701" s="231">
        <f t="shared" si="340"/>
        <v>0</v>
      </c>
      <c r="V701" s="231">
        <f t="shared" si="340"/>
        <v>0</v>
      </c>
      <c r="W701" s="231">
        <f t="shared" si="340"/>
        <v>0</v>
      </c>
      <c r="X701" s="231">
        <f t="shared" si="340"/>
        <v>0</v>
      </c>
      <c r="Y701" s="231">
        <f>+Y700-Y699</f>
        <v>0</v>
      </c>
      <c r="Z701" s="231">
        <f>+Z700-Z699</f>
        <v>0</v>
      </c>
      <c r="AA701" s="231">
        <f>+AA700-AA699</f>
        <v>0</v>
      </c>
      <c r="AB701" s="231">
        <f>+AB700-AB699</f>
        <v>0</v>
      </c>
      <c r="AC701" s="231">
        <f>+AC700-AC699</f>
        <v>0</v>
      </c>
    </row>
    <row r="702" spans="1:29">
      <c r="A702" s="349" t="s">
        <v>551</v>
      </c>
      <c r="C702" s="5"/>
      <c r="D702" s="5"/>
      <c r="E702" s="544"/>
      <c r="F702" s="544"/>
      <c r="G702" s="544"/>
      <c r="H702" s="544"/>
      <c r="I702" s="544">
        <f t="shared" ref="I702:X702" si="341">+I701+H702</f>
        <v>0</v>
      </c>
      <c r="J702" s="544">
        <f t="shared" si="341"/>
        <v>0</v>
      </c>
      <c r="K702" s="544">
        <f t="shared" si="341"/>
        <v>0</v>
      </c>
      <c r="L702" s="544">
        <f t="shared" si="341"/>
        <v>0</v>
      </c>
      <c r="M702" s="544">
        <f t="shared" si="341"/>
        <v>0</v>
      </c>
      <c r="N702" s="544">
        <f t="shared" si="341"/>
        <v>0</v>
      </c>
      <c r="O702" s="544">
        <f t="shared" si="341"/>
        <v>0</v>
      </c>
      <c r="P702" s="544">
        <f t="shared" si="341"/>
        <v>0</v>
      </c>
      <c r="Q702" s="544">
        <f t="shared" si="341"/>
        <v>0</v>
      </c>
      <c r="R702" s="544">
        <f t="shared" si="341"/>
        <v>0</v>
      </c>
      <c r="S702" s="544">
        <f t="shared" si="341"/>
        <v>0</v>
      </c>
      <c r="T702" s="544">
        <f t="shared" si="341"/>
        <v>0</v>
      </c>
      <c r="U702" s="544">
        <f t="shared" si="341"/>
        <v>0</v>
      </c>
      <c r="V702" s="544">
        <f t="shared" si="341"/>
        <v>0</v>
      </c>
      <c r="W702" s="544">
        <f t="shared" si="341"/>
        <v>0</v>
      </c>
      <c r="X702" s="544">
        <f t="shared" si="341"/>
        <v>0</v>
      </c>
      <c r="Y702" s="544">
        <f>+Y701+X702</f>
        <v>0</v>
      </c>
      <c r="Z702" s="544">
        <f>+Z701+Y702</f>
        <v>0</v>
      </c>
      <c r="AA702" s="544">
        <f>+AA701+Z702</f>
        <v>0</v>
      </c>
      <c r="AB702" s="544">
        <f>+AB701+AA702</f>
        <v>0</v>
      </c>
      <c r="AC702" s="544">
        <f>+AC701+AB702</f>
        <v>0</v>
      </c>
    </row>
    <row r="703" spans="1:29">
      <c r="A703" s="403"/>
      <c r="C703" s="5"/>
      <c r="D703" s="5"/>
      <c r="E703" s="544"/>
      <c r="F703" s="544"/>
      <c r="G703" s="544"/>
      <c r="H703" s="544"/>
      <c r="I703" s="544"/>
      <c r="J703" s="544"/>
      <c r="K703" s="544"/>
      <c r="L703" s="544"/>
      <c r="M703" s="544"/>
      <c r="N703" s="544"/>
      <c r="O703" s="544"/>
      <c r="P703" s="544"/>
      <c r="Q703" s="544"/>
      <c r="R703" s="544"/>
      <c r="S703" s="544"/>
      <c r="T703" s="544"/>
      <c r="U703" s="544"/>
      <c r="V703" s="544"/>
      <c r="W703" s="544"/>
      <c r="X703" s="544"/>
      <c r="Y703" s="544"/>
      <c r="Z703" s="544"/>
      <c r="AA703" s="544"/>
      <c r="AB703" s="544"/>
      <c r="AC703" s="544"/>
    </row>
    <row r="704" spans="1:29">
      <c r="A704" s="77" t="s">
        <v>552</v>
      </c>
      <c r="C704" s="5"/>
      <c r="D704" s="5"/>
      <c r="E704" s="544"/>
      <c r="F704" s="544"/>
      <c r="G704" s="544"/>
      <c r="H704" s="544"/>
      <c r="I704" s="546">
        <f>+I278</f>
        <v>0</v>
      </c>
      <c r="J704" s="546">
        <f t="shared" ref="J704:Z704" ca="1" si="342">+J278</f>
        <v>16.997552222222218</v>
      </c>
      <c r="K704" s="546">
        <f t="shared" ca="1" si="342"/>
        <v>14.999466666666665</v>
      </c>
      <c r="L704" s="546">
        <f t="shared" ca="1" si="342"/>
        <v>14.491101666666665</v>
      </c>
      <c r="M704" s="546">
        <f t="shared" ca="1" si="342"/>
        <v>14.5531825</v>
      </c>
      <c r="N704" s="546">
        <f t="shared" ca="1" si="342"/>
        <v>14.6748425</v>
      </c>
      <c r="O704" s="546">
        <f t="shared" ca="1" si="342"/>
        <v>14.797819166666669</v>
      </c>
      <c r="P704" s="546">
        <f t="shared" ca="1" si="342"/>
        <v>14.935871666666667</v>
      </c>
      <c r="Q704" s="546">
        <f t="shared" ca="1" si="342"/>
        <v>15.087551666666668</v>
      </c>
      <c r="R704" s="546">
        <f t="shared" ca="1" si="342"/>
        <v>15.247592499999998</v>
      </c>
      <c r="S704" s="546">
        <f t="shared" ca="1" si="342"/>
        <v>15.413295000000002</v>
      </c>
      <c r="T704" s="546">
        <f t="shared" ca="1" si="342"/>
        <v>15.578865833333339</v>
      </c>
      <c r="U704" s="546">
        <f t="shared" ca="1" si="342"/>
        <v>15.745029166666663</v>
      </c>
      <c r="V704" s="546">
        <f t="shared" ca="1" si="342"/>
        <v>15.910929166666664</v>
      </c>
      <c r="W704" s="546">
        <f t="shared" ca="1" si="342"/>
        <v>16.076697500000002</v>
      </c>
      <c r="X704" s="546">
        <f t="shared" ca="1" si="342"/>
        <v>16.46669416666667</v>
      </c>
      <c r="Y704" s="546">
        <f t="shared" ca="1" si="342"/>
        <v>16.848198333333336</v>
      </c>
      <c r="Z704" s="546">
        <f t="shared" ca="1" si="342"/>
        <v>17.085527499999994</v>
      </c>
      <c r="AA704" s="546">
        <f ca="1">+AA278</f>
        <v>17.322329999999997</v>
      </c>
      <c r="AB704" s="546">
        <f ca="1">+AB278</f>
        <v>17.55906666666667</v>
      </c>
      <c r="AC704" s="546">
        <f ca="1">+AC278</f>
        <v>17.737079999999999</v>
      </c>
    </row>
    <row r="705" spans="1:29">
      <c r="A705" s="77" t="s">
        <v>553</v>
      </c>
      <c r="C705" s="5"/>
      <c r="D705" s="5"/>
      <c r="E705" s="544"/>
      <c r="F705" s="544"/>
      <c r="G705" s="544"/>
      <c r="H705" s="544"/>
      <c r="I705" s="547">
        <f>I700*I704</f>
        <v>0</v>
      </c>
      <c r="J705" s="547">
        <f t="shared" ref="J705:Z705" ca="1" si="343">J700*J704</f>
        <v>0</v>
      </c>
      <c r="K705" s="547">
        <f t="shared" ca="1" si="343"/>
        <v>0</v>
      </c>
      <c r="L705" s="547">
        <f t="shared" ca="1" si="343"/>
        <v>0</v>
      </c>
      <c r="M705" s="547">
        <f t="shared" ca="1" si="343"/>
        <v>0</v>
      </c>
      <c r="N705" s="547">
        <f t="shared" ca="1" si="343"/>
        <v>0</v>
      </c>
      <c r="O705" s="547">
        <f t="shared" ca="1" si="343"/>
        <v>0</v>
      </c>
      <c r="P705" s="547">
        <f t="shared" ca="1" si="343"/>
        <v>0</v>
      </c>
      <c r="Q705" s="547">
        <f t="shared" ca="1" si="343"/>
        <v>0</v>
      </c>
      <c r="R705" s="547">
        <f t="shared" ca="1" si="343"/>
        <v>0</v>
      </c>
      <c r="S705" s="547">
        <f t="shared" ca="1" si="343"/>
        <v>0</v>
      </c>
      <c r="T705" s="547">
        <f t="shared" ca="1" si="343"/>
        <v>0</v>
      </c>
      <c r="U705" s="547">
        <f t="shared" ca="1" si="343"/>
        <v>0</v>
      </c>
      <c r="V705" s="547">
        <f t="shared" ca="1" si="343"/>
        <v>0</v>
      </c>
      <c r="W705" s="547">
        <f t="shared" ca="1" si="343"/>
        <v>0</v>
      </c>
      <c r="X705" s="547">
        <f t="shared" ca="1" si="343"/>
        <v>0</v>
      </c>
      <c r="Y705" s="547">
        <f t="shared" ca="1" si="343"/>
        <v>0</v>
      </c>
      <c r="Z705" s="547">
        <f t="shared" ca="1" si="343"/>
        <v>0</v>
      </c>
      <c r="AA705" s="547">
        <f ca="1">AA700*AA704</f>
        <v>0</v>
      </c>
      <c r="AB705" s="547">
        <f ca="1">AB700*AB704</f>
        <v>0</v>
      </c>
      <c r="AC705" s="547">
        <f ca="1">AC700*AC704</f>
        <v>0</v>
      </c>
    </row>
    <row r="706" spans="1:29">
      <c r="A706" s="5"/>
      <c r="C706" s="5"/>
      <c r="D706" s="5"/>
      <c r="E706" s="544"/>
      <c r="F706" s="544"/>
      <c r="G706" s="544"/>
      <c r="H706" s="544"/>
      <c r="I706" s="544"/>
      <c r="J706" s="544"/>
      <c r="K706" s="544"/>
      <c r="L706" s="544"/>
      <c r="M706" s="544"/>
      <c r="N706" s="544"/>
      <c r="O706" s="544"/>
      <c r="P706" s="544"/>
      <c r="Q706" s="544"/>
      <c r="R706" s="544"/>
      <c r="S706" s="544"/>
      <c r="T706" s="544"/>
      <c r="U706" s="544"/>
      <c r="V706" s="544"/>
      <c r="W706" s="544"/>
      <c r="X706" s="544"/>
      <c r="Y706" s="544"/>
      <c r="Z706" s="544"/>
      <c r="AA706" s="544"/>
      <c r="AB706" s="544"/>
      <c r="AC706" s="544"/>
    </row>
    <row r="707" spans="1:29">
      <c r="A707" s="83" t="s">
        <v>561</v>
      </c>
      <c r="C707" s="5"/>
      <c r="D707" s="5"/>
      <c r="E707" s="168">
        <f>E697-E705</f>
        <v>0</v>
      </c>
      <c r="F707" s="168">
        <f>F697-F705</f>
        <v>0</v>
      </c>
      <c r="G707" s="168">
        <f>G697-G705</f>
        <v>0</v>
      </c>
      <c r="H707" s="168">
        <f>H697-H705</f>
        <v>0</v>
      </c>
      <c r="I707" s="168">
        <f>I697-I705</f>
        <v>0</v>
      </c>
      <c r="J707" s="168">
        <f t="shared" ref="J707:Z707" ca="1" si="344">J697-J705</f>
        <v>0</v>
      </c>
      <c r="K707" s="168">
        <f t="shared" ca="1" si="344"/>
        <v>0</v>
      </c>
      <c r="L707" s="168">
        <f t="shared" ca="1" si="344"/>
        <v>0</v>
      </c>
      <c r="M707" s="168">
        <f t="shared" ca="1" si="344"/>
        <v>0</v>
      </c>
      <c r="N707" s="168">
        <f t="shared" ca="1" si="344"/>
        <v>0</v>
      </c>
      <c r="O707" s="168">
        <f t="shared" ca="1" si="344"/>
        <v>0</v>
      </c>
      <c r="P707" s="168">
        <f t="shared" ca="1" si="344"/>
        <v>0</v>
      </c>
      <c r="Q707" s="168">
        <f t="shared" ca="1" si="344"/>
        <v>0</v>
      </c>
      <c r="R707" s="168">
        <f t="shared" ca="1" si="344"/>
        <v>0</v>
      </c>
      <c r="S707" s="168">
        <f t="shared" ca="1" si="344"/>
        <v>0</v>
      </c>
      <c r="T707" s="168">
        <f t="shared" ca="1" si="344"/>
        <v>0</v>
      </c>
      <c r="U707" s="168">
        <f t="shared" ca="1" si="344"/>
        <v>0</v>
      </c>
      <c r="V707" s="168">
        <f t="shared" ca="1" si="344"/>
        <v>0</v>
      </c>
      <c r="W707" s="168">
        <f t="shared" ca="1" si="344"/>
        <v>0</v>
      </c>
      <c r="X707" s="168">
        <f t="shared" ca="1" si="344"/>
        <v>0</v>
      </c>
      <c r="Y707" s="168">
        <f t="shared" ca="1" si="344"/>
        <v>0</v>
      </c>
      <c r="Z707" s="168">
        <f t="shared" ca="1" si="344"/>
        <v>0</v>
      </c>
      <c r="AA707" s="168">
        <f ca="1">AA697-AA705</f>
        <v>0</v>
      </c>
      <c r="AB707" s="168">
        <f ca="1">AB697-AB705</f>
        <v>0</v>
      </c>
      <c r="AC707" s="168">
        <f ca="1">AC697-AC705</f>
        <v>0</v>
      </c>
    </row>
    <row r="708" spans="1:29" ht="12" thickBot="1">
      <c r="A708" s="5"/>
      <c r="C708" s="5"/>
      <c r="D708" s="5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</row>
    <row r="709" spans="1:29" ht="12" thickTop="1">
      <c r="A709" s="443"/>
      <c r="B709" s="443"/>
      <c r="C709" s="443"/>
      <c r="D709" s="443"/>
      <c r="E709" s="443"/>
      <c r="F709" s="443"/>
      <c r="G709" s="443"/>
      <c r="H709" s="443"/>
      <c r="I709" s="443"/>
      <c r="J709" s="443"/>
      <c r="K709" s="443"/>
      <c r="L709" s="443"/>
      <c r="M709" s="443"/>
      <c r="N709" s="443"/>
      <c r="O709" s="443"/>
      <c r="P709" s="443"/>
      <c r="Q709" s="443"/>
      <c r="R709" s="443"/>
      <c r="S709" s="443"/>
      <c r="T709" s="443"/>
      <c r="U709" s="443"/>
      <c r="V709" s="443"/>
      <c r="W709" s="443"/>
      <c r="X709" s="443"/>
      <c r="Y709" s="443"/>
      <c r="Z709" s="443"/>
      <c r="AA709" s="443"/>
      <c r="AB709" s="443"/>
      <c r="AC709" s="443"/>
    </row>
    <row r="710" spans="1:29">
      <c r="A710" s="5" t="s">
        <v>562</v>
      </c>
      <c r="C710" s="5"/>
      <c r="D710" s="5"/>
      <c r="E710" s="544">
        <f>E667+E682+E697</f>
        <v>0</v>
      </c>
      <c r="F710" s="544">
        <f>F667+F682+F697</f>
        <v>0</v>
      </c>
      <c r="G710" s="544">
        <f t="shared" ref="G710:V710" si="345">G667+G682+G697</f>
        <v>0</v>
      </c>
      <c r="H710" s="544">
        <f t="shared" si="345"/>
        <v>0</v>
      </c>
      <c r="I710" s="544">
        <f t="shared" si="345"/>
        <v>-515.87756577331356</v>
      </c>
      <c r="J710" s="544">
        <f t="shared" ca="1" si="345"/>
        <v>6790.5296238597939</v>
      </c>
      <c r="K710" s="544">
        <f t="shared" ca="1" si="345"/>
        <v>5417.5924313748037</v>
      </c>
      <c r="L710" s="544">
        <f t="shared" ca="1" si="345"/>
        <v>4984.6004151312054</v>
      </c>
      <c r="M710" s="544">
        <f t="shared" ca="1" si="345"/>
        <v>4628.8143001151384</v>
      </c>
      <c r="N710" s="544">
        <f t="shared" ca="1" si="345"/>
        <v>4178.0147730888311</v>
      </c>
      <c r="O710" s="544">
        <f t="shared" ca="1" si="345"/>
        <v>3639.3785476709422</v>
      </c>
      <c r="P710" s="544">
        <f t="shared" ca="1" si="345"/>
        <v>3122.9489386656724</v>
      </c>
      <c r="Q710" s="544">
        <f t="shared" ca="1" si="345"/>
        <v>2732.3324514220212</v>
      </c>
      <c r="R710" s="544">
        <f t="shared" ca="1" si="345"/>
        <v>2374.1924905099418</v>
      </c>
      <c r="S710" s="544">
        <f t="shared" ca="1" si="345"/>
        <v>2069.4848242550606</v>
      </c>
      <c r="T710" s="544">
        <f t="shared" ca="1" si="345"/>
        <v>1805.7362655736702</v>
      </c>
      <c r="U710" s="544">
        <f t="shared" ca="1" si="345"/>
        <v>1585.0876602653127</v>
      </c>
      <c r="V710" s="544">
        <f t="shared" ca="1" si="345"/>
        <v>1369.8736788234223</v>
      </c>
      <c r="W710" s="544">
        <f t="shared" ref="W710:AC710" ca="1" si="346">W667+W682+W697</f>
        <v>1184.6961665649494</v>
      </c>
      <c r="X710" s="544">
        <f t="shared" ca="1" si="346"/>
        <v>1016.5665713882831</v>
      </c>
      <c r="Y710" s="544">
        <f t="shared" ca="1" si="346"/>
        <v>848.49570511276215</v>
      </c>
      <c r="Z710" s="544">
        <f t="shared" ca="1" si="346"/>
        <v>659.69668918480602</v>
      </c>
      <c r="AA710" s="544">
        <f t="shared" ca="1" si="346"/>
        <v>534.30737633167575</v>
      </c>
      <c r="AB710" s="544">
        <f t="shared" ca="1" si="346"/>
        <v>435.24692068599745</v>
      </c>
      <c r="AC710" s="544">
        <f t="shared" ca="1" si="346"/>
        <v>380.6115233955872</v>
      </c>
    </row>
    <row r="711" spans="1:29">
      <c r="A711" s="294" t="s">
        <v>563</v>
      </c>
      <c r="C711" s="5"/>
      <c r="D711" s="5"/>
      <c r="E711" s="544"/>
      <c r="F711" s="544"/>
      <c r="G711" s="544"/>
      <c r="H711" s="544"/>
      <c r="I711" s="544">
        <f>I690+I675+I705</f>
        <v>0</v>
      </c>
      <c r="J711" s="544">
        <f t="shared" ref="J711:Z711" ca="1" si="347">J690+J675+J705</f>
        <v>0</v>
      </c>
      <c r="K711" s="544">
        <f t="shared" ca="1" si="347"/>
        <v>0</v>
      </c>
      <c r="L711" s="544">
        <f t="shared" ca="1" si="347"/>
        <v>0</v>
      </c>
      <c r="M711" s="544">
        <f t="shared" ca="1" si="347"/>
        <v>0</v>
      </c>
      <c r="N711" s="544">
        <f t="shared" ca="1" si="347"/>
        <v>0</v>
      </c>
      <c r="O711" s="544">
        <f t="shared" ca="1" si="347"/>
        <v>0</v>
      </c>
      <c r="P711" s="544">
        <f t="shared" ca="1" si="347"/>
        <v>0</v>
      </c>
      <c r="Q711" s="544">
        <f t="shared" ca="1" si="347"/>
        <v>0</v>
      </c>
      <c r="R711" s="544">
        <f t="shared" ca="1" si="347"/>
        <v>0</v>
      </c>
      <c r="S711" s="544">
        <f t="shared" ca="1" si="347"/>
        <v>0</v>
      </c>
      <c r="T711" s="544">
        <f t="shared" ca="1" si="347"/>
        <v>0</v>
      </c>
      <c r="U711" s="544">
        <f t="shared" ca="1" si="347"/>
        <v>0</v>
      </c>
      <c r="V711" s="544">
        <f t="shared" ca="1" si="347"/>
        <v>0</v>
      </c>
      <c r="W711" s="544">
        <f t="shared" ca="1" si="347"/>
        <v>0</v>
      </c>
      <c r="X711" s="544">
        <f t="shared" ca="1" si="347"/>
        <v>0</v>
      </c>
      <c r="Y711" s="544">
        <f t="shared" ca="1" si="347"/>
        <v>0</v>
      </c>
      <c r="Z711" s="544">
        <f t="shared" ca="1" si="347"/>
        <v>0</v>
      </c>
      <c r="AA711" s="544">
        <f ca="1">AA690+AA675+AA705</f>
        <v>0</v>
      </c>
      <c r="AB711" s="544">
        <f ca="1">AB690+AB675+AB705</f>
        <v>0</v>
      </c>
      <c r="AC711" s="544">
        <f ca="1">AC690+AC675+AC705</f>
        <v>0</v>
      </c>
    </row>
    <row r="712" spans="1:29">
      <c r="A712" s="231" t="s">
        <v>564</v>
      </c>
      <c r="B712" s="231"/>
      <c r="C712" s="231"/>
      <c r="D712" s="231"/>
      <c r="E712" s="548">
        <f t="shared" ref="E712:T712" si="348">E710-E711</f>
        <v>0</v>
      </c>
      <c r="F712" s="548">
        <f t="shared" si="348"/>
        <v>0</v>
      </c>
      <c r="G712" s="548">
        <f t="shared" si="348"/>
        <v>0</v>
      </c>
      <c r="H712" s="548">
        <f t="shared" si="348"/>
        <v>0</v>
      </c>
      <c r="I712" s="548">
        <f t="shared" si="348"/>
        <v>-515.87756577331356</v>
      </c>
      <c r="J712" s="548">
        <f t="shared" ca="1" si="348"/>
        <v>6790.5296238597939</v>
      </c>
      <c r="K712" s="548">
        <f t="shared" ca="1" si="348"/>
        <v>5417.5924313748037</v>
      </c>
      <c r="L712" s="548">
        <f t="shared" ca="1" si="348"/>
        <v>4984.6004151312054</v>
      </c>
      <c r="M712" s="548">
        <f t="shared" ca="1" si="348"/>
        <v>4628.8143001151384</v>
      </c>
      <c r="N712" s="548">
        <f t="shared" ca="1" si="348"/>
        <v>4178.0147730888311</v>
      </c>
      <c r="O712" s="548">
        <f t="shared" ca="1" si="348"/>
        <v>3639.3785476709422</v>
      </c>
      <c r="P712" s="548">
        <f t="shared" ca="1" si="348"/>
        <v>3122.9489386656724</v>
      </c>
      <c r="Q712" s="548">
        <f t="shared" ca="1" si="348"/>
        <v>2732.3324514220212</v>
      </c>
      <c r="R712" s="548">
        <f t="shared" ca="1" si="348"/>
        <v>2374.1924905099418</v>
      </c>
      <c r="S712" s="548">
        <f t="shared" ca="1" si="348"/>
        <v>2069.4848242550606</v>
      </c>
      <c r="T712" s="548">
        <f t="shared" ca="1" si="348"/>
        <v>1805.7362655736702</v>
      </c>
      <c r="U712" s="548">
        <f t="shared" ref="U712:AC712" ca="1" si="349">U710-U711</f>
        <v>1585.0876602653127</v>
      </c>
      <c r="V712" s="548">
        <f t="shared" ca="1" si="349"/>
        <v>1369.8736788234223</v>
      </c>
      <c r="W712" s="168">
        <f t="shared" ca="1" si="349"/>
        <v>1184.6961665649494</v>
      </c>
      <c r="X712" s="168">
        <f t="shared" ca="1" si="349"/>
        <v>1016.5665713882831</v>
      </c>
      <c r="Y712" s="168">
        <f t="shared" ca="1" si="349"/>
        <v>848.49570511276215</v>
      </c>
      <c r="Z712" s="168">
        <f t="shared" ca="1" si="349"/>
        <v>659.69668918480602</v>
      </c>
      <c r="AA712" s="168">
        <f t="shared" ca="1" si="349"/>
        <v>534.30737633167575</v>
      </c>
      <c r="AB712" s="168">
        <f t="shared" ca="1" si="349"/>
        <v>435.24692068599745</v>
      </c>
      <c r="AC712" s="168">
        <f t="shared" ca="1" si="349"/>
        <v>380.6115233955872</v>
      </c>
    </row>
    <row r="713" spans="1:29">
      <c r="X713" s="208"/>
      <c r="Y713" s="208"/>
      <c r="Z713" s="208"/>
      <c r="AA713" s="208"/>
      <c r="AB713" s="208"/>
      <c r="AC713" s="208"/>
    </row>
    <row r="714" spans="1:29">
      <c r="A714" s="5" t="s">
        <v>401</v>
      </c>
      <c r="C714" s="5"/>
      <c r="D714" s="5"/>
      <c r="E714" s="69">
        <f t="shared" ref="E714:N714" si="350">+E661</f>
        <v>0</v>
      </c>
      <c r="F714" s="69">
        <f t="shared" si="350"/>
        <v>0</v>
      </c>
      <c r="G714" s="69">
        <f t="shared" si="350"/>
        <v>0</v>
      </c>
      <c r="H714">
        <f t="shared" si="350"/>
        <v>0</v>
      </c>
      <c r="I714" s="69">
        <f t="shared" si="350"/>
        <v>0</v>
      </c>
      <c r="J714" s="69">
        <f t="shared" si="350"/>
        <v>0</v>
      </c>
      <c r="K714" s="69">
        <f t="shared" si="350"/>
        <v>0</v>
      </c>
      <c r="L714" s="69">
        <f t="shared" si="350"/>
        <v>0</v>
      </c>
      <c r="M714" s="69">
        <f t="shared" si="350"/>
        <v>0</v>
      </c>
      <c r="N714" s="69">
        <f t="shared" si="350"/>
        <v>0</v>
      </c>
      <c r="O714" s="69">
        <f t="shared" ref="O714:AC714" si="351">+O661</f>
        <v>0</v>
      </c>
      <c r="P714" s="69">
        <f t="shared" si="351"/>
        <v>0</v>
      </c>
      <c r="Q714" s="69">
        <f t="shared" si="351"/>
        <v>0</v>
      </c>
      <c r="R714" s="69">
        <f t="shared" si="351"/>
        <v>0</v>
      </c>
      <c r="S714" s="69">
        <f t="shared" si="351"/>
        <v>0</v>
      </c>
      <c r="T714" s="69">
        <f t="shared" si="351"/>
        <v>0</v>
      </c>
      <c r="U714" s="69">
        <f t="shared" si="351"/>
        <v>0</v>
      </c>
      <c r="V714" s="69">
        <f t="shared" si="351"/>
        <v>0</v>
      </c>
      <c r="W714" s="69">
        <f t="shared" si="351"/>
        <v>0</v>
      </c>
      <c r="X714" s="69">
        <f t="shared" si="351"/>
        <v>0</v>
      </c>
      <c r="Y714" s="69">
        <f t="shared" si="351"/>
        <v>0</v>
      </c>
      <c r="Z714" s="69">
        <f t="shared" si="351"/>
        <v>0</v>
      </c>
      <c r="AA714" s="69">
        <f t="shared" si="351"/>
        <v>0</v>
      </c>
      <c r="AB714" s="69">
        <f t="shared" si="351"/>
        <v>0</v>
      </c>
      <c r="AC714" s="69">
        <f t="shared" si="351"/>
        <v>0</v>
      </c>
    </row>
    <row r="715" spans="1:29">
      <c r="X715" s="208"/>
      <c r="Y715" s="208"/>
      <c r="Z715" s="208"/>
      <c r="AA715" s="208"/>
      <c r="AB715" s="208"/>
      <c r="AC715" s="208"/>
    </row>
    <row r="716" spans="1:29">
      <c r="A716" s="5" t="s">
        <v>565</v>
      </c>
      <c r="C716" s="5"/>
      <c r="D716" s="5"/>
      <c r="E716" s="5">
        <f>E712+E714</f>
        <v>0</v>
      </c>
      <c r="F716" s="5">
        <f>F712+F714</f>
        <v>0</v>
      </c>
      <c r="G716" s="5">
        <f>G712+G714</f>
        <v>0</v>
      </c>
      <c r="H716" s="5">
        <f>H712+H714</f>
        <v>0</v>
      </c>
      <c r="I716" s="5">
        <f t="shared" ref="I716:X716" si="352">I712+I714</f>
        <v>-515.87756577331356</v>
      </c>
      <c r="J716" s="5">
        <f t="shared" ca="1" si="352"/>
        <v>6790.5296238597939</v>
      </c>
      <c r="K716" s="5">
        <f t="shared" ca="1" si="352"/>
        <v>5417.5924313748037</v>
      </c>
      <c r="L716" s="5">
        <f t="shared" ca="1" si="352"/>
        <v>4984.6004151312054</v>
      </c>
      <c r="M716" s="5">
        <f t="shared" ca="1" si="352"/>
        <v>4628.8143001151384</v>
      </c>
      <c r="N716" s="5">
        <f t="shared" ca="1" si="352"/>
        <v>4178.0147730888311</v>
      </c>
      <c r="O716" s="5">
        <f t="shared" ca="1" si="352"/>
        <v>3639.3785476709422</v>
      </c>
      <c r="P716" s="5">
        <f t="shared" ca="1" si="352"/>
        <v>3122.9489386656724</v>
      </c>
      <c r="Q716" s="5">
        <f t="shared" ca="1" si="352"/>
        <v>2732.3324514220212</v>
      </c>
      <c r="R716" s="5">
        <f t="shared" ca="1" si="352"/>
        <v>2374.1924905099418</v>
      </c>
      <c r="S716" s="5">
        <f t="shared" ca="1" si="352"/>
        <v>2069.4848242550606</v>
      </c>
      <c r="T716" s="5">
        <f t="shared" ca="1" si="352"/>
        <v>1805.7362655736702</v>
      </c>
      <c r="U716" s="5">
        <f t="shared" ca="1" si="352"/>
        <v>1585.0876602653127</v>
      </c>
      <c r="V716" s="5">
        <f t="shared" ca="1" si="352"/>
        <v>1369.8736788234223</v>
      </c>
      <c r="W716" s="5">
        <f t="shared" ca="1" si="352"/>
        <v>1184.6961665649494</v>
      </c>
      <c r="X716" s="69">
        <f t="shared" ca="1" si="352"/>
        <v>1016.5665713882831</v>
      </c>
      <c r="Y716" s="69">
        <f ca="1">Y712+Y714</f>
        <v>848.49570511276215</v>
      </c>
      <c r="Z716" s="69">
        <f ca="1">Z712+Z714</f>
        <v>659.69668918480602</v>
      </c>
      <c r="AA716" s="69">
        <f ca="1">AA712+AA714</f>
        <v>534.30737633167575</v>
      </c>
      <c r="AB716" s="69">
        <f ca="1">AB712+AB714</f>
        <v>435.24692068599745</v>
      </c>
      <c r="AC716" s="69">
        <f ca="1">AC712+AC714</f>
        <v>380.6115233955872</v>
      </c>
    </row>
    <row r="717" spans="1:29">
      <c r="A717" s="231" t="s">
        <v>566</v>
      </c>
      <c r="C717" s="5"/>
      <c r="D717" s="5"/>
      <c r="E717">
        <v>0</v>
      </c>
      <c r="F717" s="549">
        <v>0</v>
      </c>
      <c r="G717" s="549">
        <v>0</v>
      </c>
      <c r="H717" s="549">
        <v>0</v>
      </c>
      <c r="I717" s="549">
        <f t="shared" ref="I717:AC717" si="353">I376</f>
        <v>0</v>
      </c>
      <c r="J717" s="549">
        <f t="shared" si="353"/>
        <v>0</v>
      </c>
      <c r="K717" s="549">
        <f t="shared" si="353"/>
        <v>0</v>
      </c>
      <c r="L717" s="549">
        <f t="shared" si="353"/>
        <v>0</v>
      </c>
      <c r="M717" s="549">
        <f t="shared" si="353"/>
        <v>0</v>
      </c>
      <c r="N717" s="549">
        <f t="shared" si="353"/>
        <v>0</v>
      </c>
      <c r="O717" s="549">
        <f t="shared" si="353"/>
        <v>0</v>
      </c>
      <c r="P717" s="549">
        <f t="shared" si="353"/>
        <v>0</v>
      </c>
      <c r="Q717" s="549">
        <f t="shared" si="353"/>
        <v>0</v>
      </c>
      <c r="R717" s="549">
        <f t="shared" si="353"/>
        <v>0</v>
      </c>
      <c r="S717" s="549">
        <f t="shared" si="353"/>
        <v>0</v>
      </c>
      <c r="T717" s="549">
        <f t="shared" si="353"/>
        <v>0</v>
      </c>
      <c r="U717" s="549">
        <f t="shared" si="353"/>
        <v>0</v>
      </c>
      <c r="V717" s="549">
        <f t="shared" si="353"/>
        <v>0</v>
      </c>
      <c r="W717" s="549">
        <f t="shared" si="353"/>
        <v>0</v>
      </c>
      <c r="X717" s="550">
        <f t="shared" si="353"/>
        <v>0</v>
      </c>
      <c r="Y717" s="550">
        <f t="shared" si="353"/>
        <v>0</v>
      </c>
      <c r="Z717" s="550">
        <f t="shared" si="353"/>
        <v>0</v>
      </c>
      <c r="AA717" s="550">
        <f t="shared" si="353"/>
        <v>0</v>
      </c>
      <c r="AB717" s="550">
        <f t="shared" si="353"/>
        <v>0</v>
      </c>
      <c r="AC717" s="550">
        <f t="shared" si="353"/>
        <v>0</v>
      </c>
    </row>
    <row r="718" spans="1:29">
      <c r="A718" s="83" t="s">
        <v>567</v>
      </c>
      <c r="C718" s="5"/>
      <c r="D718" s="5"/>
      <c r="E718" s="168">
        <f>E716-E717</f>
        <v>0</v>
      </c>
      <c r="F718" s="168">
        <f>F716-F717</f>
        <v>0</v>
      </c>
      <c r="G718" s="168">
        <f>G716-G717</f>
        <v>0</v>
      </c>
      <c r="H718" s="168">
        <f>H716-H717</f>
        <v>0</v>
      </c>
      <c r="I718" s="168">
        <f t="shared" ref="I718:X718" si="354">I716-I717</f>
        <v>-515.87756577331356</v>
      </c>
      <c r="J718" s="168">
        <f t="shared" ca="1" si="354"/>
        <v>6790.5296238597939</v>
      </c>
      <c r="K718" s="168">
        <f t="shared" ca="1" si="354"/>
        <v>5417.5924313748037</v>
      </c>
      <c r="L718" s="168">
        <f t="shared" ca="1" si="354"/>
        <v>4984.6004151312054</v>
      </c>
      <c r="M718" s="168">
        <f t="shared" ca="1" si="354"/>
        <v>4628.8143001151384</v>
      </c>
      <c r="N718" s="168">
        <f t="shared" ca="1" si="354"/>
        <v>4178.0147730888311</v>
      </c>
      <c r="O718" s="168">
        <f t="shared" ca="1" si="354"/>
        <v>3639.3785476709422</v>
      </c>
      <c r="P718" s="168">
        <f t="shared" ca="1" si="354"/>
        <v>3122.9489386656724</v>
      </c>
      <c r="Q718" s="168">
        <f t="shared" ca="1" si="354"/>
        <v>2732.3324514220212</v>
      </c>
      <c r="R718" s="168">
        <f t="shared" ca="1" si="354"/>
        <v>2374.1924905099418</v>
      </c>
      <c r="S718" s="168">
        <f t="shared" ca="1" si="354"/>
        <v>2069.4848242550606</v>
      </c>
      <c r="T718" s="168">
        <f t="shared" ca="1" si="354"/>
        <v>1805.7362655736702</v>
      </c>
      <c r="U718" s="168">
        <f t="shared" ca="1" si="354"/>
        <v>1585.0876602653127</v>
      </c>
      <c r="V718" s="168">
        <f t="shared" ca="1" si="354"/>
        <v>1369.8736788234223</v>
      </c>
      <c r="W718" s="168">
        <f t="shared" ca="1" si="354"/>
        <v>1184.6961665649494</v>
      </c>
      <c r="X718" s="168">
        <f t="shared" ca="1" si="354"/>
        <v>1016.5665713882831</v>
      </c>
      <c r="Y718" s="168">
        <f ca="1">Y716-Y717</f>
        <v>848.49570511276215</v>
      </c>
      <c r="Z718" s="168">
        <f ca="1">Z716-Z717</f>
        <v>659.69668918480602</v>
      </c>
      <c r="AA718" s="168">
        <f ca="1">AA716-AA717</f>
        <v>534.30737633167575</v>
      </c>
      <c r="AB718" s="168">
        <f ca="1">AB716-AB717</f>
        <v>435.24692068599745</v>
      </c>
      <c r="AC718" s="168">
        <f ca="1">AC716-AC717</f>
        <v>380.6115233955872</v>
      </c>
    </row>
    <row r="719" spans="1:29">
      <c r="A719" s="5"/>
      <c r="C719" s="5"/>
      <c r="D719" s="5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</row>
    <row r="720" spans="1:29">
      <c r="A720" s="83" t="s">
        <v>568</v>
      </c>
      <c r="C720" s="5"/>
      <c r="D720" s="5"/>
      <c r="E720" s="5">
        <f>+E303+E373+E446+E516+E586</f>
        <v>0</v>
      </c>
      <c r="F720" s="5">
        <f t="shared" ref="F720:U720" si="355">+F303+F373+F446+F516+F586</f>
        <v>0</v>
      </c>
      <c r="G720" s="5">
        <f t="shared" si="355"/>
        <v>0</v>
      </c>
      <c r="H720" s="5">
        <f t="shared" si="355"/>
        <v>0</v>
      </c>
      <c r="I720" s="5">
        <f t="shared" ca="1" si="355"/>
        <v>-37.471736051144838</v>
      </c>
      <c r="J720" s="5">
        <f t="shared" ca="1" si="355"/>
        <v>668.32672539510099</v>
      </c>
      <c r="K720" s="5">
        <f t="shared" ca="1" si="355"/>
        <v>542.016503686482</v>
      </c>
      <c r="L720" s="5">
        <f t="shared" ca="1" si="355"/>
        <v>502.18123819207096</v>
      </c>
      <c r="M720" s="5">
        <f t="shared" ca="1" si="355"/>
        <v>469.44891561059273</v>
      </c>
      <c r="N720" s="5">
        <f t="shared" ca="1" si="355"/>
        <v>427.97535912417243</v>
      </c>
      <c r="O720" s="5">
        <f t="shared" ca="1" si="355"/>
        <v>378.42082638572674</v>
      </c>
      <c r="P720" s="5">
        <f t="shared" ca="1" si="355"/>
        <v>330.90930235724181</v>
      </c>
      <c r="Q720" s="5">
        <f t="shared" ca="1" si="355"/>
        <v>307.21458553082596</v>
      </c>
      <c r="R720" s="5">
        <f t="shared" ca="1" si="355"/>
        <v>276.72070912691458</v>
      </c>
      <c r="S720" s="5">
        <f t="shared" ca="1" si="355"/>
        <v>230.26860383146555</v>
      </c>
      <c r="T720" s="5">
        <f t="shared" ca="1" si="355"/>
        <v>206.00373643277769</v>
      </c>
      <c r="U720" s="5">
        <f t="shared" ca="1" si="355"/>
        <v>185.70406474440875</v>
      </c>
      <c r="V720" s="5">
        <f t="shared" ref="V720:AC720" ca="1" si="356">+V303+V373+V446+V516+V586</f>
        <v>165.90437845175484</v>
      </c>
      <c r="W720" s="5">
        <f t="shared" ca="1" si="356"/>
        <v>128.54904732397534</v>
      </c>
      <c r="X720" s="5">
        <f t="shared" ca="1" si="356"/>
        <v>113.08112456772207</v>
      </c>
      <c r="Y720" s="5">
        <f t="shared" ca="1" si="356"/>
        <v>82.921604870374111</v>
      </c>
      <c r="Z720" s="5">
        <f t="shared" ca="1" si="356"/>
        <v>60.692095405002149</v>
      </c>
      <c r="AA720" s="5">
        <f t="shared" ca="1" si="356"/>
        <v>49.156278622514172</v>
      </c>
      <c r="AB720" s="5">
        <f t="shared" ca="1" si="356"/>
        <v>40.042716703111765</v>
      </c>
      <c r="AC720" s="5">
        <f t="shared" ca="1" si="356"/>
        <v>35.016260152394025</v>
      </c>
    </row>
    <row r="721" spans="1:29">
      <c r="A721" s="5" t="s">
        <v>212</v>
      </c>
      <c r="C721" s="5"/>
      <c r="D721" s="5"/>
      <c r="E721" s="168">
        <f t="shared" ref="E721:T721" si="357">E718-E720</f>
        <v>0</v>
      </c>
      <c r="F721" s="168">
        <f t="shared" si="357"/>
        <v>0</v>
      </c>
      <c r="G721" s="168">
        <f t="shared" si="357"/>
        <v>0</v>
      </c>
      <c r="H721" s="168">
        <f t="shared" si="357"/>
        <v>0</v>
      </c>
      <c r="I721" s="168">
        <f t="shared" ca="1" si="357"/>
        <v>-478.40582972216873</v>
      </c>
      <c r="J721" s="168">
        <f t="shared" ca="1" si="357"/>
        <v>6122.2028984646931</v>
      </c>
      <c r="K721" s="168">
        <f t="shared" ca="1" si="357"/>
        <v>4875.5759276883218</v>
      </c>
      <c r="L721" s="168">
        <f t="shared" ca="1" si="357"/>
        <v>4482.4191769391346</v>
      </c>
      <c r="M721" s="168">
        <f t="shared" ca="1" si="357"/>
        <v>4159.3653845045455</v>
      </c>
      <c r="N721" s="168">
        <f t="shared" ca="1" si="357"/>
        <v>3750.0394139646587</v>
      </c>
      <c r="O721" s="168">
        <f t="shared" ca="1" si="357"/>
        <v>3260.9577212852155</v>
      </c>
      <c r="P721" s="168">
        <f t="shared" ca="1" si="357"/>
        <v>2792.0396363084305</v>
      </c>
      <c r="Q721" s="168">
        <f t="shared" ca="1" si="357"/>
        <v>2425.1178658911954</v>
      </c>
      <c r="R721" s="168">
        <f t="shared" ca="1" si="357"/>
        <v>2097.4717813830271</v>
      </c>
      <c r="S721" s="168">
        <f t="shared" ca="1" si="357"/>
        <v>1839.2162204235951</v>
      </c>
      <c r="T721" s="168">
        <f t="shared" ca="1" si="357"/>
        <v>1599.7325291408924</v>
      </c>
      <c r="U721" s="168">
        <f t="shared" ref="U721:AC721" ca="1" si="358">U718-U720</f>
        <v>1399.383595520904</v>
      </c>
      <c r="V721" s="168">
        <f t="shared" ca="1" si="358"/>
        <v>1203.9693003716675</v>
      </c>
      <c r="W721" s="168">
        <f t="shared" ca="1" si="358"/>
        <v>1056.147119240974</v>
      </c>
      <c r="X721" s="168">
        <f t="shared" ca="1" si="358"/>
        <v>903.48544682056104</v>
      </c>
      <c r="Y721" s="168">
        <f t="shared" ca="1" si="358"/>
        <v>765.574100242388</v>
      </c>
      <c r="Z721" s="168">
        <f t="shared" ca="1" si="358"/>
        <v>599.00459377980383</v>
      </c>
      <c r="AA721" s="168">
        <f t="shared" ca="1" si="358"/>
        <v>485.1510977091616</v>
      </c>
      <c r="AB721" s="168">
        <f t="shared" ca="1" si="358"/>
        <v>395.2042039828857</v>
      </c>
      <c r="AC721" s="168">
        <f t="shared" ca="1" si="358"/>
        <v>345.59526324319319</v>
      </c>
    </row>
    <row r="722" spans="1:29">
      <c r="A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69"/>
      <c r="Y722" s="69"/>
      <c r="Z722" s="69"/>
      <c r="AA722" s="69"/>
      <c r="AB722" s="69"/>
      <c r="AC722" s="69"/>
    </row>
    <row r="723" spans="1:29" ht="12" thickBot="1">
      <c r="A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69"/>
      <c r="Y723" s="69"/>
      <c r="Z723" s="69"/>
      <c r="AA723" s="69"/>
      <c r="AB723" s="69"/>
      <c r="AC723" s="69"/>
    </row>
    <row r="724" spans="1:29" ht="12.75" thickTop="1" thickBot="1">
      <c r="A724" s="304"/>
      <c r="B724" s="301"/>
      <c r="C724" s="304"/>
      <c r="D724" s="304"/>
      <c r="E724" s="304"/>
      <c r="F724" s="304"/>
      <c r="G724" s="304"/>
      <c r="H724" s="304"/>
      <c r="I724" s="304"/>
      <c r="J724" s="304"/>
      <c r="K724" s="304"/>
      <c r="L724" s="304"/>
      <c r="M724" s="304"/>
      <c r="N724" s="304"/>
      <c r="O724" s="304"/>
      <c r="P724" s="304"/>
      <c r="Q724" s="304"/>
      <c r="R724" s="304"/>
      <c r="S724" s="304"/>
      <c r="T724" s="304"/>
      <c r="U724" s="304"/>
      <c r="V724" s="304"/>
      <c r="W724" s="304"/>
      <c r="X724" s="304"/>
      <c r="Y724" s="304"/>
      <c r="Z724" s="304"/>
      <c r="AA724" s="304"/>
      <c r="AB724" s="304"/>
      <c r="AC724" s="304"/>
    </row>
    <row r="725" spans="1:29" ht="12.75" thickTop="1" thickBot="1">
      <c r="A725" s="413" t="s">
        <v>222</v>
      </c>
      <c r="C725" s="5"/>
      <c r="D725" s="5"/>
      <c r="E725" s="5"/>
      <c r="F725" s="5"/>
      <c r="G725" s="5"/>
      <c r="H725" s="5"/>
      <c r="I725" s="166" t="str">
        <f ca="1">+I$3</f>
        <v xml:space="preserve">6 M/1999 </v>
      </c>
      <c r="J725" s="166">
        <f t="shared" ref="J725:Z725" si="359">+J$3</f>
        <v>2000</v>
      </c>
      <c r="K725" s="166">
        <f t="shared" si="359"/>
        <v>2001</v>
      </c>
      <c r="L725" s="166">
        <f t="shared" si="359"/>
        <v>2002</v>
      </c>
      <c r="M725" s="166">
        <f t="shared" si="359"/>
        <v>2003</v>
      </c>
      <c r="N725" s="166">
        <f t="shared" si="359"/>
        <v>2004</v>
      </c>
      <c r="O725" s="166">
        <f t="shared" si="359"/>
        <v>2005</v>
      </c>
      <c r="P725" s="166">
        <f t="shared" si="359"/>
        <v>2006</v>
      </c>
      <c r="Q725" s="166">
        <f t="shared" si="359"/>
        <v>2007</v>
      </c>
      <c r="R725" s="166">
        <f t="shared" si="359"/>
        <v>2008</v>
      </c>
      <c r="S725" s="166">
        <f t="shared" si="359"/>
        <v>2009</v>
      </c>
      <c r="T725" s="166">
        <f t="shared" si="359"/>
        <v>2010</v>
      </c>
      <c r="U725" s="166">
        <f t="shared" si="359"/>
        <v>2011</v>
      </c>
      <c r="V725" s="166">
        <f t="shared" si="359"/>
        <v>2012</v>
      </c>
      <c r="W725" s="166">
        <f t="shared" si="359"/>
        <v>2013</v>
      </c>
      <c r="X725" s="166">
        <f t="shared" si="359"/>
        <v>2014</v>
      </c>
      <c r="Y725" s="166">
        <f t="shared" si="359"/>
        <v>2015</v>
      </c>
      <c r="Z725" s="166">
        <f t="shared" si="359"/>
        <v>2016</v>
      </c>
      <c r="AA725" s="166">
        <f>+AA$3</f>
        <v>2017</v>
      </c>
      <c r="AB725" s="166">
        <f>+AB$3</f>
        <v>2018</v>
      </c>
      <c r="AC725" s="166">
        <f>+AC$3</f>
        <v>2019</v>
      </c>
    </row>
    <row r="726" spans="1:29" ht="12" thickTop="1">
      <c r="A726" s="398" t="s">
        <v>223</v>
      </c>
      <c r="C726" s="5"/>
      <c r="D726" s="5"/>
      <c r="E726" s="5"/>
      <c r="F726" s="5"/>
      <c r="G726" s="5"/>
      <c r="H726" s="5"/>
      <c r="I726" s="281"/>
      <c r="J726" s="281"/>
      <c r="K726" s="281"/>
      <c r="L726" s="281"/>
      <c r="M726" s="281"/>
      <c r="N726" s="281"/>
      <c r="O726" s="281"/>
      <c r="P726" s="281"/>
      <c r="Q726" s="281"/>
      <c r="R726" s="281"/>
      <c r="S726" s="281"/>
      <c r="T726" s="281"/>
      <c r="U726" s="281"/>
      <c r="V726" s="281"/>
      <c r="W726" s="281"/>
      <c r="X726" s="281"/>
      <c r="Y726" s="281"/>
      <c r="Z726" s="281"/>
      <c r="AA726" s="281"/>
      <c r="AB726" s="281"/>
      <c r="AC726" s="281"/>
    </row>
    <row r="727" spans="1:29">
      <c r="A727" s="5" t="s">
        <v>224</v>
      </c>
      <c r="C727" s="330"/>
      <c r="D727" s="330"/>
      <c r="E727" s="614"/>
      <c r="F727" s="614"/>
      <c r="G727" s="614"/>
      <c r="H727" s="614"/>
      <c r="I727" s="614"/>
      <c r="J727" s="614"/>
      <c r="K727" s="614"/>
      <c r="L727" s="614"/>
      <c r="M727" s="614"/>
      <c r="N727" s="614"/>
      <c r="O727" s="614"/>
      <c r="P727" s="614"/>
      <c r="Q727" s="614"/>
      <c r="R727" s="614"/>
      <c r="S727" s="614"/>
      <c r="T727" s="614"/>
      <c r="U727" s="614"/>
      <c r="V727" s="614"/>
      <c r="W727" s="614"/>
      <c r="X727" s="614"/>
      <c r="Y727" s="614"/>
      <c r="Z727" s="614"/>
      <c r="AA727" s="614"/>
      <c r="AB727" s="614"/>
      <c r="AC727" s="614"/>
    </row>
    <row r="728" spans="1:29">
      <c r="A728" s="346"/>
      <c r="B728" s="410" t="s">
        <v>164</v>
      </c>
      <c r="C728" s="503" t="s">
        <v>19</v>
      </c>
      <c r="E728" s="339" t="s">
        <v>208</v>
      </c>
      <c r="H728" s="343">
        <v>0</v>
      </c>
      <c r="I728" s="334"/>
      <c r="J728" s="334"/>
      <c r="K728" s="334"/>
      <c r="L728" s="334"/>
      <c r="M728" s="334"/>
      <c r="N728" s="334"/>
      <c r="O728" s="334"/>
      <c r="P728" s="334"/>
      <c r="Q728" s="334"/>
      <c r="R728" s="334"/>
      <c r="S728" s="334"/>
      <c r="T728" s="334"/>
      <c r="U728" s="334"/>
      <c r="V728" s="334"/>
      <c r="W728" s="334"/>
      <c r="X728" s="334"/>
      <c r="Y728" s="334"/>
      <c r="Z728" s="334"/>
      <c r="AA728" s="334"/>
      <c r="AB728" s="334"/>
      <c r="AC728" s="334"/>
    </row>
    <row r="729" spans="1:29">
      <c r="A729" s="208"/>
      <c r="B729" s="375" t="s">
        <v>165</v>
      </c>
      <c r="C729" s="503"/>
      <c r="E729" t="s">
        <v>201</v>
      </c>
      <c r="H729" s="507">
        <v>0</v>
      </c>
      <c r="I729" s="208"/>
      <c r="J729" s="208"/>
      <c r="K729" s="208"/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</row>
    <row r="730" spans="1:29">
      <c r="B730" s="375" t="s">
        <v>166</v>
      </c>
      <c r="C730" s="503"/>
      <c r="E730" s="339" t="s">
        <v>202</v>
      </c>
      <c r="H730" s="476">
        <f>+H728*H729</f>
        <v>0</v>
      </c>
    </row>
    <row r="731" spans="1:29">
      <c r="A731" s="346"/>
      <c r="B731" s="375" t="s">
        <v>167</v>
      </c>
      <c r="C731" s="503"/>
      <c r="E731" s="339" t="s">
        <v>203</v>
      </c>
      <c r="H731" s="343">
        <v>1</v>
      </c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  <c r="AA731" s="335"/>
      <c r="AB731" s="335"/>
      <c r="AC731" s="335"/>
    </row>
    <row r="732" spans="1:29">
      <c r="A732" s="346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  <c r="AA732" s="335"/>
      <c r="AB732" s="335"/>
      <c r="AC732" s="335"/>
    </row>
    <row r="733" spans="1:29">
      <c r="A733" s="346"/>
      <c r="B733" s="346" t="s">
        <v>141</v>
      </c>
      <c r="E733" s="343">
        <v>0</v>
      </c>
      <c r="F733" s="343">
        <v>0</v>
      </c>
      <c r="G733" s="343">
        <v>0</v>
      </c>
      <c r="H733" s="343">
        <v>0</v>
      </c>
      <c r="I733" s="476">
        <f ca="1">($H730)*(IF($H731=1,I$185,IF($H731=2,I$188,IF($H731=3,I$191,0))))*(stub)</f>
        <v>0</v>
      </c>
      <c r="J733" s="476">
        <f ca="1">($H730)*(IF($H731=1,J$185,IF($H731=2,J$188,IF($H731=3,J$191,0))))</f>
        <v>0</v>
      </c>
      <c r="K733" s="476">
        <f t="shared" ref="K733:Z733" ca="1" si="360">($H730)*(IF($H731=1,K$185,IF($H731=2,K$188,IF($H731=3,K$191,0))))</f>
        <v>0</v>
      </c>
      <c r="L733" s="476">
        <f t="shared" ca="1" si="360"/>
        <v>0</v>
      </c>
      <c r="M733" s="476">
        <f t="shared" ca="1" si="360"/>
        <v>0</v>
      </c>
      <c r="N733" s="476">
        <f t="shared" ca="1" si="360"/>
        <v>0</v>
      </c>
      <c r="O733" s="476">
        <f t="shared" ca="1" si="360"/>
        <v>0</v>
      </c>
      <c r="P733" s="476">
        <f t="shared" ca="1" si="360"/>
        <v>0</v>
      </c>
      <c r="Q733" s="476">
        <f t="shared" ca="1" si="360"/>
        <v>0</v>
      </c>
      <c r="R733" s="476">
        <f t="shared" ca="1" si="360"/>
        <v>0</v>
      </c>
      <c r="S733" s="476">
        <f t="shared" ca="1" si="360"/>
        <v>0</v>
      </c>
      <c r="T733" s="476">
        <f t="shared" ca="1" si="360"/>
        <v>0</v>
      </c>
      <c r="U733" s="476">
        <f t="shared" ca="1" si="360"/>
        <v>0</v>
      </c>
      <c r="V733" s="476">
        <f t="shared" ca="1" si="360"/>
        <v>0</v>
      </c>
      <c r="W733" s="476">
        <f t="shared" ca="1" si="360"/>
        <v>0</v>
      </c>
      <c r="X733" s="476">
        <f t="shared" ca="1" si="360"/>
        <v>0</v>
      </c>
      <c r="Y733" s="476">
        <f t="shared" ca="1" si="360"/>
        <v>0</v>
      </c>
      <c r="Z733" s="476">
        <f t="shared" ca="1" si="360"/>
        <v>0</v>
      </c>
      <c r="AA733" s="476">
        <f ca="1">($H730)*(IF($H731=1,AA$185,IF($H731=2,AA$188,IF($H731=3,AA$191,0))))</f>
        <v>0</v>
      </c>
      <c r="AB733" s="476">
        <f ca="1">($H730)*(IF($H731=1,AB$185,IF($H731=2,AB$188,IF($H731=3,AB$191,0))))</f>
        <v>0</v>
      </c>
      <c r="AC733" s="476">
        <f ca="1">($H730)*(IF($H731=1,AC$185,IF($H731=2,AC$188,IF($H731=3,AC$191,0))))</f>
        <v>0</v>
      </c>
    </row>
    <row r="734" spans="1:29">
      <c r="A734" s="346"/>
      <c r="H734" s="208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  <c r="AA734" s="335"/>
      <c r="AB734" s="335"/>
      <c r="AC734" s="335"/>
    </row>
    <row r="735" spans="1:29">
      <c r="A735" s="346" t="s">
        <v>225</v>
      </c>
      <c r="H735" s="208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  <c r="AA735" s="335"/>
      <c r="AB735" s="335"/>
      <c r="AC735" s="335"/>
    </row>
    <row r="736" spans="1:29">
      <c r="B736" s="410" t="s">
        <v>164</v>
      </c>
      <c r="C736" s="503" t="s">
        <v>19</v>
      </c>
      <c r="E736" s="339" t="s">
        <v>226</v>
      </c>
      <c r="H736" s="507">
        <v>0</v>
      </c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  <c r="AA736" s="335"/>
      <c r="AB736" s="335"/>
      <c r="AC736" s="335"/>
    </row>
    <row r="737" spans="1:31">
      <c r="A737" s="411"/>
      <c r="B737" s="375" t="s">
        <v>165</v>
      </c>
      <c r="C737" s="503"/>
      <c r="E737" t="s">
        <v>201</v>
      </c>
      <c r="H737" s="507">
        <v>0</v>
      </c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  <c r="AA737" s="335"/>
      <c r="AB737" s="335"/>
      <c r="AC737" s="335"/>
    </row>
    <row r="738" spans="1:31">
      <c r="A738" s="411"/>
      <c r="B738" s="375" t="s">
        <v>166</v>
      </c>
      <c r="C738" s="503"/>
      <c r="E738" s="339" t="s">
        <v>202</v>
      </c>
      <c r="H738" s="412">
        <f>+H736*H737</f>
        <v>0</v>
      </c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  <c r="AA738" s="335"/>
      <c r="AB738" s="335"/>
      <c r="AC738" s="335"/>
    </row>
    <row r="739" spans="1:31">
      <c r="A739" s="411"/>
      <c r="B739" s="375" t="s">
        <v>167</v>
      </c>
      <c r="C739" s="503"/>
      <c r="E739" s="339" t="s">
        <v>203</v>
      </c>
      <c r="H739" s="433">
        <v>1</v>
      </c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  <c r="AA739" s="335"/>
      <c r="AB739" s="335"/>
      <c r="AC739" s="335"/>
    </row>
    <row r="740" spans="1:31">
      <c r="A740" s="411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  <c r="AA740" s="335"/>
      <c r="AB740" s="335"/>
      <c r="AC740" s="335"/>
    </row>
    <row r="741" spans="1:31">
      <c r="A741" s="411"/>
      <c r="B741" s="346" t="s">
        <v>227</v>
      </c>
      <c r="E741" s="343">
        <v>0</v>
      </c>
      <c r="F741" s="343">
        <v>0</v>
      </c>
      <c r="G741" s="343">
        <v>0</v>
      </c>
      <c r="H741" s="343">
        <v>0</v>
      </c>
      <c r="I741" s="476">
        <f ca="1">($H738*(I718+I711))*(IF($H739=1,I$185,IF($H739=2,I$188,IF($H739=3,I$191,0))))*(stub)</f>
        <v>0</v>
      </c>
      <c r="J741" s="476">
        <f ca="1">($H738*(J718+J711))*(IF($H739=1,J$185,IF($H739=2,J$188,IF($H739=3,J$191,0))))</f>
        <v>0</v>
      </c>
      <c r="K741" s="476">
        <f ca="1">($H738*(K718+K711))*(IF($H739=1,K$185,IF($H739=2,K$188,IF($H739=3,K$191,0))))</f>
        <v>0</v>
      </c>
      <c r="L741" s="476">
        <f t="shared" ref="L741:AA741" ca="1" si="361">($H738*(L718+L711))*(IF($H739=1,L$185,IF($H739=2,L$188,IF($H739=3,L$191,0))))</f>
        <v>0</v>
      </c>
      <c r="M741" s="476">
        <f t="shared" ca="1" si="361"/>
        <v>0</v>
      </c>
      <c r="N741" s="476">
        <f t="shared" ca="1" si="361"/>
        <v>0</v>
      </c>
      <c r="O741" s="476">
        <f t="shared" ca="1" si="361"/>
        <v>0</v>
      </c>
      <c r="P741" s="476">
        <f t="shared" ca="1" si="361"/>
        <v>0</v>
      </c>
      <c r="Q741" s="476">
        <f t="shared" ca="1" si="361"/>
        <v>0</v>
      </c>
      <c r="R741" s="476">
        <f t="shared" ca="1" si="361"/>
        <v>0</v>
      </c>
      <c r="S741" s="476">
        <f t="shared" ca="1" si="361"/>
        <v>0</v>
      </c>
      <c r="T741" s="476">
        <f t="shared" ca="1" si="361"/>
        <v>0</v>
      </c>
      <c r="U741" s="476">
        <f t="shared" ca="1" si="361"/>
        <v>0</v>
      </c>
      <c r="V741" s="476">
        <f t="shared" ca="1" si="361"/>
        <v>0</v>
      </c>
      <c r="W741" s="476">
        <f t="shared" ca="1" si="361"/>
        <v>0</v>
      </c>
      <c r="X741" s="476">
        <f t="shared" ca="1" si="361"/>
        <v>0</v>
      </c>
      <c r="Y741" s="476">
        <f t="shared" ca="1" si="361"/>
        <v>0</v>
      </c>
      <c r="Z741" s="476">
        <f t="shared" ca="1" si="361"/>
        <v>0</v>
      </c>
      <c r="AA741" s="476">
        <f t="shared" ca="1" si="361"/>
        <v>0</v>
      </c>
      <c r="AB741" s="476">
        <f ca="1">($H738*(AB718+AB711))*(IF($H739=1,AB$185,IF($H739=2,AB$188,IF($H739=3,AB$191,0))))</f>
        <v>0</v>
      </c>
      <c r="AC741" s="476">
        <f ca="1">($H738*(AC718+AC711))*(IF($H739=1,AC$185,IF($H739=2,AC$188,IF($H739=3,AC$191,0))))</f>
        <v>0</v>
      </c>
    </row>
    <row r="742" spans="1:31">
      <c r="A742" s="411"/>
      <c r="B742" s="346"/>
      <c r="I742" s="476"/>
      <c r="J742" s="476"/>
      <c r="K742" s="476"/>
      <c r="L742" s="476"/>
      <c r="M742" s="476"/>
      <c r="N742" s="476"/>
      <c r="O742" s="476"/>
      <c r="P742" s="476"/>
      <c r="Q742" s="476"/>
      <c r="R742" s="476"/>
      <c r="S742" s="476"/>
      <c r="T742" s="476"/>
      <c r="U742" s="476"/>
      <c r="V742" s="476"/>
      <c r="W742" s="476"/>
      <c r="X742" s="476"/>
      <c r="Y742" s="476"/>
      <c r="Z742" s="476"/>
      <c r="AA742" s="476"/>
      <c r="AB742" s="476"/>
      <c r="AC742" s="476"/>
    </row>
    <row r="743" spans="1:31">
      <c r="A743" s="83" t="s">
        <v>228</v>
      </c>
      <c r="C743" s="5"/>
      <c r="D743" s="5"/>
      <c r="E743" s="5">
        <f>+E741+E733</f>
        <v>0</v>
      </c>
      <c r="F743" s="5">
        <f t="shared" ref="F743:U743" si="362">+F741+F733</f>
        <v>0</v>
      </c>
      <c r="G743" s="5">
        <f t="shared" si="362"/>
        <v>0</v>
      </c>
      <c r="H743" s="5">
        <f t="shared" si="362"/>
        <v>0</v>
      </c>
      <c r="I743" s="5">
        <f t="shared" ca="1" si="362"/>
        <v>0</v>
      </c>
      <c r="J743" s="5">
        <f t="shared" ca="1" si="362"/>
        <v>0</v>
      </c>
      <c r="K743" s="5">
        <f t="shared" ca="1" si="362"/>
        <v>0</v>
      </c>
      <c r="L743" s="5">
        <f t="shared" ca="1" si="362"/>
        <v>0</v>
      </c>
      <c r="M743" s="5">
        <f t="shared" ca="1" si="362"/>
        <v>0</v>
      </c>
      <c r="N743" s="5">
        <f t="shared" ca="1" si="362"/>
        <v>0</v>
      </c>
      <c r="O743" s="5">
        <f t="shared" ca="1" si="362"/>
        <v>0</v>
      </c>
      <c r="P743" s="5">
        <f t="shared" ca="1" si="362"/>
        <v>0</v>
      </c>
      <c r="Q743" s="5">
        <f t="shared" ca="1" si="362"/>
        <v>0</v>
      </c>
      <c r="R743" s="5">
        <f t="shared" ca="1" si="362"/>
        <v>0</v>
      </c>
      <c r="S743" s="5">
        <f t="shared" ca="1" si="362"/>
        <v>0</v>
      </c>
      <c r="T743" s="5">
        <f t="shared" ca="1" si="362"/>
        <v>0</v>
      </c>
      <c r="U743" s="5">
        <f t="shared" ca="1" si="362"/>
        <v>0</v>
      </c>
      <c r="V743" s="5">
        <f t="shared" ref="V743:AC743" ca="1" si="363">+V741+V733</f>
        <v>0</v>
      </c>
      <c r="W743" s="5">
        <f t="shared" ca="1" si="363"/>
        <v>0</v>
      </c>
      <c r="X743" s="5">
        <f t="shared" ca="1" si="363"/>
        <v>0</v>
      </c>
      <c r="Y743" s="5">
        <f t="shared" ca="1" si="363"/>
        <v>0</v>
      </c>
      <c r="Z743" s="5">
        <f t="shared" ca="1" si="363"/>
        <v>0</v>
      </c>
      <c r="AA743" s="5">
        <f t="shared" ca="1" si="363"/>
        <v>0</v>
      </c>
      <c r="AB743" s="5">
        <f t="shared" ca="1" si="363"/>
        <v>0</v>
      </c>
      <c r="AC743" s="5">
        <f t="shared" ca="1" si="363"/>
        <v>0</v>
      </c>
    </row>
    <row r="744" spans="1:31">
      <c r="A744" s="5" t="s">
        <v>229</v>
      </c>
      <c r="C744" s="5"/>
      <c r="D744" s="5"/>
      <c r="E744" s="231">
        <f>+E720</f>
        <v>0</v>
      </c>
      <c r="F744" s="231">
        <f t="shared" ref="F744:U744" si="364">+F720</f>
        <v>0</v>
      </c>
      <c r="G744" s="231">
        <f t="shared" si="364"/>
        <v>0</v>
      </c>
      <c r="H744" s="231">
        <f t="shared" si="364"/>
        <v>0</v>
      </c>
      <c r="I744" s="231">
        <f t="shared" ca="1" si="364"/>
        <v>-37.471736051144838</v>
      </c>
      <c r="J744" s="231">
        <f t="shared" ca="1" si="364"/>
        <v>668.32672539510099</v>
      </c>
      <c r="K744" s="231">
        <f t="shared" ca="1" si="364"/>
        <v>542.016503686482</v>
      </c>
      <c r="L744" s="231">
        <f t="shared" ca="1" si="364"/>
        <v>502.18123819207096</v>
      </c>
      <c r="M744" s="231">
        <f t="shared" ca="1" si="364"/>
        <v>469.44891561059273</v>
      </c>
      <c r="N744" s="231">
        <f t="shared" ca="1" si="364"/>
        <v>427.97535912417243</v>
      </c>
      <c r="O744" s="231">
        <f t="shared" ca="1" si="364"/>
        <v>378.42082638572674</v>
      </c>
      <c r="P744" s="231">
        <f t="shared" ca="1" si="364"/>
        <v>330.90930235724181</v>
      </c>
      <c r="Q744" s="231">
        <f t="shared" ca="1" si="364"/>
        <v>307.21458553082596</v>
      </c>
      <c r="R744" s="231">
        <f t="shared" ca="1" si="364"/>
        <v>276.72070912691458</v>
      </c>
      <c r="S744" s="231">
        <f t="shared" ca="1" si="364"/>
        <v>230.26860383146555</v>
      </c>
      <c r="T744" s="231">
        <f t="shared" ca="1" si="364"/>
        <v>206.00373643277769</v>
      </c>
      <c r="U744" s="231">
        <f t="shared" ca="1" si="364"/>
        <v>185.70406474440875</v>
      </c>
      <c r="V744" s="231">
        <f t="shared" ref="V744:AC744" ca="1" si="365">+V720</f>
        <v>165.90437845175484</v>
      </c>
      <c r="W744" s="231">
        <f t="shared" ca="1" si="365"/>
        <v>128.54904732397534</v>
      </c>
      <c r="X744" s="231">
        <f t="shared" ca="1" si="365"/>
        <v>113.08112456772207</v>
      </c>
      <c r="Y744" s="231">
        <f t="shared" ca="1" si="365"/>
        <v>82.921604870374111</v>
      </c>
      <c r="Z744" s="231">
        <f t="shared" ca="1" si="365"/>
        <v>60.692095405002149</v>
      </c>
      <c r="AA744" s="231">
        <f t="shared" ca="1" si="365"/>
        <v>49.156278622514172</v>
      </c>
      <c r="AB744" s="231">
        <f t="shared" ca="1" si="365"/>
        <v>40.042716703111765</v>
      </c>
      <c r="AC744" s="231">
        <f t="shared" ca="1" si="365"/>
        <v>35.016260152394025</v>
      </c>
    </row>
    <row r="745" spans="1:31">
      <c r="A745" s="5" t="s">
        <v>230</v>
      </c>
      <c r="C745" s="5"/>
      <c r="D745" s="5"/>
      <c r="E745" s="414">
        <f>+E743+E744</f>
        <v>0</v>
      </c>
      <c r="F745" s="414">
        <f t="shared" ref="F745:U745" si="366">+F743+F744</f>
        <v>0</v>
      </c>
      <c r="G745" s="414">
        <f t="shared" si="366"/>
        <v>0</v>
      </c>
      <c r="H745" s="414">
        <f t="shared" si="366"/>
        <v>0</v>
      </c>
      <c r="I745" s="414">
        <f t="shared" ca="1" si="366"/>
        <v>-37.471736051144838</v>
      </c>
      <c r="J745" s="414">
        <f t="shared" ca="1" si="366"/>
        <v>668.32672539510099</v>
      </c>
      <c r="K745" s="414">
        <f t="shared" ca="1" si="366"/>
        <v>542.016503686482</v>
      </c>
      <c r="L745" s="414">
        <f t="shared" ca="1" si="366"/>
        <v>502.18123819207096</v>
      </c>
      <c r="M745" s="414">
        <f t="shared" ca="1" si="366"/>
        <v>469.44891561059273</v>
      </c>
      <c r="N745" s="414">
        <f t="shared" ca="1" si="366"/>
        <v>427.97535912417243</v>
      </c>
      <c r="O745" s="414">
        <f t="shared" ca="1" si="366"/>
        <v>378.42082638572674</v>
      </c>
      <c r="P745" s="414">
        <f t="shared" ca="1" si="366"/>
        <v>330.90930235724181</v>
      </c>
      <c r="Q745" s="414">
        <f t="shared" ca="1" si="366"/>
        <v>307.21458553082596</v>
      </c>
      <c r="R745" s="414">
        <f t="shared" ca="1" si="366"/>
        <v>276.72070912691458</v>
      </c>
      <c r="S745" s="414">
        <f t="shared" ca="1" si="366"/>
        <v>230.26860383146555</v>
      </c>
      <c r="T745" s="414">
        <f t="shared" ca="1" si="366"/>
        <v>206.00373643277769</v>
      </c>
      <c r="U745" s="414">
        <f t="shared" ca="1" si="366"/>
        <v>185.70406474440875</v>
      </c>
      <c r="V745" s="414">
        <f t="shared" ref="V745:AC745" ca="1" si="367">+V743+V744</f>
        <v>165.90437845175484</v>
      </c>
      <c r="W745" s="414">
        <f t="shared" ca="1" si="367"/>
        <v>128.54904732397534</v>
      </c>
      <c r="X745" s="414">
        <f t="shared" ca="1" si="367"/>
        <v>113.08112456772207</v>
      </c>
      <c r="Y745" s="414">
        <f t="shared" ca="1" si="367"/>
        <v>82.921604870374111</v>
      </c>
      <c r="Z745" s="414">
        <f t="shared" ca="1" si="367"/>
        <v>60.692095405002149</v>
      </c>
      <c r="AA745" s="414">
        <f t="shared" ca="1" si="367"/>
        <v>49.156278622514172</v>
      </c>
      <c r="AB745" s="414">
        <f t="shared" ca="1" si="367"/>
        <v>40.042716703111765</v>
      </c>
      <c r="AC745" s="414">
        <f t="shared" ca="1" si="367"/>
        <v>35.016260152394025</v>
      </c>
      <c r="AE745" s="479"/>
    </row>
    <row r="746" spans="1:31" ht="12" thickBot="1">
      <c r="A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69"/>
      <c r="Y746" s="69"/>
      <c r="Z746" s="69"/>
      <c r="AA746" s="69"/>
      <c r="AB746" s="69"/>
      <c r="AC746" s="69"/>
    </row>
    <row r="747" spans="1:31" ht="12" thickTop="1">
      <c r="A747" s="443"/>
      <c r="B747" s="443"/>
      <c r="C747" s="443"/>
      <c r="D747" s="443"/>
      <c r="E747" s="443"/>
      <c r="F747" s="443"/>
      <c r="G747" s="443"/>
      <c r="H747" s="443"/>
      <c r="I747" s="443"/>
      <c r="J747" s="443"/>
      <c r="K747" s="443"/>
      <c r="L747" s="443"/>
      <c r="M747" s="443"/>
      <c r="N747" s="443"/>
      <c r="O747" s="443"/>
      <c r="P747" s="443"/>
      <c r="Q747" s="443"/>
      <c r="R747" s="443"/>
      <c r="S747" s="443"/>
      <c r="T747" s="443"/>
      <c r="U747" s="443"/>
      <c r="V747" s="443"/>
      <c r="W747" s="443"/>
      <c r="X747" s="443"/>
      <c r="Y747" s="443"/>
      <c r="Z747" s="443"/>
      <c r="AA747" s="443"/>
      <c r="AB747" s="443"/>
      <c r="AC747" s="443"/>
    </row>
    <row r="748" spans="1:31">
      <c r="A748" s="337" t="s">
        <v>231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69"/>
      <c r="Y748" s="69"/>
      <c r="Z748" s="69"/>
      <c r="AA748" s="69"/>
      <c r="AB748" s="69"/>
      <c r="AC748" s="69"/>
    </row>
    <row r="749" spans="1:31">
      <c r="A749" s="83" t="s">
        <v>232</v>
      </c>
      <c r="C749" s="330"/>
      <c r="D749" s="330"/>
      <c r="E749" s="614"/>
      <c r="F749" s="614"/>
      <c r="G749" s="614"/>
      <c r="H749" s="614"/>
      <c r="I749" s="614"/>
      <c r="J749" s="614"/>
      <c r="K749" s="614"/>
      <c r="L749" s="614"/>
      <c r="M749" s="614"/>
      <c r="N749" s="614"/>
      <c r="O749" s="614"/>
      <c r="P749" s="614"/>
      <c r="Q749" s="614"/>
      <c r="R749" s="614"/>
      <c r="S749" s="614"/>
      <c r="T749" s="614"/>
      <c r="U749" s="614"/>
      <c r="V749" s="614"/>
      <c r="W749" s="614"/>
      <c r="X749" s="614"/>
      <c r="Y749" s="614"/>
      <c r="Z749" s="614"/>
      <c r="AA749" s="614"/>
      <c r="AB749" s="614"/>
      <c r="AC749" s="614"/>
    </row>
    <row r="750" spans="1:31">
      <c r="A750" s="346"/>
      <c r="B750" s="410" t="s">
        <v>164</v>
      </c>
      <c r="C750" s="503" t="s">
        <v>19</v>
      </c>
      <c r="E750" s="339" t="s">
        <v>208</v>
      </c>
      <c r="H750" s="343">
        <v>0</v>
      </c>
      <c r="I750" s="334"/>
      <c r="J750" s="334"/>
      <c r="K750" s="334"/>
      <c r="L750" s="334"/>
      <c r="M750" s="334"/>
      <c r="N750" s="334"/>
      <c r="O750" s="334"/>
      <c r="P750" s="334"/>
      <c r="Q750" s="334"/>
      <c r="R750" s="334"/>
      <c r="S750" s="334"/>
      <c r="T750" s="334"/>
      <c r="U750" s="334"/>
      <c r="V750" s="334"/>
      <c r="W750" s="334"/>
      <c r="X750" s="334"/>
      <c r="Y750" s="334"/>
      <c r="Z750" s="334"/>
      <c r="AA750" s="334"/>
      <c r="AB750" s="334"/>
      <c r="AC750" s="334"/>
    </row>
    <row r="751" spans="1:31">
      <c r="A751" s="208"/>
      <c r="B751" s="375" t="s">
        <v>165</v>
      </c>
      <c r="C751" s="503"/>
      <c r="E751" t="s">
        <v>201</v>
      </c>
      <c r="H751" s="507">
        <v>0</v>
      </c>
      <c r="I751" s="208"/>
      <c r="J751" s="208"/>
      <c r="K751" s="208"/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</row>
    <row r="752" spans="1:31">
      <c r="B752" s="375" t="s">
        <v>166</v>
      </c>
      <c r="C752" s="503"/>
      <c r="E752" s="339" t="s">
        <v>202</v>
      </c>
      <c r="H752" s="476">
        <f>+H750*H751</f>
        <v>0</v>
      </c>
    </row>
    <row r="753" spans="1:29">
      <c r="A753" s="346"/>
      <c r="B753" s="375" t="s">
        <v>167</v>
      </c>
      <c r="C753" s="503"/>
      <c r="E753" s="339" t="s">
        <v>203</v>
      </c>
      <c r="H753" s="343">
        <v>1</v>
      </c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  <c r="AA753" s="335"/>
      <c r="AB753" s="335"/>
      <c r="AC753" s="335"/>
    </row>
    <row r="754" spans="1:29">
      <c r="A754" s="346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  <c r="AA754" s="335"/>
      <c r="AB754" s="335"/>
      <c r="AC754" s="335"/>
    </row>
    <row r="755" spans="1:29">
      <c r="A755" s="346"/>
      <c r="B755" s="346" t="s">
        <v>141</v>
      </c>
      <c r="E755" s="343">
        <v>0</v>
      </c>
      <c r="F755" s="343">
        <v>0</v>
      </c>
      <c r="G755" s="343">
        <v>0</v>
      </c>
      <c r="H755" s="343">
        <v>0</v>
      </c>
      <c r="I755" s="476">
        <f ca="1">($H752)*(IF($H753=1,I$185,IF($H753=2,I$188,IF($H753=3,I$191,0))))*(stub)</f>
        <v>0</v>
      </c>
      <c r="J755" s="476">
        <f ca="1">($H752)*(IF($H753=1,J$185,IF($H753=2,J$188,IF($H753=3,J$191,0))))</f>
        <v>0</v>
      </c>
      <c r="K755" s="476">
        <f t="shared" ref="K755:Z755" ca="1" si="368">($H752)*(IF($H753=1,K$185,IF($H753=2,K$188,IF($H753=3,K$191,0))))</f>
        <v>0</v>
      </c>
      <c r="L755" s="476">
        <f t="shared" ca="1" si="368"/>
        <v>0</v>
      </c>
      <c r="M755" s="476">
        <f t="shared" ca="1" si="368"/>
        <v>0</v>
      </c>
      <c r="N755" s="476">
        <f t="shared" ca="1" si="368"/>
        <v>0</v>
      </c>
      <c r="O755" s="476">
        <f t="shared" ca="1" si="368"/>
        <v>0</v>
      </c>
      <c r="P755" s="476">
        <f t="shared" ca="1" si="368"/>
        <v>0</v>
      </c>
      <c r="Q755" s="476">
        <f t="shared" ca="1" si="368"/>
        <v>0</v>
      </c>
      <c r="R755" s="476">
        <f t="shared" ca="1" si="368"/>
        <v>0</v>
      </c>
      <c r="S755" s="476">
        <f t="shared" ca="1" si="368"/>
        <v>0</v>
      </c>
      <c r="T755" s="476">
        <f t="shared" ca="1" si="368"/>
        <v>0</v>
      </c>
      <c r="U755" s="476">
        <f t="shared" ca="1" si="368"/>
        <v>0</v>
      </c>
      <c r="V755" s="476">
        <f t="shared" ca="1" si="368"/>
        <v>0</v>
      </c>
      <c r="W755" s="476">
        <f t="shared" ca="1" si="368"/>
        <v>0</v>
      </c>
      <c r="X755" s="476">
        <f t="shared" ca="1" si="368"/>
        <v>0</v>
      </c>
      <c r="Y755" s="476">
        <f t="shared" ca="1" si="368"/>
        <v>0</v>
      </c>
      <c r="Z755" s="476">
        <f t="shared" ca="1" si="368"/>
        <v>0</v>
      </c>
      <c r="AA755" s="476">
        <f ca="1">($H752)*(IF($H753=1,AA$185,IF($H753=2,AA$188,IF($H753=3,AA$191,0))))</f>
        <v>0</v>
      </c>
      <c r="AB755" s="476">
        <f ca="1">($H752)*(IF($H753=1,AB$185,IF($H753=2,AB$188,IF($H753=3,AB$191,0))))</f>
        <v>0</v>
      </c>
      <c r="AC755" s="476">
        <f ca="1">($H752)*(IF($H753=1,AC$185,IF($H753=2,AC$188,IF($H753=3,AC$191,0))))</f>
        <v>0</v>
      </c>
    </row>
    <row r="756" spans="1:29">
      <c r="A756" s="346"/>
      <c r="H756" s="208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  <c r="AA756" s="335"/>
      <c r="AB756" s="335"/>
      <c r="AC756" s="335"/>
    </row>
    <row r="757" spans="1:29">
      <c r="A757" s="346" t="s">
        <v>233</v>
      </c>
      <c r="H757" s="208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  <c r="AA757" s="335"/>
      <c r="AB757" s="335"/>
      <c r="AC757" s="335"/>
    </row>
    <row r="758" spans="1:29">
      <c r="B758" s="410" t="s">
        <v>164</v>
      </c>
      <c r="C758" s="503" t="s">
        <v>19</v>
      </c>
      <c r="E758" s="339" t="s">
        <v>226</v>
      </c>
      <c r="H758" s="507">
        <v>0</v>
      </c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  <c r="AA758" s="335"/>
      <c r="AB758" s="335"/>
      <c r="AC758" s="335"/>
    </row>
    <row r="759" spans="1:29">
      <c r="A759" s="411"/>
      <c r="B759" s="375" t="s">
        <v>165</v>
      </c>
      <c r="C759" s="503"/>
      <c r="E759" t="s">
        <v>201</v>
      </c>
      <c r="H759" s="507">
        <v>0</v>
      </c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  <c r="AA759" s="335"/>
      <c r="AB759" s="335"/>
      <c r="AC759" s="335"/>
    </row>
    <row r="760" spans="1:29">
      <c r="A760" s="411"/>
      <c r="B760" s="375" t="s">
        <v>166</v>
      </c>
      <c r="C760" s="503"/>
      <c r="E760" s="339" t="s">
        <v>202</v>
      </c>
      <c r="H760" s="476">
        <f>+H758*H759</f>
        <v>0</v>
      </c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  <c r="AA760" s="335"/>
      <c r="AB760" s="335"/>
      <c r="AC760" s="335"/>
    </row>
    <row r="761" spans="1:29">
      <c r="A761" s="411"/>
      <c r="B761" s="375" t="s">
        <v>167</v>
      </c>
      <c r="C761" s="503"/>
      <c r="E761" s="339" t="s">
        <v>203</v>
      </c>
      <c r="H761" s="433">
        <v>1</v>
      </c>
      <c r="I761" s="692"/>
      <c r="J761" s="718"/>
      <c r="K761" s="692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  <c r="AA761" s="335"/>
      <c r="AB761" s="335"/>
      <c r="AC761" s="335"/>
    </row>
    <row r="762" spans="1:29">
      <c r="A762" s="411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  <c r="AA762" s="335"/>
      <c r="AB762" s="335"/>
      <c r="AC762" s="335"/>
    </row>
    <row r="763" spans="1:29">
      <c r="A763" s="411"/>
      <c r="B763" s="346" t="s">
        <v>227</v>
      </c>
      <c r="E763" s="343">
        <v>0</v>
      </c>
      <c r="F763" s="343">
        <v>0</v>
      </c>
      <c r="G763" s="343">
        <v>0</v>
      </c>
      <c r="H763" s="343">
        <v>0</v>
      </c>
      <c r="I763" s="476">
        <f ca="1">($H760*(I718+I711))*(IF($H761=1,I$185,IF($H761=2,I$188,IF($H761=3,I$191,0))))*(stub)</f>
        <v>0</v>
      </c>
      <c r="J763" s="476">
        <f ca="1">($H760*(J718+J711))*(IF($H761=1,J$185,IF($H761=2,J$188,IF($H761=3,J$191,0))))</f>
        <v>0</v>
      </c>
      <c r="K763" s="476">
        <f t="shared" ref="K763:Z763" ca="1" si="369">($H760*(K718+K711))*(IF($H761=1,K$185,IF($H761=2,K$188,IF($H761=3,K$191,0))))</f>
        <v>0</v>
      </c>
      <c r="L763" s="476">
        <f t="shared" ca="1" si="369"/>
        <v>0</v>
      </c>
      <c r="M763" s="476">
        <f t="shared" ca="1" si="369"/>
        <v>0</v>
      </c>
      <c r="N763" s="476">
        <f t="shared" ca="1" si="369"/>
        <v>0</v>
      </c>
      <c r="O763" s="476">
        <f t="shared" ca="1" si="369"/>
        <v>0</v>
      </c>
      <c r="P763" s="476">
        <f t="shared" ca="1" si="369"/>
        <v>0</v>
      </c>
      <c r="Q763" s="476">
        <f t="shared" ca="1" si="369"/>
        <v>0</v>
      </c>
      <c r="R763" s="476">
        <f t="shared" ca="1" si="369"/>
        <v>0</v>
      </c>
      <c r="S763" s="476">
        <f t="shared" ca="1" si="369"/>
        <v>0</v>
      </c>
      <c r="T763" s="476">
        <f t="shared" ca="1" si="369"/>
        <v>0</v>
      </c>
      <c r="U763" s="476">
        <f t="shared" ca="1" si="369"/>
        <v>0</v>
      </c>
      <c r="V763" s="476">
        <f t="shared" ca="1" si="369"/>
        <v>0</v>
      </c>
      <c r="W763" s="476">
        <f t="shared" ca="1" si="369"/>
        <v>0</v>
      </c>
      <c r="X763" s="476">
        <f t="shared" ca="1" si="369"/>
        <v>0</v>
      </c>
      <c r="Y763" s="476">
        <f t="shared" ca="1" si="369"/>
        <v>0</v>
      </c>
      <c r="Z763" s="476">
        <f t="shared" ca="1" si="369"/>
        <v>0</v>
      </c>
      <c r="AA763" s="476">
        <f ca="1">($H760*(AA718+AA711))*(IF($H761=1,AA$185,IF($H761=2,AA$188,IF($H761=3,AA$191,0))))</f>
        <v>0</v>
      </c>
      <c r="AB763" s="476">
        <f ca="1">($H760*(AB718+AB711))*(IF($H761=1,AB$185,IF($H761=2,AB$188,IF($H761=3,AB$191,0))))</f>
        <v>0</v>
      </c>
      <c r="AC763" s="476">
        <f ca="1">($H760*(AC718+AC711))*(IF($H761=1,AC$185,IF($H761=2,AC$188,IF($H761=3,AC$191,0))))</f>
        <v>0</v>
      </c>
    </row>
    <row r="764" spans="1:29">
      <c r="A764" s="411"/>
      <c r="B764" s="346"/>
      <c r="I764" s="343">
        <v>0</v>
      </c>
      <c r="J764" s="343">
        <v>0</v>
      </c>
      <c r="K764" s="343">
        <v>0</v>
      </c>
      <c r="L764" s="343">
        <v>0</v>
      </c>
      <c r="M764" s="343">
        <v>0</v>
      </c>
      <c r="N764" s="343">
        <v>0</v>
      </c>
      <c r="O764" s="343">
        <v>0</v>
      </c>
      <c r="P764" s="343">
        <v>0</v>
      </c>
      <c r="Q764" s="343">
        <v>0</v>
      </c>
      <c r="R764" s="343">
        <v>0</v>
      </c>
      <c r="S764" s="343">
        <v>0</v>
      </c>
      <c r="T764" s="343">
        <v>0</v>
      </c>
      <c r="U764" s="343">
        <v>0</v>
      </c>
      <c r="V764" s="343">
        <v>0</v>
      </c>
      <c r="W764" s="343">
        <v>0</v>
      </c>
      <c r="X764" s="343">
        <v>0</v>
      </c>
      <c r="Y764" s="343">
        <v>0</v>
      </c>
      <c r="Z764" s="343">
        <v>0</v>
      </c>
      <c r="AA764" s="343">
        <v>0</v>
      </c>
      <c r="AB764" s="343">
        <v>0</v>
      </c>
      <c r="AC764" s="343">
        <v>0</v>
      </c>
    </row>
    <row r="765" spans="1:29">
      <c r="A765" s="411" t="s">
        <v>234</v>
      </c>
      <c r="B765" s="346"/>
      <c r="E765" s="343">
        <v>0</v>
      </c>
      <c r="F765" s="343">
        <v>0</v>
      </c>
      <c r="G765" s="343">
        <v>0</v>
      </c>
      <c r="H765" s="343">
        <v>0</v>
      </c>
      <c r="I765" s="700">
        <f t="shared" ref="I765:AC765" si="370">I764</f>
        <v>0</v>
      </c>
      <c r="J765" s="700">
        <f t="shared" si="370"/>
        <v>0</v>
      </c>
      <c r="K765" s="700">
        <f t="shared" si="370"/>
        <v>0</v>
      </c>
      <c r="L765" s="700">
        <f t="shared" si="370"/>
        <v>0</v>
      </c>
      <c r="M765" s="700">
        <f t="shared" si="370"/>
        <v>0</v>
      </c>
      <c r="N765" s="700">
        <f t="shared" si="370"/>
        <v>0</v>
      </c>
      <c r="O765" s="700">
        <f t="shared" si="370"/>
        <v>0</v>
      </c>
      <c r="P765" s="700">
        <f t="shared" si="370"/>
        <v>0</v>
      </c>
      <c r="Q765" s="700">
        <f t="shared" si="370"/>
        <v>0</v>
      </c>
      <c r="R765" s="700">
        <f t="shared" si="370"/>
        <v>0</v>
      </c>
      <c r="S765" s="700">
        <f t="shared" si="370"/>
        <v>0</v>
      </c>
      <c r="T765" s="700">
        <f t="shared" si="370"/>
        <v>0</v>
      </c>
      <c r="U765" s="700">
        <f t="shared" si="370"/>
        <v>0</v>
      </c>
      <c r="V765" s="700">
        <f t="shared" si="370"/>
        <v>0</v>
      </c>
      <c r="W765" s="700">
        <f t="shared" si="370"/>
        <v>0</v>
      </c>
      <c r="X765" s="700">
        <f t="shared" si="370"/>
        <v>0</v>
      </c>
      <c r="Y765" s="700">
        <f t="shared" si="370"/>
        <v>0</v>
      </c>
      <c r="Z765" s="700">
        <f t="shared" si="370"/>
        <v>0</v>
      </c>
      <c r="AA765" s="700">
        <f t="shared" si="370"/>
        <v>0</v>
      </c>
      <c r="AB765" s="700">
        <f t="shared" si="370"/>
        <v>0</v>
      </c>
      <c r="AC765" s="700">
        <f t="shared" si="370"/>
        <v>0</v>
      </c>
    </row>
    <row r="766" spans="1:29">
      <c r="A766" s="83" t="s">
        <v>235</v>
      </c>
      <c r="C766" s="5"/>
      <c r="D766" s="5"/>
      <c r="E766" s="168">
        <f>+E763+E755+E765</f>
        <v>0</v>
      </c>
      <c r="F766" s="168">
        <f t="shared" ref="F766:U766" si="371">+F763+F755+F765</f>
        <v>0</v>
      </c>
      <c r="G766" s="168">
        <f t="shared" si="371"/>
        <v>0</v>
      </c>
      <c r="H766" s="168">
        <f t="shared" si="371"/>
        <v>0</v>
      </c>
      <c r="I766" s="168">
        <f t="shared" ca="1" si="371"/>
        <v>0</v>
      </c>
      <c r="J766" s="168">
        <f t="shared" ca="1" si="371"/>
        <v>0</v>
      </c>
      <c r="K766" s="168">
        <f t="shared" ca="1" si="371"/>
        <v>0</v>
      </c>
      <c r="L766" s="168">
        <f t="shared" ca="1" si="371"/>
        <v>0</v>
      </c>
      <c r="M766" s="168">
        <f t="shared" ca="1" si="371"/>
        <v>0</v>
      </c>
      <c r="N766" s="168">
        <f t="shared" ca="1" si="371"/>
        <v>0</v>
      </c>
      <c r="O766" s="168">
        <f t="shared" ca="1" si="371"/>
        <v>0</v>
      </c>
      <c r="P766" s="168">
        <f t="shared" ca="1" si="371"/>
        <v>0</v>
      </c>
      <c r="Q766" s="168">
        <f t="shared" ca="1" si="371"/>
        <v>0</v>
      </c>
      <c r="R766" s="168">
        <f t="shared" ca="1" si="371"/>
        <v>0</v>
      </c>
      <c r="S766" s="168">
        <f t="shared" ca="1" si="371"/>
        <v>0</v>
      </c>
      <c r="T766" s="168">
        <f t="shared" ca="1" si="371"/>
        <v>0</v>
      </c>
      <c r="U766" s="168">
        <f t="shared" ca="1" si="371"/>
        <v>0</v>
      </c>
      <c r="V766" s="168">
        <f t="shared" ref="V766:AC766" ca="1" si="372">+V763+V755+V765</f>
        <v>0</v>
      </c>
      <c r="W766" s="168">
        <f t="shared" ca="1" si="372"/>
        <v>0</v>
      </c>
      <c r="X766" s="168">
        <f t="shared" ca="1" si="372"/>
        <v>0</v>
      </c>
      <c r="Y766" s="168">
        <f t="shared" ca="1" si="372"/>
        <v>0</v>
      </c>
      <c r="Z766" s="168">
        <f t="shared" ca="1" si="372"/>
        <v>0</v>
      </c>
      <c r="AA766" s="168">
        <f t="shared" ca="1" si="372"/>
        <v>0</v>
      </c>
      <c r="AB766" s="168">
        <f t="shared" ca="1" si="372"/>
        <v>0</v>
      </c>
      <c r="AC766" s="168">
        <f t="shared" ca="1" si="372"/>
        <v>0</v>
      </c>
    </row>
    <row r="767" spans="1:29">
      <c r="A767" s="83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2" thickBot="1">
      <c r="A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44" ht="12.75" thickTop="1" thickBot="1">
      <c r="A769" s="301"/>
      <c r="B769" s="301"/>
      <c r="C769" s="301"/>
      <c r="D769" s="301"/>
      <c r="E769" s="301"/>
      <c r="F769" s="301"/>
      <c r="G769" s="301"/>
      <c r="H769" s="301"/>
      <c r="I769" s="301"/>
      <c r="J769" s="301"/>
      <c r="K769" s="301"/>
      <c r="L769" s="301"/>
      <c r="M769" s="301"/>
      <c r="N769" s="301"/>
      <c r="O769" s="301"/>
      <c r="P769" s="301"/>
      <c r="Q769" s="301"/>
      <c r="R769" s="301"/>
      <c r="S769" s="301"/>
      <c r="T769" s="301"/>
      <c r="U769" s="301"/>
      <c r="V769" s="301"/>
      <c r="W769" s="301"/>
      <c r="X769" s="301"/>
      <c r="Y769" s="301"/>
      <c r="Z769" s="301"/>
      <c r="AA769" s="301"/>
      <c r="AB769" s="301"/>
      <c r="AC769" s="301"/>
    </row>
    <row r="770" spans="1:44" ht="12.75" thickTop="1" thickBot="1">
      <c r="A770" s="15" t="s">
        <v>569</v>
      </c>
      <c r="I770" s="166" t="str">
        <f ca="1">+I$3</f>
        <v xml:space="preserve">6 M/1999 </v>
      </c>
      <c r="J770" s="166">
        <f t="shared" ref="J770:Z770" si="373">+J$3</f>
        <v>2000</v>
      </c>
      <c r="K770" s="166">
        <f t="shared" si="373"/>
        <v>2001</v>
      </c>
      <c r="L770" s="166">
        <f t="shared" si="373"/>
        <v>2002</v>
      </c>
      <c r="M770" s="166">
        <f t="shared" si="373"/>
        <v>2003</v>
      </c>
      <c r="N770" s="166">
        <f t="shared" si="373"/>
        <v>2004</v>
      </c>
      <c r="O770" s="166">
        <f t="shared" si="373"/>
        <v>2005</v>
      </c>
      <c r="P770" s="166">
        <f t="shared" si="373"/>
        <v>2006</v>
      </c>
      <c r="Q770" s="166">
        <f t="shared" si="373"/>
        <v>2007</v>
      </c>
      <c r="R770" s="166">
        <f t="shared" si="373"/>
        <v>2008</v>
      </c>
      <c r="S770" s="166">
        <f t="shared" si="373"/>
        <v>2009</v>
      </c>
      <c r="T770" s="166">
        <f t="shared" si="373"/>
        <v>2010</v>
      </c>
      <c r="U770" s="166">
        <f t="shared" si="373"/>
        <v>2011</v>
      </c>
      <c r="V770" s="166">
        <f t="shared" si="373"/>
        <v>2012</v>
      </c>
      <c r="W770" s="166">
        <f t="shared" si="373"/>
        <v>2013</v>
      </c>
      <c r="X770" s="166">
        <f t="shared" si="373"/>
        <v>2014</v>
      </c>
      <c r="Y770" s="166">
        <f t="shared" si="373"/>
        <v>2015</v>
      </c>
      <c r="Z770" s="166">
        <f t="shared" si="373"/>
        <v>2016</v>
      </c>
      <c r="AA770" s="166">
        <f>+AA$3</f>
        <v>2017</v>
      </c>
      <c r="AB770" s="166">
        <f>+AB$3</f>
        <v>2018</v>
      </c>
      <c r="AC770" s="166">
        <f>+AC$3</f>
        <v>2019</v>
      </c>
    </row>
    <row r="771" spans="1:44" ht="12" thickTop="1"/>
    <row r="772" spans="1:44">
      <c r="A772" s="77" t="s">
        <v>570</v>
      </c>
      <c r="B772" t="s">
        <v>15</v>
      </c>
      <c r="C772" t="str">
        <f>"("&amp;IF(H714="Bbtu/Mbbl","Mbbl",IF(H714="Tbtu/Mbbl","Mbbl","MMbbl"))&amp;")"</f>
        <v>(MMbbl)</v>
      </c>
      <c r="H772" s="208"/>
      <c r="I772" s="292">
        <f>+H666+I666</f>
        <v>67.48969225892337</v>
      </c>
      <c r="J772" s="79">
        <f>+J666</f>
        <v>137.94638451784675</v>
      </c>
      <c r="K772" s="79">
        <f t="shared" ref="K772:Z772" si="374">+K666</f>
        <v>107.09038546675102</v>
      </c>
      <c r="L772" s="79">
        <f t="shared" si="374"/>
        <v>87.7089409730863</v>
      </c>
      <c r="M772" s="79">
        <f t="shared" si="374"/>
        <v>77.505116740789632</v>
      </c>
      <c r="N772" s="79">
        <f t="shared" si="374"/>
        <v>57.388026721603559</v>
      </c>
      <c r="O772" s="79">
        <f t="shared" si="374"/>
        <v>43.899425714965552</v>
      </c>
      <c r="P772" s="79">
        <f t="shared" si="374"/>
        <v>32.046551107649684</v>
      </c>
      <c r="Q772" s="79">
        <f t="shared" si="374"/>
        <v>25.290600128011402</v>
      </c>
      <c r="R772" s="79">
        <f t="shared" si="374"/>
        <v>19.96378666447497</v>
      </c>
      <c r="S772" s="79">
        <f t="shared" si="374"/>
        <v>15.763360380428766</v>
      </c>
      <c r="T772" s="79">
        <f t="shared" si="374"/>
        <v>12.450315937591089</v>
      </c>
      <c r="U772" s="79">
        <f t="shared" si="374"/>
        <v>9.8367915893701738</v>
      </c>
      <c r="V772" s="79">
        <f t="shared" si="374"/>
        <v>7.7743699354515208</v>
      </c>
      <c r="W772" s="79">
        <f t="shared" si="374"/>
        <v>6.14566159726387</v>
      </c>
      <c r="X772" s="79">
        <f t="shared" si="374"/>
        <v>4.8606847026129838</v>
      </c>
      <c r="Y772" s="79">
        <f t="shared" si="374"/>
        <v>3.8456570038399405</v>
      </c>
      <c r="Z772" s="79">
        <f t="shared" si="374"/>
        <v>2.7898992128673235</v>
      </c>
      <c r="AA772" s="79">
        <f>+AA666</f>
        <v>2.1946124504090836</v>
      </c>
      <c r="AB772" s="79">
        <f>+AB666</f>
        <v>1.7263432977353248</v>
      </c>
      <c r="AC772" s="79">
        <f>+AC666</f>
        <v>1.3579897357641186</v>
      </c>
    </row>
    <row r="773" spans="1:44">
      <c r="A773" s="70" t="s">
        <v>571</v>
      </c>
      <c r="B773" t="s">
        <v>572</v>
      </c>
      <c r="C773" s="5"/>
      <c r="D773" s="5"/>
      <c r="E773" s="5"/>
      <c r="F773" s="5"/>
      <c r="G773" s="5"/>
      <c r="H773" s="69"/>
      <c r="I773" s="293">
        <f ca="1">H665*CFMODEL!$C$325+I665*CFMODEL!$C$328</f>
        <v>-1.1875</v>
      </c>
      <c r="J773" s="280">
        <f ca="1">+J665</f>
        <v>19.140888888888881</v>
      </c>
      <c r="K773" s="280">
        <f t="shared" ref="K773:Z773" ca="1" si="375">+K665</f>
        <v>16.611666666666665</v>
      </c>
      <c r="L773" s="280">
        <f t="shared" ca="1" si="375"/>
        <v>15.968166666666663</v>
      </c>
      <c r="M773" s="280">
        <f t="shared" ca="1" si="375"/>
        <v>16.046749999999999</v>
      </c>
      <c r="N773" s="280">
        <f t="shared" ca="1" si="375"/>
        <v>16.200749999999999</v>
      </c>
      <c r="O773" s="280">
        <f t="shared" ca="1" si="375"/>
        <v>16.356416666666668</v>
      </c>
      <c r="P773" s="280">
        <f t="shared" ca="1" si="375"/>
        <v>16.531166666666664</v>
      </c>
      <c r="Q773" s="280">
        <f t="shared" ca="1" si="375"/>
        <v>16.723166666666668</v>
      </c>
      <c r="R773" s="280">
        <f t="shared" ca="1" si="375"/>
        <v>16.925749999999997</v>
      </c>
      <c r="S773" s="280">
        <f t="shared" ca="1" si="375"/>
        <v>17.1355</v>
      </c>
      <c r="T773" s="280">
        <f t="shared" ca="1" si="375"/>
        <v>17.345083333333335</v>
      </c>
      <c r="U773" s="280">
        <f t="shared" ca="1" si="375"/>
        <v>17.555416666666662</v>
      </c>
      <c r="V773" s="280">
        <f t="shared" ca="1" si="375"/>
        <v>17.76541666666666</v>
      </c>
      <c r="W773" s="280">
        <f t="shared" ca="1" si="375"/>
        <v>17.975250000000003</v>
      </c>
      <c r="X773" s="280">
        <f t="shared" ca="1" si="375"/>
        <v>18.468916666666665</v>
      </c>
      <c r="Y773" s="280">
        <f t="shared" ca="1" si="375"/>
        <v>18.951833333333337</v>
      </c>
      <c r="Z773" s="280">
        <f t="shared" ca="1" si="375"/>
        <v>19.252249999999993</v>
      </c>
      <c r="AA773" s="280">
        <f ca="1">+AA665</f>
        <v>19.551999999999996</v>
      </c>
      <c r="AB773" s="280">
        <f ca="1">+AB665</f>
        <v>19.85166666666667</v>
      </c>
      <c r="AC773" s="280">
        <f ca="1">+AC665</f>
        <v>20.076999999999998</v>
      </c>
    </row>
    <row r="774" spans="1:44">
      <c r="A774" s="74"/>
      <c r="B774" t="s">
        <v>14</v>
      </c>
      <c r="C774" t="str">
        <f>"("&amp;IF(H714="Bbtu/Mbbl","Bbtu",IF(H714="Tbtu/Mbbl","Tbtu","Mmbtul"))&amp;")"</f>
        <v>(Mmbtul)</v>
      </c>
      <c r="D774" s="5"/>
      <c r="E774" s="5"/>
      <c r="F774" s="5"/>
      <c r="G774" s="5"/>
      <c r="H774" s="69"/>
      <c r="I774" s="292">
        <f>+H681+I681</f>
        <v>948.23879108898814</v>
      </c>
      <c r="J774" s="79">
        <f>+J681</f>
        <v>2226.4555821779763</v>
      </c>
      <c r="K774" s="79">
        <f t="shared" ref="K774:Z774" si="376">+K681</f>
        <v>2216.3195643650329</v>
      </c>
      <c r="L774" s="79">
        <f t="shared" si="376"/>
        <v>2184.2860909189249</v>
      </c>
      <c r="M774" s="79">
        <f t="shared" si="376"/>
        <v>2077.2850328130125</v>
      </c>
      <c r="N774" s="79">
        <f t="shared" si="376"/>
        <v>1992.3040322078073</v>
      </c>
      <c r="O774" s="79">
        <f t="shared" si="376"/>
        <v>1783.1177513222287</v>
      </c>
      <c r="P774" s="79">
        <f t="shared" si="376"/>
        <v>1567.6667372573893</v>
      </c>
      <c r="Q774" s="79">
        <f t="shared" si="376"/>
        <v>1374.6390061793245</v>
      </c>
      <c r="R774" s="79">
        <f t="shared" si="376"/>
        <v>1182.743714447457</v>
      </c>
      <c r="S774" s="79">
        <f t="shared" si="376"/>
        <v>1008.9935116576958</v>
      </c>
      <c r="T774" s="79">
        <f t="shared" si="376"/>
        <v>852.43136627872684</v>
      </c>
      <c r="U774" s="79">
        <f t="shared" si="376"/>
        <v>718.16882300885959</v>
      </c>
      <c r="V774" s="79">
        <f t="shared" si="376"/>
        <v>591.48079596605999</v>
      </c>
      <c r="W774" s="79">
        <f t="shared" si="376"/>
        <v>486.44212661376559</v>
      </c>
      <c r="X774" s="79">
        <f t="shared" si="376"/>
        <v>395.36224273279038</v>
      </c>
      <c r="Y774" s="79">
        <f t="shared" si="376"/>
        <v>311.49134719631388</v>
      </c>
      <c r="Z774" s="79">
        <f t="shared" si="376"/>
        <v>229.0336448745378</v>
      </c>
      <c r="AA774" s="79">
        <f>+AA681</f>
        <v>174.77118448178211</v>
      </c>
      <c r="AB774" s="79">
        <f>+AB681</f>
        <v>134.21795112539638</v>
      </c>
      <c r="AC774" s="79">
        <f>+AC681</f>
        <v>111.34889605167577</v>
      </c>
    </row>
    <row r="775" spans="1:44">
      <c r="A775" s="74"/>
      <c r="B775" t="s">
        <v>573</v>
      </c>
      <c r="C775" s="5"/>
      <c r="D775" s="5"/>
      <c r="E775" s="5"/>
      <c r="F775" s="5"/>
      <c r="G775" s="5"/>
      <c r="H775" s="69"/>
      <c r="I775" s="293">
        <f ca="1">H680*CFMODEL!$C$325+I680*CFMODEL!$C$328</f>
        <v>-0.18749999999999997</v>
      </c>
      <c r="J775" s="280">
        <f ca="1">+J680</f>
        <v>1.8639999999999999</v>
      </c>
      <c r="K775" s="280">
        <f t="shared" ref="K775:Z775" ca="1" si="377">+K680</f>
        <v>1.6417499999999994</v>
      </c>
      <c r="L775" s="280">
        <f t="shared" ca="1" si="377"/>
        <v>1.6408333333333331</v>
      </c>
      <c r="M775" s="280">
        <f t="shared" ca="1" si="377"/>
        <v>1.6295833333333336</v>
      </c>
      <c r="N775" s="280">
        <f t="shared" ca="1" si="377"/>
        <v>1.6304166666666666</v>
      </c>
      <c r="O775" s="280">
        <f t="shared" ca="1" si="377"/>
        <v>1.6383333333333332</v>
      </c>
      <c r="P775" s="280">
        <f t="shared" ca="1" si="377"/>
        <v>1.6541666666666663</v>
      </c>
      <c r="Q775" s="280">
        <f t="shared" ca="1" si="377"/>
        <v>1.68</v>
      </c>
      <c r="R775" s="280">
        <f t="shared" ca="1" si="377"/>
        <v>1.721666666666666</v>
      </c>
      <c r="S775" s="280">
        <f t="shared" ca="1" si="377"/>
        <v>1.7833333333333328</v>
      </c>
      <c r="T775" s="280">
        <f t="shared" ca="1" si="377"/>
        <v>1.8649999999999991</v>
      </c>
      <c r="U775" s="280">
        <f t="shared" ca="1" si="377"/>
        <v>1.9666666666666663</v>
      </c>
      <c r="V775" s="280">
        <f t="shared" ca="1" si="377"/>
        <v>2.0824999999999991</v>
      </c>
      <c r="W775" s="280">
        <f t="shared" ca="1" si="377"/>
        <v>2.208333333333333</v>
      </c>
      <c r="X775" s="280">
        <f t="shared" ca="1" si="377"/>
        <v>2.3441666666666663</v>
      </c>
      <c r="Y775" s="280">
        <f t="shared" ca="1" si="377"/>
        <v>2.4899999999999998</v>
      </c>
      <c r="Z775" s="280">
        <f t="shared" ca="1" si="377"/>
        <v>2.6458333333333326</v>
      </c>
      <c r="AA775" s="280">
        <f ca="1">+AA680</f>
        <v>2.811666666666667</v>
      </c>
      <c r="AB775" s="280">
        <f ca="1">+AB680</f>
        <v>2.9874999999999998</v>
      </c>
      <c r="AC775" s="280">
        <f ca="1">+AC680</f>
        <v>3.173333333333332</v>
      </c>
    </row>
    <row r="776" spans="1:44" ht="12" thickBot="1"/>
    <row r="777" spans="1:44" ht="12" thickTop="1">
      <c r="A777" s="301"/>
      <c r="B777" s="301"/>
      <c r="C777" s="301"/>
      <c r="D777" s="301"/>
      <c r="E777" s="301"/>
      <c r="F777" s="301"/>
      <c r="G777" s="301"/>
      <c r="H777" s="301"/>
      <c r="I777" s="301"/>
      <c r="J777" s="301"/>
      <c r="K777" s="301"/>
      <c r="L777" s="301"/>
      <c r="M777" s="301"/>
      <c r="N777" s="301"/>
      <c r="O777" s="301"/>
      <c r="P777" s="301"/>
      <c r="Q777" s="301"/>
      <c r="R777" s="301"/>
      <c r="S777" s="301"/>
      <c r="T777" s="301"/>
      <c r="U777" s="301"/>
      <c r="V777" s="301"/>
      <c r="W777" s="301"/>
      <c r="X777" s="301"/>
      <c r="Y777" s="301"/>
      <c r="Z777" s="301"/>
      <c r="AA777" s="301"/>
      <c r="AB777" s="301"/>
      <c r="AC777" s="301"/>
    </row>
    <row r="778" spans="1:44">
      <c r="A778" s="15" t="s">
        <v>574</v>
      </c>
    </row>
    <row r="779" spans="1:44">
      <c r="C779" s="478" t="s">
        <v>575</v>
      </c>
      <c r="I779" s="484">
        <f t="shared" ref="I779:AD779" ca="1" si="378">I304+I374+I447+I517+I587-I20</f>
        <v>-478.40582972216868</v>
      </c>
      <c r="J779" s="484">
        <f t="shared" ca="1" si="378"/>
        <v>6122.2028984646922</v>
      </c>
      <c r="K779" s="484">
        <f t="shared" ca="1" si="378"/>
        <v>4875.5759276883218</v>
      </c>
      <c r="L779" s="484">
        <f t="shared" ca="1" si="378"/>
        <v>4482.4191769391355</v>
      </c>
      <c r="M779" s="484">
        <f t="shared" ca="1" si="378"/>
        <v>4159.3653845045455</v>
      </c>
      <c r="N779" s="484">
        <f t="shared" ca="1" si="378"/>
        <v>3750.0394139646587</v>
      </c>
      <c r="O779" s="484">
        <f t="shared" ca="1" si="378"/>
        <v>3235.1467212852153</v>
      </c>
      <c r="P779" s="484">
        <f t="shared" ca="1" si="378"/>
        <v>2786.5276363084304</v>
      </c>
      <c r="Q779" s="484">
        <f t="shared" ca="1" si="378"/>
        <v>2408.9178658911951</v>
      </c>
      <c r="R779" s="484">
        <f t="shared" ca="1" si="378"/>
        <v>2097.4717813830266</v>
      </c>
      <c r="S779" s="484">
        <f t="shared" ca="1" si="378"/>
        <v>1839.2162204235947</v>
      </c>
      <c r="T779" s="484">
        <f t="shared" ca="1" si="378"/>
        <v>1599.7325291408929</v>
      </c>
      <c r="U779" s="484">
        <f t="shared" ca="1" si="378"/>
        <v>1399.3835955209038</v>
      </c>
      <c r="V779" s="484">
        <f t="shared" ca="1" si="378"/>
        <v>1203.9693003716675</v>
      </c>
      <c r="W779" s="484">
        <f t="shared" ca="1" si="378"/>
        <v>1056.147119240974</v>
      </c>
      <c r="X779" s="484">
        <f t="shared" ca="1" si="378"/>
        <v>903.48544682056115</v>
      </c>
      <c r="Y779" s="484">
        <f t="shared" ca="1" si="378"/>
        <v>765.574100242388</v>
      </c>
      <c r="Z779" s="484">
        <f t="shared" ca="1" si="378"/>
        <v>599.00459377980383</v>
      </c>
      <c r="AA779" s="484">
        <f t="shared" ca="1" si="378"/>
        <v>485.1510977091616</v>
      </c>
      <c r="AB779" s="484">
        <f t="shared" ca="1" si="378"/>
        <v>395.20420398288564</v>
      </c>
      <c r="AC779" s="484">
        <f t="shared" ca="1" si="378"/>
        <v>345.59526324319319</v>
      </c>
      <c r="AD779" s="484">
        <f t="shared" si="378"/>
        <v>0</v>
      </c>
      <c r="AE779" s="484">
        <v>0</v>
      </c>
      <c r="AF779" s="484">
        <f t="shared" ref="AF779:AQ779" si="379">AF304+AF374+AF447+AF517+AF587-AF20</f>
        <v>0</v>
      </c>
      <c r="AG779" s="484">
        <f t="shared" si="379"/>
        <v>0</v>
      </c>
      <c r="AH779" s="484">
        <f t="shared" si="379"/>
        <v>0</v>
      </c>
      <c r="AI779" s="484">
        <f t="shared" si="379"/>
        <v>0</v>
      </c>
      <c r="AJ779" s="484">
        <f t="shared" si="379"/>
        <v>0</v>
      </c>
      <c r="AK779" s="484">
        <f t="shared" si="379"/>
        <v>0</v>
      </c>
      <c r="AL779" s="484">
        <f t="shared" si="379"/>
        <v>0</v>
      </c>
      <c r="AM779" s="484">
        <f t="shared" si="379"/>
        <v>0</v>
      </c>
      <c r="AN779" s="484">
        <f t="shared" si="379"/>
        <v>0</v>
      </c>
      <c r="AO779" s="484">
        <f t="shared" si="379"/>
        <v>0</v>
      </c>
      <c r="AP779" s="484">
        <f t="shared" si="379"/>
        <v>0</v>
      </c>
      <c r="AQ779" s="484">
        <f t="shared" si="379"/>
        <v>0</v>
      </c>
      <c r="AR779" s="484">
        <v>0</v>
      </c>
    </row>
    <row r="780" spans="1:44">
      <c r="C780" t="s">
        <v>576</v>
      </c>
      <c r="G780" s="344">
        <v>0.1</v>
      </c>
    </row>
    <row r="781" spans="1:44">
      <c r="F781" t="s">
        <v>577</v>
      </c>
      <c r="I781" s="479">
        <f ca="1">+stub*0.5</f>
        <v>0.25</v>
      </c>
      <c r="J781" s="479">
        <f ca="1">+stub+0.5</f>
        <v>1</v>
      </c>
      <c r="K781" s="479">
        <f t="shared" ref="K781:S781" ca="1" si="380">+J781+1</f>
        <v>2</v>
      </c>
      <c r="L781" s="479">
        <f t="shared" ca="1" si="380"/>
        <v>3</v>
      </c>
      <c r="M781" s="479">
        <f t="shared" ca="1" si="380"/>
        <v>4</v>
      </c>
      <c r="N781" s="479">
        <f t="shared" ca="1" si="380"/>
        <v>5</v>
      </c>
      <c r="O781" s="479">
        <f t="shared" ca="1" si="380"/>
        <v>6</v>
      </c>
      <c r="P781" s="479">
        <f t="shared" ca="1" si="380"/>
        <v>7</v>
      </c>
      <c r="Q781" s="479">
        <f t="shared" ca="1" si="380"/>
        <v>8</v>
      </c>
      <c r="R781" s="479">
        <f t="shared" ca="1" si="380"/>
        <v>9</v>
      </c>
      <c r="S781" s="479">
        <f t="shared" ca="1" si="380"/>
        <v>10</v>
      </c>
      <c r="T781" s="479">
        <f t="shared" ref="T781:AI781" ca="1" si="381">+S781+1</f>
        <v>11</v>
      </c>
      <c r="U781" s="479">
        <f t="shared" ca="1" si="381"/>
        <v>12</v>
      </c>
      <c r="V781" s="479">
        <f t="shared" ca="1" si="381"/>
        <v>13</v>
      </c>
      <c r="W781" s="479">
        <f t="shared" ca="1" si="381"/>
        <v>14</v>
      </c>
      <c r="X781" s="479">
        <f t="shared" ca="1" si="381"/>
        <v>15</v>
      </c>
      <c r="Y781" s="479">
        <f t="shared" ca="1" si="381"/>
        <v>16</v>
      </c>
      <c r="Z781" s="479">
        <f t="shared" ca="1" si="381"/>
        <v>17</v>
      </c>
      <c r="AA781" s="479">
        <f t="shared" ca="1" si="381"/>
        <v>18</v>
      </c>
      <c r="AB781" s="479">
        <f t="shared" ca="1" si="381"/>
        <v>19</v>
      </c>
      <c r="AC781" s="479">
        <f t="shared" ca="1" si="381"/>
        <v>20</v>
      </c>
      <c r="AD781" s="479">
        <f t="shared" ca="1" si="381"/>
        <v>21</v>
      </c>
      <c r="AE781" s="479">
        <f t="shared" ca="1" si="381"/>
        <v>22</v>
      </c>
      <c r="AF781" s="479">
        <f t="shared" ca="1" si="381"/>
        <v>23</v>
      </c>
      <c r="AG781" s="479">
        <f t="shared" ca="1" si="381"/>
        <v>24</v>
      </c>
      <c r="AH781" s="479">
        <f t="shared" ca="1" si="381"/>
        <v>25</v>
      </c>
      <c r="AI781" s="479">
        <f t="shared" ca="1" si="381"/>
        <v>26</v>
      </c>
      <c r="AJ781" s="479">
        <f t="shared" ref="AJ781:AQ781" ca="1" si="382">+AI781+1</f>
        <v>27</v>
      </c>
      <c r="AK781" s="479">
        <f t="shared" ca="1" si="382"/>
        <v>28</v>
      </c>
      <c r="AL781" s="479">
        <f t="shared" ca="1" si="382"/>
        <v>29</v>
      </c>
      <c r="AM781" s="479">
        <f t="shared" ca="1" si="382"/>
        <v>30</v>
      </c>
      <c r="AN781" s="479">
        <f t="shared" ca="1" si="382"/>
        <v>31</v>
      </c>
      <c r="AO781" s="479">
        <f t="shared" ca="1" si="382"/>
        <v>32</v>
      </c>
      <c r="AP781" s="479">
        <f t="shared" ca="1" si="382"/>
        <v>33</v>
      </c>
      <c r="AQ781" s="479">
        <f t="shared" ca="1" si="382"/>
        <v>34</v>
      </c>
    </row>
    <row r="783" spans="1:44">
      <c r="G783" s="480">
        <f>+J3-1</f>
        <v>1999</v>
      </c>
      <c r="H783">
        <f ca="1">MAX(SUM(I783:AQ783),0)</f>
        <v>25981.585970206961</v>
      </c>
      <c r="I783">
        <f ca="1">I779/(1+$G$780)^$I$781</f>
        <v>-467.14132895720024</v>
      </c>
      <c r="J783">
        <f ca="1">J$779/(1+$G$780)^$J$781</f>
        <v>5565.638998604265</v>
      </c>
      <c r="K783">
        <f t="shared" ref="K783:T783" ca="1" si="383">K$779/(1+$G$780)^K$781</f>
        <v>4029.401593130844</v>
      </c>
      <c r="L783">
        <f t="shared" ca="1" si="383"/>
        <v>3367.7078714794397</v>
      </c>
      <c r="M783">
        <f t="shared" ca="1" si="383"/>
        <v>2840.9025233963148</v>
      </c>
      <c r="N783">
        <f t="shared" ca="1" si="383"/>
        <v>2328.4794344429138</v>
      </c>
      <c r="O783">
        <f t="shared" ca="1" si="383"/>
        <v>1826.1559840644572</v>
      </c>
      <c r="P783">
        <f t="shared" ca="1" si="383"/>
        <v>1429.9292782458924</v>
      </c>
      <c r="Q783">
        <f t="shared" ca="1" si="383"/>
        <v>1123.7779627573227</v>
      </c>
      <c r="R783">
        <f t="shared" ca="1" si="383"/>
        <v>889.53278708803441</v>
      </c>
      <c r="S783">
        <f t="shared" ca="1" si="383"/>
        <v>709.09747159426286</v>
      </c>
      <c r="T783">
        <f t="shared" ca="1" si="383"/>
        <v>560.69649226582146</v>
      </c>
      <c r="U783">
        <f t="shared" ref="U783:AB783" ca="1" si="384">U$779/(1+$G$780)^U$781</f>
        <v>445.88673933128439</v>
      </c>
      <c r="V783">
        <f t="shared" ca="1" si="384"/>
        <v>348.74702061417298</v>
      </c>
      <c r="W783">
        <f t="shared" ca="1" si="384"/>
        <v>278.11654564147847</v>
      </c>
      <c r="X783">
        <f t="shared" ca="1" si="384"/>
        <v>216.28723268958842</v>
      </c>
      <c r="Y783">
        <f t="shared" ca="1" si="384"/>
        <v>166.61122981907144</v>
      </c>
      <c r="Z783">
        <f t="shared" ca="1" si="384"/>
        <v>118.50986552602517</v>
      </c>
      <c r="AA783">
        <f t="shared" ca="1" si="384"/>
        <v>87.258689357096486</v>
      </c>
      <c r="AB783">
        <f t="shared" ca="1" si="384"/>
        <v>64.619045359450752</v>
      </c>
      <c r="AC783">
        <f ca="1">AC$779/(1+$G$780)^$AC$781</f>
        <v>51.370533756427157</v>
      </c>
      <c r="AD783">
        <f t="shared" ref="AD783:AQ783" ca="1" si="385">AD$779/(1+$G$780)^AD$781</f>
        <v>0</v>
      </c>
      <c r="AE783">
        <f t="shared" ca="1" si="385"/>
        <v>0</v>
      </c>
      <c r="AF783">
        <f t="shared" ca="1" si="385"/>
        <v>0</v>
      </c>
      <c r="AG783">
        <f t="shared" ca="1" si="385"/>
        <v>0</v>
      </c>
      <c r="AH783">
        <f t="shared" ca="1" si="385"/>
        <v>0</v>
      </c>
      <c r="AI783">
        <f t="shared" ca="1" si="385"/>
        <v>0</v>
      </c>
      <c r="AJ783">
        <f t="shared" ca="1" si="385"/>
        <v>0</v>
      </c>
      <c r="AK783">
        <f t="shared" ca="1" si="385"/>
        <v>0</v>
      </c>
      <c r="AL783">
        <f t="shared" ca="1" si="385"/>
        <v>0</v>
      </c>
      <c r="AM783">
        <f t="shared" ca="1" si="385"/>
        <v>0</v>
      </c>
      <c r="AN783">
        <f t="shared" ca="1" si="385"/>
        <v>0</v>
      </c>
      <c r="AO783">
        <f t="shared" ca="1" si="385"/>
        <v>0</v>
      </c>
      <c r="AP783">
        <f t="shared" ca="1" si="385"/>
        <v>0</v>
      </c>
      <c r="AQ783">
        <f t="shared" ca="1" si="385"/>
        <v>0</v>
      </c>
    </row>
    <row r="784" spans="1:44">
      <c r="G784" s="480">
        <f ca="1">+G783+1</f>
        <v>2000</v>
      </c>
      <c r="H784">
        <f t="shared" ref="H784:H817" ca="1" si="386">MAX(SUM(I784:AQ784),0)</f>
        <v>28949.447188649909</v>
      </c>
      <c r="J784">
        <f t="shared" ref="J784:S784" ca="1" si="387">J$779/(1+$G$780)^I$781</f>
        <v>5978.0500580340113</v>
      </c>
      <c r="K784">
        <f t="shared" ca="1" si="387"/>
        <v>4432.3417524439283</v>
      </c>
      <c r="L784">
        <f t="shared" ca="1" si="387"/>
        <v>3704.478658627384</v>
      </c>
      <c r="M784">
        <f t="shared" ca="1" si="387"/>
        <v>3124.992775735946</v>
      </c>
      <c r="N784">
        <f t="shared" ca="1" si="387"/>
        <v>2561.3273778872058</v>
      </c>
      <c r="O784">
        <f t="shared" ca="1" si="387"/>
        <v>2008.7715824709032</v>
      </c>
      <c r="P784">
        <f t="shared" ca="1" si="387"/>
        <v>1572.9222060704819</v>
      </c>
      <c r="Q784">
        <f t="shared" ca="1" si="387"/>
        <v>1236.1557590330549</v>
      </c>
      <c r="R784">
        <f t="shared" ca="1" si="387"/>
        <v>978.48606579683792</v>
      </c>
      <c r="S784">
        <f t="shared" ca="1" si="387"/>
        <v>780.00721875368924</v>
      </c>
      <c r="T784">
        <f t="shared" ref="T784:AB784" ca="1" si="388">T$779/(1+$G$780)^S$781</f>
        <v>616.76614149240368</v>
      </c>
      <c r="U784">
        <f t="shared" ca="1" si="388"/>
        <v>490.47541326441285</v>
      </c>
      <c r="V784">
        <f t="shared" ca="1" si="388"/>
        <v>383.62172267559032</v>
      </c>
      <c r="W784">
        <f t="shared" ca="1" si="388"/>
        <v>305.92820020562635</v>
      </c>
      <c r="X784">
        <f t="shared" ca="1" si="388"/>
        <v>237.91595595854727</v>
      </c>
      <c r="Y784">
        <f t="shared" ca="1" si="388"/>
        <v>183.27235280097861</v>
      </c>
      <c r="Z784">
        <f t="shared" ca="1" si="388"/>
        <v>130.36085207862769</v>
      </c>
      <c r="AA784">
        <f t="shared" ca="1" si="388"/>
        <v>95.984558292806142</v>
      </c>
      <c r="AB784">
        <f t="shared" ca="1" si="388"/>
        <v>71.080949895395847</v>
      </c>
      <c r="AC784">
        <f ca="1">AC$779/(1+$G$780)^$AB$781</f>
        <v>56.507587132069865</v>
      </c>
      <c r="AD784">
        <f ca="1">AD$779/(1+$G$780)^$AC$781</f>
        <v>0</v>
      </c>
      <c r="AE784">
        <f ca="1">AE$779/(1+$G$780)^$AD$781</f>
        <v>0</v>
      </c>
      <c r="AF784">
        <f ca="1">AF$779/(1+$G$780)^$AE$781</f>
        <v>0</v>
      </c>
      <c r="AG784">
        <f ca="1">AG$779/(1+$G$780)^$AF$781</f>
        <v>0</v>
      </c>
      <c r="AH784">
        <f ca="1">AH$779/(1+$G$780)^$AG$781</f>
        <v>0</v>
      </c>
      <c r="AI784">
        <f ca="1">AI$779/(1+$G$780)^$AH$781</f>
        <v>0</v>
      </c>
      <c r="AJ784">
        <f ca="1">AJ$779/(1+$G$780)^$AI$781</f>
        <v>0</v>
      </c>
      <c r="AK784">
        <f ca="1">AK$779/(1+$G$780)^$AJ$781</f>
        <v>0</v>
      </c>
      <c r="AL784">
        <f ca="1">AL$779/(1+$G$780)^$AK$781</f>
        <v>0</v>
      </c>
      <c r="AM784">
        <f ca="1">AM$779/(1+$G$780)^$AL$781</f>
        <v>0</v>
      </c>
      <c r="AN784">
        <f ca="1">AN$779/(1+$G$780)^$AM$781</f>
        <v>0</v>
      </c>
      <c r="AO784">
        <f ca="1">AO$779/(1+$G$780)^$AN$781</f>
        <v>0</v>
      </c>
      <c r="AP784">
        <f ca="1">AP$779/(1+$G$780)^$AO$781</f>
        <v>0</v>
      </c>
      <c r="AQ784">
        <f ca="1">AQ$779/(1+$G$780)^$AP$781</f>
        <v>0</v>
      </c>
    </row>
    <row r="785" spans="7:43">
      <c r="G785" s="480">
        <f t="shared" ref="G785:G800" ca="1" si="389">+G784+1</f>
        <v>2001</v>
      </c>
      <c r="H785">
        <f t="shared" ca="1" si="386"/>
        <v>25153.736970107795</v>
      </c>
      <c r="K785">
        <f t="shared" ref="K785:T785" ca="1" si="390">K$779/(1+$G$780)^I$781</f>
        <v>4760.7760541186335</v>
      </c>
      <c r="L785">
        <f t="shared" ca="1" si="390"/>
        <v>4074.926524490123</v>
      </c>
      <c r="M785">
        <f t="shared" ca="1" si="390"/>
        <v>3437.4920533095415</v>
      </c>
      <c r="N785">
        <f t="shared" ca="1" si="390"/>
        <v>2817.4601156759259</v>
      </c>
      <c r="O785">
        <f t="shared" ca="1" si="390"/>
        <v>2209.6487407179934</v>
      </c>
      <c r="P785">
        <f t="shared" ca="1" si="390"/>
        <v>1730.2144266775304</v>
      </c>
      <c r="Q785">
        <f t="shared" ca="1" si="390"/>
        <v>1359.7713349363607</v>
      </c>
      <c r="R785">
        <f t="shared" ca="1" si="390"/>
        <v>1076.3346723765217</v>
      </c>
      <c r="S785">
        <f t="shared" ca="1" si="390"/>
        <v>858.00794062905834</v>
      </c>
      <c r="T785">
        <f t="shared" ca="1" si="390"/>
        <v>678.44275564164411</v>
      </c>
      <c r="U785">
        <f t="shared" ref="U785:AB785" ca="1" si="391">U$779/(1+$G$780)^S$781</f>
        <v>539.52295459085417</v>
      </c>
      <c r="V785">
        <f t="shared" ca="1" si="391"/>
        <v>421.98389494314932</v>
      </c>
      <c r="W785">
        <f t="shared" ca="1" si="391"/>
        <v>336.52102022618897</v>
      </c>
      <c r="X785">
        <f t="shared" ca="1" si="391"/>
        <v>261.70755155440207</v>
      </c>
      <c r="Y785">
        <f t="shared" ca="1" si="391"/>
        <v>201.59958808107646</v>
      </c>
      <c r="Z785">
        <f t="shared" ca="1" si="391"/>
        <v>143.39693728649047</v>
      </c>
      <c r="AA785">
        <f t="shared" ca="1" si="391"/>
        <v>105.58301412208675</v>
      </c>
      <c r="AB785">
        <f t="shared" ca="1" si="391"/>
        <v>78.189044884935441</v>
      </c>
      <c r="AC785">
        <f ca="1">AC$779/(1+$G$780)^$AA$781</f>
        <v>62.15834584527687</v>
      </c>
      <c r="AD785">
        <f ca="1">AD$779/(1+$G$780)^$AB$781</f>
        <v>0</v>
      </c>
      <c r="AE785">
        <f ca="1">AE$779/(1+$G$780)^$AC$781</f>
        <v>0</v>
      </c>
      <c r="AF785">
        <f ca="1">AF$779/(1+$G$780)^$AD$781</f>
        <v>0</v>
      </c>
      <c r="AG785">
        <f ca="1">AG$779/(1+$G$780)^$AE$781</f>
        <v>0</v>
      </c>
      <c r="AH785">
        <f ca="1">AH$779/(1+$G$780)^$AF$781</f>
        <v>0</v>
      </c>
      <c r="AI785">
        <f ca="1">AI$779/(1+$G$780)^$AG$781</f>
        <v>0</v>
      </c>
      <c r="AJ785">
        <f ca="1">AJ$779/(1+$G$780)^$AH$781</f>
        <v>0</v>
      </c>
      <c r="AK785">
        <f ca="1">AK$779/(1+$G$780)^$AI$781</f>
        <v>0</v>
      </c>
      <c r="AL785">
        <f ca="1">AL$779/(1+$G$780)^$AJ$781</f>
        <v>0</v>
      </c>
      <c r="AM785">
        <f ca="1">AM$779/(1+$G$780)^$AK$781</f>
        <v>0</v>
      </c>
      <c r="AN785">
        <f ca="1">AN$779/(1+$G$780)^$AL$781</f>
        <v>0</v>
      </c>
      <c r="AO785">
        <f ca="1">AO$779/(1+$G$780)^$AM$781</f>
        <v>0</v>
      </c>
      <c r="AP785">
        <f ca="1">AP$779/(1+$G$780)^$AN$781</f>
        <v>0</v>
      </c>
      <c r="AQ785">
        <f ca="1">AQ$779/(1+$G$780)^$AO$781</f>
        <v>0</v>
      </c>
    </row>
    <row r="786" spans="7:43">
      <c r="G786" s="480">
        <f t="shared" ca="1" si="389"/>
        <v>2002</v>
      </c>
      <c r="H786">
        <f t="shared" ca="1" si="386"/>
        <v>22326.714367614684</v>
      </c>
      <c r="L786">
        <f t="shared" ref="L786:U786" ca="1" si="392">L$779/(1+$G$780)^I$781</f>
        <v>4376.8765369657403</v>
      </c>
      <c r="M786">
        <f t="shared" ca="1" si="392"/>
        <v>3781.2412586404957</v>
      </c>
      <c r="N786">
        <f t="shared" ca="1" si="392"/>
        <v>3099.2061272435189</v>
      </c>
      <c r="O786">
        <f t="shared" ca="1" si="392"/>
        <v>2430.6136147897928</v>
      </c>
      <c r="P786">
        <f t="shared" ca="1" si="392"/>
        <v>1903.2358693452836</v>
      </c>
      <c r="Q786">
        <f t="shared" ca="1" si="392"/>
        <v>1495.7484684299968</v>
      </c>
      <c r="R786">
        <f t="shared" ca="1" si="392"/>
        <v>1183.9681396141739</v>
      </c>
      <c r="S786">
        <f t="shared" ca="1" si="392"/>
        <v>943.80873469196399</v>
      </c>
      <c r="T786">
        <f t="shared" ca="1" si="392"/>
        <v>746.2870312058086</v>
      </c>
      <c r="U786">
        <f t="shared" ca="1" si="392"/>
        <v>593.47525004993963</v>
      </c>
      <c r="V786">
        <f t="shared" ref="V786:AB786" ca="1" si="393">V$779/(1+$G$780)^S$781</f>
        <v>464.18228443746432</v>
      </c>
      <c r="W786">
        <f t="shared" ca="1" si="393"/>
        <v>370.17312224880789</v>
      </c>
      <c r="X786">
        <f t="shared" ca="1" si="393"/>
        <v>287.87830670984226</v>
      </c>
      <c r="Y786">
        <f t="shared" ca="1" si="393"/>
        <v>221.75954688918415</v>
      </c>
      <c r="Z786">
        <f t="shared" ca="1" si="393"/>
        <v>157.73663101513952</v>
      </c>
      <c r="AA786">
        <f t="shared" ca="1" si="393"/>
        <v>116.14131553429543</v>
      </c>
      <c r="AB786">
        <f t="shared" ca="1" si="393"/>
        <v>86.007949373428985</v>
      </c>
      <c r="AC786">
        <f ca="1">AC$779/(1+$G$780)^$Z$781</f>
        <v>68.374180429804568</v>
      </c>
      <c r="AD786">
        <f ca="1">AD$779/(1+$G$780)^$AA$781</f>
        <v>0</v>
      </c>
      <c r="AE786">
        <f ca="1">AE$779/(1+$G$780)^$AB$781</f>
        <v>0</v>
      </c>
      <c r="AF786">
        <f ca="1">AF$779/(1+$G$780)^$AC$781</f>
        <v>0</v>
      </c>
      <c r="AG786">
        <f ca="1">AG$779/(1+$G$780)^$AD$781</f>
        <v>0</v>
      </c>
      <c r="AH786">
        <f ca="1">AH$779/(1+$G$780)^$AE$781</f>
        <v>0</v>
      </c>
      <c r="AI786">
        <f ca="1">AI$779/(1+$G$780)^$AF$781</f>
        <v>0</v>
      </c>
      <c r="AJ786">
        <f ca="1">AJ$779/(1+$G$780)^$AG$781</f>
        <v>0</v>
      </c>
      <c r="AK786">
        <f ca="1">AK$779/(1+$G$780)^$AH$781</f>
        <v>0</v>
      </c>
      <c r="AL786">
        <f ca="1">AL$779/(1+$G$780)^$AI$781</f>
        <v>0</v>
      </c>
      <c r="AM786">
        <f ca="1">AM$779/(1+$G$780)^$AJ$781</f>
        <v>0</v>
      </c>
      <c r="AN786">
        <f ca="1">AN$779/(1+$G$780)^$AK$781</f>
        <v>0</v>
      </c>
      <c r="AO786">
        <f ca="1">AO$779/(1+$G$780)^$AL$781</f>
        <v>0</v>
      </c>
      <c r="AP786">
        <f ca="1">AP$779/(1+$G$780)^$AM$781</f>
        <v>0</v>
      </c>
      <c r="AQ786">
        <f ca="1">AQ$779/(1+$G$780)^$AN$781</f>
        <v>0</v>
      </c>
    </row>
    <row r="787" spans="7:43">
      <c r="G787" s="480">
        <f t="shared" ca="1" si="389"/>
        <v>2003</v>
      </c>
      <c r="H787">
        <f t="shared" ca="1" si="386"/>
        <v>19646.885569366845</v>
      </c>
      <c r="M787">
        <f t="shared" ref="M787:AB787" ca="1" si="394">M$779/(1+$G$780)^I$781</f>
        <v>4061.4293401575433</v>
      </c>
      <c r="N787">
        <f t="shared" ca="1" si="394"/>
        <v>3409.1267399678713</v>
      </c>
      <c r="O787">
        <f t="shared" ca="1" si="394"/>
        <v>2673.6749762687728</v>
      </c>
      <c r="P787">
        <f t="shared" ca="1" si="394"/>
        <v>2093.5594562798119</v>
      </c>
      <c r="Q787">
        <f t="shared" ca="1" si="394"/>
        <v>1645.3233152729968</v>
      </c>
      <c r="R787">
        <f t="shared" ca="1" si="394"/>
        <v>1302.3649535755915</v>
      </c>
      <c r="S787">
        <f t="shared" ca="1" si="394"/>
        <v>1038.1896081611605</v>
      </c>
      <c r="T787">
        <f t="shared" ca="1" si="394"/>
        <v>820.91573432638938</v>
      </c>
      <c r="U787">
        <f t="shared" ca="1" si="394"/>
        <v>652.82277505493369</v>
      </c>
      <c r="V787">
        <f t="shared" ca="1" si="394"/>
        <v>510.60051288121082</v>
      </c>
      <c r="W787">
        <f t="shared" ca="1" si="394"/>
        <v>407.19043447368875</v>
      </c>
      <c r="X787">
        <f t="shared" ca="1" si="394"/>
        <v>316.66613738082646</v>
      </c>
      <c r="Y787">
        <f t="shared" ca="1" si="394"/>
        <v>243.93550157810256</v>
      </c>
      <c r="Z787">
        <f t="shared" ca="1" si="394"/>
        <v>173.51029411665348</v>
      </c>
      <c r="AA787">
        <f t="shared" ca="1" si="394"/>
        <v>127.75544708772497</v>
      </c>
      <c r="AB787">
        <f t="shared" ca="1" si="394"/>
        <v>94.608744310771883</v>
      </c>
      <c r="AC787">
        <f ca="1">AC$779/(1+$G$780)^$Y$781</f>
        <v>75.211598472785013</v>
      </c>
      <c r="AD787">
        <f ca="1">AD$779/(1+$G$780)^$Z$781</f>
        <v>0</v>
      </c>
      <c r="AE787">
        <f ca="1">AE$779/(1+$G$780)^$AA$781</f>
        <v>0</v>
      </c>
      <c r="AF787">
        <f ca="1">AF$779/(1+$G$780)^$AB$781</f>
        <v>0</v>
      </c>
      <c r="AG787">
        <f ca="1">AG$779/(1+$G$780)^$AC$781</f>
        <v>0</v>
      </c>
      <c r="AH787">
        <f ca="1">AH$779/(1+$G$780)^$AD$781</f>
        <v>0</v>
      </c>
      <c r="AI787">
        <f ca="1">AI$779/(1+$G$780)^$AE$781</f>
        <v>0</v>
      </c>
      <c r="AJ787">
        <f ca="1">AJ$779/(1+$G$780)^$AF$781</f>
        <v>0</v>
      </c>
      <c r="AK787">
        <f ca="1">AK$779/(1+$G$780)^$AG$781</f>
        <v>0</v>
      </c>
      <c r="AL787">
        <f ca="1">AL$779/(1+$G$780)^$AH$781</f>
        <v>0</v>
      </c>
      <c r="AM787">
        <f ca="1">AM$779/(1+$G$780)^$AI$781</f>
        <v>0</v>
      </c>
      <c r="AN787">
        <f ca="1">AN$779/(1+$G$780)^$AJ$781</f>
        <v>0</v>
      </c>
      <c r="AO787">
        <f ca="1">AO$779/(1+$G$780)^$AK$781</f>
        <v>0</v>
      </c>
      <c r="AP787">
        <f ca="1">AP$779/(1+$G$780)^$AL$781</f>
        <v>0</v>
      </c>
      <c r="AQ787">
        <f ca="1">AQ$779/(1+$G$780)^$AM$781</f>
        <v>0</v>
      </c>
    </row>
    <row r="788" spans="7:43">
      <c r="G788" s="480">
        <f t="shared" ca="1" si="389"/>
        <v>2004</v>
      </c>
      <c r="H788">
        <f t="shared" ca="1" si="386"/>
        <v>16945.286965218347</v>
      </c>
      <c r="N788">
        <f t="shared" ref="N788:W788" ca="1" si="395">N$779/(1+$G$780)^I$781</f>
        <v>3661.7413222131458</v>
      </c>
      <c r="O788">
        <f t="shared" ca="1" si="395"/>
        <v>2941.0424738956499</v>
      </c>
      <c r="P788">
        <f t="shared" ca="1" si="395"/>
        <v>2302.9154019077932</v>
      </c>
      <c r="Q788">
        <f t="shared" ca="1" si="395"/>
        <v>1809.8556468002962</v>
      </c>
      <c r="R788">
        <f t="shared" ca="1" si="395"/>
        <v>1432.6014489331508</v>
      </c>
      <c r="S788">
        <f t="shared" ca="1" si="395"/>
        <v>1142.0085689772768</v>
      </c>
      <c r="T788">
        <f t="shared" ca="1" si="395"/>
        <v>903.00730775902844</v>
      </c>
      <c r="U788">
        <f t="shared" ca="1" si="395"/>
        <v>718.105052560427</v>
      </c>
      <c r="V788">
        <f t="shared" ca="1" si="395"/>
        <v>561.66056416933191</v>
      </c>
      <c r="W788">
        <f t="shared" ca="1" si="395"/>
        <v>447.90947792105766</v>
      </c>
      <c r="X788">
        <f ca="1">X$779/(1+$G$780)^W$781</f>
        <v>237.91595595854727</v>
      </c>
      <c r="Y788">
        <f ca="1">Y$779/(1+$G$780)^T$781</f>
        <v>268.3290517359128</v>
      </c>
      <c r="Z788">
        <f ca="1">Z$779/(1+$G$780)^U$781</f>
        <v>190.86132352831885</v>
      </c>
      <c r="AA788">
        <f ca="1">AA$779/(1+$G$780)^V$781</f>
        <v>140.53099179649749</v>
      </c>
      <c r="AB788">
        <f ca="1">AB$779/(1+$G$780)^W$781</f>
        <v>104.06961874184907</v>
      </c>
      <c r="AC788">
        <f ca="1">AC$779/(1+$G$780)^$X$781</f>
        <v>82.732758320063525</v>
      </c>
      <c r="AD788">
        <f ca="1">AD$779/(1+$G$780)^$Y$781</f>
        <v>0</v>
      </c>
      <c r="AE788">
        <f ca="1">AE$779/(1+$G$780)^$Z$781</f>
        <v>0</v>
      </c>
      <c r="AF788">
        <f ca="1">AF$779/(1+$G$780)^$AA$781</f>
        <v>0</v>
      </c>
      <c r="AG788">
        <f ca="1">AG$779/(1+$G$780)^$AB$781</f>
        <v>0</v>
      </c>
      <c r="AH788">
        <f ca="1">AH$779/(1+$G$780)^$AC$781</f>
        <v>0</v>
      </c>
      <c r="AI788">
        <f ca="1">AI$779/(1+$G$780)^$AD$781</f>
        <v>0</v>
      </c>
      <c r="AJ788">
        <f ca="1">AJ$779/(1+$G$780)^$AE$781</f>
        <v>0</v>
      </c>
      <c r="AK788">
        <f ca="1">AK$779/(1+$G$780)^$AF$781</f>
        <v>0</v>
      </c>
      <c r="AL788">
        <f ca="1">AL$779/(1+$G$780)^$AG$781</f>
        <v>0</v>
      </c>
      <c r="AM788">
        <f ca="1">AM$779/(1+$G$780)^$AH$781</f>
        <v>0</v>
      </c>
      <c r="AN788">
        <f ca="1">AN$779/(1+$G$780)^$AI$781</f>
        <v>0</v>
      </c>
      <c r="AO788">
        <f ca="1">AO$779/(1+$G$780)^$AJ$781</f>
        <v>0</v>
      </c>
      <c r="AP788">
        <f ca="1">AP$779/(1+$G$780)^$AK$781</f>
        <v>0</v>
      </c>
      <c r="AQ788">
        <f ca="1">AQ$779/(1+$G$780)^$AL$781</f>
        <v>0</v>
      </c>
    </row>
    <row r="789" spans="7:43">
      <c r="G789" s="480">
        <f t="shared" ca="1" si="389"/>
        <v>2005</v>
      </c>
      <c r="H789">
        <f t="shared" ca="1" si="386"/>
        <v>14657.184207398757</v>
      </c>
      <c r="O789">
        <f t="shared" ref="O789:AB789" ca="1" si="396">O$779/(1+$G$780)^I$781</f>
        <v>3158.972246701856</v>
      </c>
      <c r="P789">
        <f t="shared" ca="1" si="396"/>
        <v>2533.2069420985727</v>
      </c>
      <c r="Q789">
        <f t="shared" ca="1" si="396"/>
        <v>1990.8412114803261</v>
      </c>
      <c r="R789">
        <f t="shared" ca="1" si="396"/>
        <v>1575.8615938264659</v>
      </c>
      <c r="S789">
        <f t="shared" ca="1" si="396"/>
        <v>1256.2094258750046</v>
      </c>
      <c r="T789">
        <f t="shared" ca="1" si="396"/>
        <v>993.30803853493137</v>
      </c>
      <c r="U789">
        <f t="shared" ca="1" si="396"/>
        <v>789.9155578164698</v>
      </c>
      <c r="V789">
        <f t="shared" ca="1" si="396"/>
        <v>617.82662058626511</v>
      </c>
      <c r="W789">
        <f t="shared" ca="1" si="396"/>
        <v>492.70042571316344</v>
      </c>
      <c r="X789">
        <f t="shared" ca="1" si="396"/>
        <v>383.16602623080013</v>
      </c>
      <c r="Y789">
        <f t="shared" ca="1" si="396"/>
        <v>295.16195690950411</v>
      </c>
      <c r="Z789">
        <f t="shared" ca="1" si="396"/>
        <v>209.94745588115072</v>
      </c>
      <c r="AA789">
        <f t="shared" ca="1" si="396"/>
        <v>154.58409097614725</v>
      </c>
      <c r="AB789">
        <f t="shared" ca="1" si="396"/>
        <v>114.476580616034</v>
      </c>
      <c r="AC789">
        <f ca="1">AC$779/(1+$G$780)^$W$781</f>
        <v>91.006034152069873</v>
      </c>
      <c r="AD789">
        <f ca="1">AD$779/(1+$G$780)^$X$781</f>
        <v>0</v>
      </c>
      <c r="AE789">
        <f ca="1">AE$779/(1+$G$780)^$Y$781</f>
        <v>0</v>
      </c>
      <c r="AF789">
        <f ca="1">AF$779/(1+$G$780)^$Z$781</f>
        <v>0</v>
      </c>
      <c r="AG789">
        <f ca="1">AG$779/(1+$G$780)^$AA$781</f>
        <v>0</v>
      </c>
      <c r="AH789">
        <f ca="1">AH$779/(1+$G$780)^$AB$781</f>
        <v>0</v>
      </c>
      <c r="AI789">
        <f ca="1">AI$779/(1+$G$780)^$AC$781</f>
        <v>0</v>
      </c>
      <c r="AJ789">
        <f ca="1">AJ$779/(1+$G$780)^$AD$781</f>
        <v>0</v>
      </c>
      <c r="AK789">
        <f ca="1">AK$779/(1+$G$780)^$AE$781</f>
        <v>0</v>
      </c>
      <c r="AL789">
        <f ca="1">AL$779/(1+$G$780)^$AF$781</f>
        <v>0</v>
      </c>
      <c r="AM789">
        <f ca="1">AM$779/(1+$G$780)^$AG$781</f>
        <v>0</v>
      </c>
      <c r="AN789">
        <f ca="1">AN$779/(1+$G$780)^$AH$781</f>
        <v>0</v>
      </c>
      <c r="AO789">
        <f ca="1">AO$779/(1+$G$780)^$AI$781</f>
        <v>0</v>
      </c>
      <c r="AP789">
        <f ca="1">AP$779/(1+$G$780)^$AJ$781</f>
        <v>0</v>
      </c>
      <c r="AQ789">
        <f ca="1">AQ$779/(1+$G$780)^$AK$781</f>
        <v>0</v>
      </c>
    </row>
    <row r="790" spans="7:43">
      <c r="G790" s="480">
        <f t="shared" ca="1" si="389"/>
        <v>2006</v>
      </c>
      <c r="H790">
        <f t="shared" ca="1" si="386"/>
        <v>12582.421826927597</v>
      </c>
      <c r="P790">
        <f t="shared" ref="P790:AB790" ca="1" si="397">P$779/(1+$G$780)^I$781</f>
        <v>2720.9163064694299</v>
      </c>
      <c r="Q790">
        <f t="shared" ca="1" si="397"/>
        <v>2189.9253326283592</v>
      </c>
      <c r="R790">
        <f t="shared" ca="1" si="397"/>
        <v>1733.4477532091125</v>
      </c>
      <c r="S790">
        <f t="shared" ca="1" si="397"/>
        <v>1381.830368462505</v>
      </c>
      <c r="T790">
        <f t="shared" ca="1" si="397"/>
        <v>1092.6388423884246</v>
      </c>
      <c r="U790">
        <f t="shared" ca="1" si="397"/>
        <v>868.90711359811689</v>
      </c>
      <c r="V790">
        <f t="shared" ca="1" si="397"/>
        <v>679.60928264489166</v>
      </c>
      <c r="W790">
        <f t="shared" ca="1" si="397"/>
        <v>541.97046828447981</v>
      </c>
      <c r="X790">
        <f t="shared" ca="1" si="397"/>
        <v>421.48262885388016</v>
      </c>
      <c r="Y790">
        <f t="shared" ca="1" si="397"/>
        <v>324.67815260045461</v>
      </c>
      <c r="Z790">
        <f t="shared" ca="1" si="397"/>
        <v>230.94220146926583</v>
      </c>
      <c r="AA790">
        <f t="shared" ca="1" si="397"/>
        <v>170.04250007376197</v>
      </c>
      <c r="AB790">
        <f t="shared" ca="1" si="397"/>
        <v>125.9242386776374</v>
      </c>
      <c r="AC790">
        <f ca="1">AC$779/(1+$G$780)^$V$781</f>
        <v>100.10663756727689</v>
      </c>
      <c r="AD790">
        <f ca="1">AD$779/(1+$G$780)^$W$781</f>
        <v>0</v>
      </c>
      <c r="AE790">
        <f ca="1">AE$779/(1+$G$780)^$X$781</f>
        <v>0</v>
      </c>
      <c r="AF790">
        <f ca="1">AF$779/(1+$G$780)^$Y$781</f>
        <v>0</v>
      </c>
      <c r="AG790">
        <f ca="1">AG$779/(1+$G$780)^$Z$781</f>
        <v>0</v>
      </c>
      <c r="AH790">
        <f ca="1">AH$779/(1+$G$780)^$AA$781</f>
        <v>0</v>
      </c>
      <c r="AI790">
        <f ca="1">AI$779/(1+$G$780)^$AB$781</f>
        <v>0</v>
      </c>
      <c r="AJ790">
        <f ca="1">AJ$779/(1+$G$780)^$AC$781</f>
        <v>0</v>
      </c>
      <c r="AK790">
        <f ca="1">AK$779/(1+$G$780)^$AD$781</f>
        <v>0</v>
      </c>
      <c r="AL790">
        <f ca="1">AL$779/(1+$G$780)^$AE$781</f>
        <v>0</v>
      </c>
      <c r="AM790">
        <f ca="1">AM$779/(1+$G$780)^$AF$781</f>
        <v>0</v>
      </c>
      <c r="AN790">
        <f ca="1">AN$779/(1+$G$780)^$AG$781</f>
        <v>0</v>
      </c>
      <c r="AO790">
        <f ca="1">AO$779/(1+$G$780)^$AH$781</f>
        <v>0</v>
      </c>
      <c r="AP790">
        <f ca="1">AP$779/(1+$G$780)^$AI$781</f>
        <v>0</v>
      </c>
      <c r="AQ790">
        <f ca="1">AQ$779/(1+$G$780)^$AJ$781</f>
        <v>0</v>
      </c>
    </row>
    <row r="791" spans="7:43">
      <c r="G791" s="480">
        <f t="shared" ca="1" si="389"/>
        <v>2007</v>
      </c>
      <c r="H791">
        <f t="shared" ca="1" si="386"/>
        <v>10790.935908456577</v>
      </c>
      <c r="Q791">
        <f t="shared" ref="Q791:AB791" ca="1" si="398">Q$779/(1+$G$780)^I$781</f>
        <v>2352.1977018437879</v>
      </c>
      <c r="R791">
        <f t="shared" ca="1" si="398"/>
        <v>1906.7925285300241</v>
      </c>
      <c r="S791">
        <f t="shared" ca="1" si="398"/>
        <v>1520.0134053087556</v>
      </c>
      <c r="T791">
        <f t="shared" ca="1" si="398"/>
        <v>1201.9027266272669</v>
      </c>
      <c r="U791">
        <f t="shared" ca="1" si="398"/>
        <v>955.7978249579287</v>
      </c>
      <c r="V791">
        <f t="shared" ca="1" si="398"/>
        <v>747.57021090938088</v>
      </c>
      <c r="W791">
        <f t="shared" ca="1" si="398"/>
        <v>596.16751511292784</v>
      </c>
      <c r="X791">
        <f t="shared" ca="1" si="398"/>
        <v>463.63089173926818</v>
      </c>
      <c r="Y791">
        <f t="shared" ca="1" si="398"/>
        <v>357.14596786050009</v>
      </c>
      <c r="Z791">
        <f t="shared" ca="1" si="398"/>
        <v>254.03642161619246</v>
      </c>
      <c r="AA791">
        <f t="shared" ca="1" si="398"/>
        <v>187.04675008113819</v>
      </c>
      <c r="AB791">
        <f t="shared" ca="1" si="398"/>
        <v>138.51666254540115</v>
      </c>
      <c r="AC791">
        <f ca="1">AC$779/(1+$G$780)^$U$781</f>
        <v>110.11730132400457</v>
      </c>
      <c r="AD791">
        <f ca="1">AD$779/(1+$G$780)^$V$781</f>
        <v>0</v>
      </c>
      <c r="AE791">
        <f ca="1">AE$779/(1+$G$780)^$W$781</f>
        <v>0</v>
      </c>
      <c r="AF791">
        <f ca="1">AF$779/(1+$G$780)^$X$781</f>
        <v>0</v>
      </c>
      <c r="AG791">
        <f ca="1">AG$779/(1+$G$780)^$Y$781</f>
        <v>0</v>
      </c>
      <c r="AH791">
        <f ca="1">AH$779/(1+$G$780)^$Z$781</f>
        <v>0</v>
      </c>
      <c r="AI791">
        <f ca="1">AI$779/(1+$G$780)^$AA$781</f>
        <v>0</v>
      </c>
      <c r="AJ791">
        <f ca="1">AJ$779/(1+$G$780)^$AB$781</f>
        <v>0</v>
      </c>
      <c r="AK791">
        <f ca="1">AK$779/(1+$G$780)^$AC$781</f>
        <v>0</v>
      </c>
      <c r="AL791">
        <f ca="1">AL$779/(1+$G$780)^$AD$781</f>
        <v>0</v>
      </c>
      <c r="AM791">
        <f ca="1">AM$779/(1+$G$780)^$AE$781</f>
        <v>0</v>
      </c>
      <c r="AN791">
        <f ca="1">AN$779/(1+$G$780)^$AF$781</f>
        <v>0</v>
      </c>
      <c r="AO791">
        <f ca="1">AO$779/(1+$G$780)^$AG$781</f>
        <v>0</v>
      </c>
      <c r="AP791">
        <f ca="1">AP$779/(1+$G$780)^$AH$781</f>
        <v>0</v>
      </c>
      <c r="AQ791">
        <f ca="1">AQ$779/(1+$G$780)^$AI$781</f>
        <v>0</v>
      </c>
    </row>
    <row r="792" spans="7:43">
      <c r="G792" s="480">
        <f t="shared" ca="1" si="389"/>
        <v>2008</v>
      </c>
      <c r="H792">
        <f t="shared" ca="1" si="386"/>
        <v>9233.2251448031548</v>
      </c>
      <c r="R792">
        <f t="shared" ref="R792:AB792" ca="1" si="399">R$779/(1+$G$780)^I$781</f>
        <v>2048.0848989121127</v>
      </c>
      <c r="S792">
        <f t="shared" ca="1" si="399"/>
        <v>1672.0147458396314</v>
      </c>
      <c r="T792">
        <f t="shared" ca="1" si="399"/>
        <v>1322.0929992899939</v>
      </c>
      <c r="U792">
        <f t="shared" ca="1" si="399"/>
        <v>1051.3776074537216</v>
      </c>
      <c r="V792">
        <f t="shared" ca="1" si="399"/>
        <v>822.3272320003191</v>
      </c>
      <c r="W792">
        <f t="shared" ca="1" si="399"/>
        <v>655.78426662422066</v>
      </c>
      <c r="X792">
        <f t="shared" ca="1" si="399"/>
        <v>509.99398091319506</v>
      </c>
      <c r="Y792">
        <f t="shared" ca="1" si="399"/>
        <v>392.86056464655002</v>
      </c>
      <c r="Z792">
        <f t="shared" ca="1" si="399"/>
        <v>279.4400637778117</v>
      </c>
      <c r="AA792">
        <f t="shared" ca="1" si="399"/>
        <v>205.75142508925202</v>
      </c>
      <c r="AB792">
        <f t="shared" ca="1" si="399"/>
        <v>152.36832879994128</v>
      </c>
      <c r="AC792">
        <f ca="1">AC$779/(1+$G$780)^$T$781</f>
        <v>121.12903145640503</v>
      </c>
      <c r="AD792">
        <f ca="1">AD$779/(1+$G$780)^$U$781</f>
        <v>0</v>
      </c>
      <c r="AE792">
        <f ca="1">AE$779/(1+$G$780)^$V$781</f>
        <v>0</v>
      </c>
      <c r="AF792">
        <f ca="1">AF$779/(1+$G$780)^$W$781</f>
        <v>0</v>
      </c>
      <c r="AG792">
        <f ca="1">AG$779/(1+$G$780)^$X$781</f>
        <v>0</v>
      </c>
      <c r="AH792">
        <f ca="1">AH$779/(1+$G$780)^$Y$781</f>
        <v>0</v>
      </c>
      <c r="AI792">
        <f ca="1">AI$779/(1+$G$780)^$Z$781</f>
        <v>0</v>
      </c>
      <c r="AJ792">
        <f ca="1">AJ$779/(1+$G$780)^$AA$781</f>
        <v>0</v>
      </c>
      <c r="AK792">
        <f ca="1">AK$779/(1+$G$780)^$AB$781</f>
        <v>0</v>
      </c>
      <c r="AL792">
        <f ca="1">AL$779/(1+$G$780)^$AC$781</f>
        <v>0</v>
      </c>
      <c r="AM792">
        <f ca="1">AM$779/(1+$G$780)^$AD$781</f>
        <v>0</v>
      </c>
      <c r="AN792">
        <f ca="1">AN$779/(1+$G$780)^$AE$781</f>
        <v>0</v>
      </c>
      <c r="AO792">
        <f ca="1">AO$779/(1+$G$780)^$AF$781</f>
        <v>0</v>
      </c>
      <c r="AP792">
        <f ca="1">AP$779/(1+$G$780)^$AG$781</f>
        <v>0</v>
      </c>
      <c r="AQ792">
        <f ca="1">AQ$779/(1+$G$780)^$AH$781</f>
        <v>0</v>
      </c>
    </row>
    <row r="793" spans="7:43">
      <c r="G793" s="480">
        <f t="shared" ca="1" si="389"/>
        <v>2009</v>
      </c>
      <c r="H793">
        <f t="shared" ca="1" si="386"/>
        <v>7860.3482502881752</v>
      </c>
      <c r="S793">
        <f t="shared" ref="S793:AB793" ca="1" si="400">S$779/(1+$G$780)^I$781</f>
        <v>1795.9102002316256</v>
      </c>
      <c r="T793">
        <f t="shared" ca="1" si="400"/>
        <v>1454.3022992189933</v>
      </c>
      <c r="U793">
        <f t="shared" ca="1" si="400"/>
        <v>1156.5153681990939</v>
      </c>
      <c r="V793">
        <f t="shared" ca="1" si="400"/>
        <v>904.55995520035094</v>
      </c>
      <c r="W793">
        <f t="shared" ca="1" si="400"/>
        <v>721.36269328664275</v>
      </c>
      <c r="X793">
        <f t="shared" ca="1" si="400"/>
        <v>560.99337900451462</v>
      </c>
      <c r="Y793">
        <f t="shared" ca="1" si="400"/>
        <v>432.14662111120509</v>
      </c>
      <c r="Z793">
        <f t="shared" ca="1" si="400"/>
        <v>307.38407015559284</v>
      </c>
      <c r="AA793">
        <f t="shared" ca="1" si="400"/>
        <v>226.32656759817726</v>
      </c>
      <c r="AB793">
        <f t="shared" ca="1" si="400"/>
        <v>167.60516167993541</v>
      </c>
      <c r="AC793">
        <f ca="1">AC$779/(1+$G$780)^$S$781</f>
        <v>133.24193460204555</v>
      </c>
      <c r="AD793">
        <f ca="1">AD$779/(1+$G$780)^$T$781</f>
        <v>0</v>
      </c>
      <c r="AE793">
        <f ca="1">AE$779/(1+$G$780)^$U$781</f>
        <v>0</v>
      </c>
      <c r="AF793">
        <f ca="1">AF$779/(1+$G$780)^$V$781</f>
        <v>0</v>
      </c>
      <c r="AG793">
        <f ca="1">AG$779/(1+$G$780)^$W$781</f>
        <v>0</v>
      </c>
      <c r="AH793">
        <f ca="1">AH$779/(1+$G$780)^$X$781</f>
        <v>0</v>
      </c>
      <c r="AI793">
        <f ca="1">AI$779/(1+$G$780)^$Y$781</f>
        <v>0</v>
      </c>
      <c r="AJ793">
        <f ca="1">AJ$779/(1+$G$780)^$Z$781</f>
        <v>0</v>
      </c>
      <c r="AK793">
        <f ca="1">AK$779/(1+$G$780)^$AA$781</f>
        <v>0</v>
      </c>
      <c r="AL793">
        <f ca="1">AL$779/(1+$G$780)^$AB$781</f>
        <v>0</v>
      </c>
      <c r="AM793">
        <f ca="1">AM$779/(1+$G$780)^$AC$781</f>
        <v>0</v>
      </c>
      <c r="AN793">
        <f ca="1">AN$779/(1+$G$780)^$AD$781</f>
        <v>0</v>
      </c>
      <c r="AO793">
        <f ca="1">AO$779/(1+$G$780)^$AE$781</f>
        <v>0</v>
      </c>
      <c r="AP793">
        <f ca="1">AP$779/(1+$G$780)^$AF$781</f>
        <v>0</v>
      </c>
      <c r="AQ793">
        <f ca="1">AQ$779/(1+$G$780)^$AG$781</f>
        <v>0</v>
      </c>
    </row>
    <row r="794" spans="7:43">
      <c r="G794" s="480">
        <f t="shared" ca="1" si="389"/>
        <v>2010</v>
      </c>
      <c r="H794">
        <f t="shared" ca="1" si="386"/>
        <v>6633.2146963891664</v>
      </c>
      <c r="T794">
        <f t="shared" ref="T794:AB794" ca="1" si="401">T$779/(1+$G$780)^I$781</f>
        <v>1562.0653704678525</v>
      </c>
      <c r="U794">
        <f t="shared" ca="1" si="401"/>
        <v>1272.1669050190033</v>
      </c>
      <c r="V794">
        <f t="shared" ca="1" si="401"/>
        <v>995.01595072038617</v>
      </c>
      <c r="W794">
        <f t="shared" ca="1" si="401"/>
        <v>793.49896261530705</v>
      </c>
      <c r="X794">
        <f t="shared" ca="1" si="401"/>
        <v>617.0927169049661</v>
      </c>
      <c r="Y794">
        <f t="shared" ca="1" si="401"/>
        <v>475.36128322232571</v>
      </c>
      <c r="Z794">
        <f t="shared" ca="1" si="401"/>
        <v>338.12247717115218</v>
      </c>
      <c r="AA794">
        <f t="shared" ca="1" si="401"/>
        <v>248.95922435799497</v>
      </c>
      <c r="AB794">
        <f t="shared" ca="1" si="401"/>
        <v>184.36567784792896</v>
      </c>
      <c r="AC794">
        <f ca="1">AC$779/(1+$G$780)^$R$781</f>
        <v>146.56612806225013</v>
      </c>
      <c r="AD794">
        <f ca="1">AD$779/(1+$G$780)^$S$781</f>
        <v>0</v>
      </c>
      <c r="AE794">
        <f ca="1">AE$779/(1+$G$780)^$T$781</f>
        <v>0</v>
      </c>
      <c r="AF794">
        <f ca="1">AF$779/(1+$G$780)^$U$781</f>
        <v>0</v>
      </c>
      <c r="AG794">
        <f ca="1">AG$779/(1+$G$780)^$V$781</f>
        <v>0</v>
      </c>
      <c r="AH794">
        <f ca="1">AH$779/(1+$G$780)^$W$781</f>
        <v>0</v>
      </c>
      <c r="AI794">
        <f ca="1">AI$779/(1+$G$780)^$X$781</f>
        <v>0</v>
      </c>
      <c r="AJ794">
        <f ca="1">AJ$779/(1+$G$780)^$Y$781</f>
        <v>0</v>
      </c>
      <c r="AK794">
        <f ca="1">AK$779/(1+$G$780)^$Z$781</f>
        <v>0</v>
      </c>
      <c r="AL794">
        <f ca="1">AL$779/(1+$G$780)^$AA$781</f>
        <v>0</v>
      </c>
      <c r="AM794">
        <f ca="1">AM$779/(1+$G$780)^$AB$781</f>
        <v>0</v>
      </c>
      <c r="AN794">
        <f ca="1">AN$779/(1+$G$780)^$AC$781</f>
        <v>0</v>
      </c>
      <c r="AO794">
        <f ca="1">AO$779/(1+$G$780)^$AD$781</f>
        <v>0</v>
      </c>
      <c r="AP794">
        <f ca="1">AP$779/(1+$G$780)^$AE$781</f>
        <v>0</v>
      </c>
      <c r="AQ794">
        <f ca="1">AQ$779/(1+$G$780)^$AF$781</f>
        <v>0</v>
      </c>
    </row>
    <row r="795" spans="7:43">
      <c r="G795" s="480">
        <f t="shared" ca="1" si="389"/>
        <v>2011</v>
      </c>
      <c r="H795">
        <f t="shared" ca="1" si="386"/>
        <v>5545.3144978648688</v>
      </c>
      <c r="U795">
        <f t="shared" ref="U795:AB795" ca="1" si="402">U$779/(1+$G$780)^I$781</f>
        <v>1366.4338348723265</v>
      </c>
      <c r="V795">
        <f t="shared" ca="1" si="402"/>
        <v>1094.5175457924249</v>
      </c>
      <c r="W795">
        <f t="shared" ca="1" si="402"/>
        <v>872.84885887683788</v>
      </c>
      <c r="X795">
        <f t="shared" ca="1" si="402"/>
        <v>678.80198859546272</v>
      </c>
      <c r="Y795">
        <f t="shared" ca="1" si="402"/>
        <v>522.89741154455828</v>
      </c>
      <c r="Z795">
        <f t="shared" ca="1" si="402"/>
        <v>371.93472488826745</v>
      </c>
      <c r="AA795">
        <f t="shared" ca="1" si="402"/>
        <v>273.85514679379452</v>
      </c>
      <c r="AB795">
        <f t="shared" ca="1" si="402"/>
        <v>202.80224563272185</v>
      </c>
      <c r="AC795">
        <f ca="1">AC$779/(1+$G$780)^$Q$781</f>
        <v>161.22274086847514</v>
      </c>
      <c r="AD795">
        <f ca="1">AD$779/(1+$G$780)^$R$781</f>
        <v>0</v>
      </c>
      <c r="AE795">
        <f ca="1">AE$779/(1+$G$780)^$S$781</f>
        <v>0</v>
      </c>
      <c r="AF795">
        <f ca="1">AF$779/(1+$G$780)^$T$781</f>
        <v>0</v>
      </c>
      <c r="AG795">
        <f ca="1">AG$779/(1+$G$780)^$U$781</f>
        <v>0</v>
      </c>
      <c r="AH795">
        <f ca="1">AH$779/(1+$G$780)^$V$781</f>
        <v>0</v>
      </c>
      <c r="AI795">
        <f ca="1">AI$779/(1+$G$780)^$W$781</f>
        <v>0</v>
      </c>
      <c r="AJ795">
        <f ca="1">AJ$779/(1+$G$780)^$X$781</f>
        <v>0</v>
      </c>
      <c r="AK795">
        <f ca="1">AK$779/(1+$G$780)^$Y$781</f>
        <v>0</v>
      </c>
      <c r="AL795">
        <f ca="1">AL$779/(1+$G$780)^$Z$781</f>
        <v>0</v>
      </c>
      <c r="AM795">
        <f ca="1">AM$779/(1+$G$780)^$AA$781</f>
        <v>0</v>
      </c>
      <c r="AN795">
        <f ca="1">AN$779/(1+$G$780)^$AB$781</f>
        <v>0</v>
      </c>
      <c r="AO795">
        <f ca="1">AO$779/(1+$G$780)^$AC$781</f>
        <v>0</v>
      </c>
      <c r="AP795">
        <f ca="1">AP$779/(1+$G$780)^$AD$781</f>
        <v>0</v>
      </c>
      <c r="AQ795">
        <f ca="1">AQ$779/(1+$G$780)^$AE$781</f>
        <v>0</v>
      </c>
    </row>
    <row r="796" spans="7:43">
      <c r="G796" s="480">
        <f t="shared" ca="1" si="389"/>
        <v>2012</v>
      </c>
      <c r="H796">
        <f t="shared" ca="1" si="386"/>
        <v>4568.4201761127706</v>
      </c>
      <c r="V796">
        <f t="shared" ref="V796:AB796" ca="1" si="403">V$779/(1+$G$780)^I$781</f>
        <v>1175.6207471926411</v>
      </c>
      <c r="W796">
        <f t="shared" ca="1" si="403"/>
        <v>960.13374476452179</v>
      </c>
      <c r="X796">
        <f t="shared" ca="1" si="403"/>
        <v>746.68218745500906</v>
      </c>
      <c r="Y796">
        <f t="shared" ca="1" si="403"/>
        <v>575.18715269901406</v>
      </c>
      <c r="Z796">
        <f t="shared" ca="1" si="403"/>
        <v>409.12819737709424</v>
      </c>
      <c r="AA796">
        <f t="shared" ca="1" si="403"/>
        <v>301.24066147317399</v>
      </c>
      <c r="AB796">
        <f t="shared" ca="1" si="403"/>
        <v>223.08247019599406</v>
      </c>
      <c r="AC796">
        <f ca="1">AC$779/(1+$G$780)^$P$781</f>
        <v>177.34501495532265</v>
      </c>
      <c r="AD796">
        <f ca="1">AD$779/(1+$G$780)^$Q$781</f>
        <v>0</v>
      </c>
      <c r="AE796">
        <f ca="1">AE$779/(1+$G$780)^$R$781</f>
        <v>0</v>
      </c>
      <c r="AF796">
        <f ca="1">AF$779/(1+$G$780)^$S$781</f>
        <v>0</v>
      </c>
      <c r="AG796">
        <f ca="1">AG$779/(1+$G$780)^$T$781</f>
        <v>0</v>
      </c>
      <c r="AH796">
        <f ca="1">AH$779/(1+$G$780)^$U$781</f>
        <v>0</v>
      </c>
      <c r="AI796">
        <f ca="1">AI$779/(1+$G$780)^$V$781</f>
        <v>0</v>
      </c>
      <c r="AJ796">
        <f ca="1">AJ$779/(1+$G$780)^$W$781</f>
        <v>0</v>
      </c>
      <c r="AK796">
        <f ca="1">AK$779/(1+$G$780)^$X$781</f>
        <v>0</v>
      </c>
      <c r="AL796">
        <f ca="1">AL$779/(1+$G$780)^$Y$781</f>
        <v>0</v>
      </c>
      <c r="AM796">
        <f ca="1">AM$779/(1+$G$780)^$Z$781</f>
        <v>0</v>
      </c>
      <c r="AN796">
        <f ca="1">AN$779/(1+$G$780)^$AA$781</f>
        <v>0</v>
      </c>
      <c r="AO796">
        <f ca="1">AO$779/(1+$G$780)^$AB$781</f>
        <v>0</v>
      </c>
      <c r="AP796">
        <f ca="1">AP$779/(1+$G$780)^$AC$781</f>
        <v>0</v>
      </c>
      <c r="AQ796">
        <f ca="1">AQ$779/(1+$G$780)^$AD$781</f>
        <v>0</v>
      </c>
    </row>
    <row r="797" spans="7:43">
      <c r="G797" s="480">
        <f t="shared" ca="1" si="389"/>
        <v>2013</v>
      </c>
      <c r="H797">
        <f t="shared" ca="1" si="386"/>
        <v>3707.2114264538727</v>
      </c>
      <c r="W797">
        <f t="shared" ref="W797:AB797" ca="1" si="404">W$779/(1+$G$780)^I$781</f>
        <v>1031.2791738827032</v>
      </c>
      <c r="X797">
        <f t="shared" ca="1" si="404"/>
        <v>821.35040620051006</v>
      </c>
      <c r="Y797">
        <f t="shared" ca="1" si="404"/>
        <v>632.70586796891564</v>
      </c>
      <c r="Z797">
        <f t="shared" ca="1" si="404"/>
        <v>450.04101711480365</v>
      </c>
      <c r="AA797">
        <f t="shared" ca="1" si="404"/>
        <v>331.36472762049141</v>
      </c>
      <c r="AB797">
        <f t="shared" ca="1" si="404"/>
        <v>245.39071721559353</v>
      </c>
      <c r="AC797">
        <f ca="1">AC$779/(1+$G$780)^$O$781</f>
        <v>195.07951645085492</v>
      </c>
      <c r="AD797">
        <f ca="1">AD$779/(1+$G$780)^$P$781</f>
        <v>0</v>
      </c>
      <c r="AE797">
        <f ca="1">AE$779/(1+$G$780)^$Q$781</f>
        <v>0</v>
      </c>
      <c r="AF797">
        <f ca="1">AF$779/(1+$G$780)^$R$781</f>
        <v>0</v>
      </c>
      <c r="AG797">
        <f ca="1">AG$779/(1+$G$780)^$S$781</f>
        <v>0</v>
      </c>
      <c r="AH797">
        <f ca="1">AH$779/(1+$G$780)^$T$781</f>
        <v>0</v>
      </c>
      <c r="AI797">
        <f ca="1">AI$779/(1+$G$780)^$U$781</f>
        <v>0</v>
      </c>
      <c r="AJ797">
        <f ca="1">AJ$779/(1+$G$780)^$V$781</f>
        <v>0</v>
      </c>
      <c r="AK797">
        <f ca="1">AK$779/(1+$G$780)^$W$781</f>
        <v>0</v>
      </c>
      <c r="AL797">
        <f ca="1">AL$779/(1+$G$780)^$X$781</f>
        <v>0</v>
      </c>
      <c r="AM797">
        <f ca="1">AM$779/(1+$G$780)^$Y$781</f>
        <v>0</v>
      </c>
      <c r="AN797">
        <f ca="1">AN$779/(1+$G$780)^$Z$781</f>
        <v>0</v>
      </c>
      <c r="AO797">
        <f ca="1">AO$779/(1+$G$780)^$AA$781</f>
        <v>0</v>
      </c>
      <c r="AP797">
        <f ca="1">AP$779/(1+$G$780)^$AB$781</f>
        <v>0</v>
      </c>
      <c r="AQ797">
        <f ca="1">AQ$779/(1+$G$780)^$AC$781</f>
        <v>0</v>
      </c>
    </row>
    <row r="798" spans="7:43">
      <c r="G798" s="480">
        <f t="shared" ca="1" si="389"/>
        <v>2014</v>
      </c>
      <c r="H798">
        <f t="shared" ca="1" si="386"/>
        <v>2922.2520905186907</v>
      </c>
      <c r="X798">
        <f ca="1">X$779/(1+$G$780)^I$781</f>
        <v>882.21205951096579</v>
      </c>
      <c r="Y798">
        <f ca="1">Y$779/(1+$G$780)^J$781</f>
        <v>695.97645476580726</v>
      </c>
      <c r="Z798">
        <f ca="1">Z$779/(1+$G$780)^K$781</f>
        <v>495.04511882628407</v>
      </c>
      <c r="AA798">
        <f ca="1">AA$779/(1+$G$780)^L$781</f>
        <v>364.50120038254056</v>
      </c>
      <c r="AB798">
        <f ca="1">AB$779/(1+$G$780)^M$781</f>
        <v>269.92978893715286</v>
      </c>
      <c r="AC798">
        <f ca="1">AC$779/(1+$G$780)^$N$781</f>
        <v>214.58746809594047</v>
      </c>
      <c r="AD798">
        <f ca="1">AD$779/(1+$G$780)^$O$781</f>
        <v>0</v>
      </c>
      <c r="AE798">
        <f ca="1">AE$779/(1+$G$780)^$P$781</f>
        <v>0</v>
      </c>
      <c r="AF798">
        <f ca="1">AF$779/(1+$G$780)^$Q$781</f>
        <v>0</v>
      </c>
      <c r="AG798">
        <f ca="1">AG$779/(1+$G$780)^$R$781</f>
        <v>0</v>
      </c>
      <c r="AH798">
        <f ca="1">AH$779/(1+$G$780)^$S$781</f>
        <v>0</v>
      </c>
      <c r="AI798">
        <f ca="1">AI$779/(1+$G$780)^$T$781</f>
        <v>0</v>
      </c>
      <c r="AJ798">
        <f ca="1">AJ$779/(1+$G$780)^$U$781</f>
        <v>0</v>
      </c>
      <c r="AK798">
        <f ca="1">AK$779/(1+$G$780)^$V$781</f>
        <v>0</v>
      </c>
      <c r="AL798">
        <f ca="1">AL$779/(1+$G$780)^$W$781</f>
        <v>0</v>
      </c>
      <c r="AM798">
        <f ca="1">AM$779/(1+$G$780)^$X$781</f>
        <v>0</v>
      </c>
      <c r="AN798">
        <f ca="1">AN$779/(1+$G$780)^$Y$781</f>
        <v>0</v>
      </c>
      <c r="AO798">
        <f ca="1">AO$779/(1+$G$780)^$Z$781</f>
        <v>0</v>
      </c>
      <c r="AP798">
        <f ca="1">AP$779/(1+$G$780)^$AA$781</f>
        <v>0</v>
      </c>
      <c r="AQ798">
        <f ca="1">AQ$779/(1+$G$780)^$AB$781</f>
        <v>0</v>
      </c>
    </row>
    <row r="799" spans="7:43">
      <c r="G799" s="480">
        <f t="shared" ca="1" si="389"/>
        <v>2015</v>
      </c>
      <c r="H799">
        <f t="shared" ca="1" si="386"/>
        <v>2226.0178949980514</v>
      </c>
      <c r="Y799">
        <f ca="1">Y$779/(1+$G$780)^I$781</f>
        <v>747.54796113194152</v>
      </c>
      <c r="Z799">
        <f ca="1">Z$779/(1+$G$780)^J$781</f>
        <v>544.54963070891256</v>
      </c>
      <c r="AA799">
        <f ca="1">AA$779/(1+$G$780)^K$781</f>
        <v>400.95132042079467</v>
      </c>
      <c r="AB799">
        <f ca="1">AB$779/(1+$G$780)^L$781</f>
        <v>296.92276783086817</v>
      </c>
      <c r="AC799">
        <f ca="1">AC$779/(1+$G$780)^$M$781</f>
        <v>236.04621490553453</v>
      </c>
      <c r="AD799">
        <f ca="1">AD$779/(1+$G$780)^$N$781</f>
        <v>0</v>
      </c>
      <c r="AE799">
        <f ca="1">AE$779/(1+$G$780)^$O$781</f>
        <v>0</v>
      </c>
      <c r="AF799">
        <f ca="1">AF$779/(1+$G$780)^$P$781</f>
        <v>0</v>
      </c>
      <c r="AG799">
        <f ca="1">AG$779/(1+$G$780)^$Q$781</f>
        <v>0</v>
      </c>
      <c r="AH799">
        <f ca="1">AH$779/(1+$G$780)^$R$781</f>
        <v>0</v>
      </c>
      <c r="AI799">
        <f ca="1">AI$779/(1+$G$780)^$S$781</f>
        <v>0</v>
      </c>
      <c r="AJ799">
        <f ca="1">AJ$779/(1+$G$780)^$T$781</f>
        <v>0</v>
      </c>
      <c r="AK799">
        <f ca="1">AK$779/(1+$G$780)^$U$781</f>
        <v>0</v>
      </c>
      <c r="AL799">
        <f ca="1">AL$779/(1+$G$780)^$V$781</f>
        <v>0</v>
      </c>
      <c r="AM799">
        <f ca="1">AM$779/(1+$G$780)^$W$781</f>
        <v>0</v>
      </c>
      <c r="AN799">
        <f ca="1">AN$779/(1+$G$780)^$X$781</f>
        <v>0</v>
      </c>
      <c r="AO799">
        <f ca="1">AO$779/(1+$G$780)^$Y$781</f>
        <v>0</v>
      </c>
      <c r="AP799">
        <f ca="1">AP$779/(1+$G$780)^$Z$781</f>
        <v>0</v>
      </c>
      <c r="AQ799">
        <f ca="1">AQ$779/(1+$G$780)^$AA$781</f>
        <v>0</v>
      </c>
    </row>
    <row r="800" spans="7:43">
      <c r="G800" s="480">
        <f t="shared" ca="1" si="389"/>
        <v>2016</v>
      </c>
      <c r="H800">
        <f t="shared" ca="1" si="386"/>
        <v>1612.2128188041036</v>
      </c>
      <c r="Z800">
        <f ca="1">Z$779/(1+$G$780)^I$781</f>
        <v>584.90048533118659</v>
      </c>
      <c r="AA800">
        <f ca="1">AA$779/(1+$G$780)^J$781</f>
        <v>441.04645246287413</v>
      </c>
      <c r="AB800">
        <f ca="1">AB$779/(1+$G$780)^K$781</f>
        <v>326.61504461395504</v>
      </c>
      <c r="AC800">
        <f ca="1">AC$779/(1+$G$780)^$L$781</f>
        <v>259.65083639608798</v>
      </c>
      <c r="AD800">
        <f ca="1">AD$779/(1+$G$780)^$M$781</f>
        <v>0</v>
      </c>
      <c r="AE800">
        <f ca="1">AE$779/(1+$G$780)^$N$781</f>
        <v>0</v>
      </c>
      <c r="AF800">
        <f ca="1">AF$779/(1+$G$780)^$O$781</f>
        <v>0</v>
      </c>
      <c r="AG800">
        <f ca="1">AG$779/(1+$G$780)^$P$781</f>
        <v>0</v>
      </c>
      <c r="AH800">
        <f ca="1">AH$779/(1+$G$780)^$Q$781</f>
        <v>0</v>
      </c>
      <c r="AI800">
        <f ca="1">AI$779/(1+$G$780)^$R$781</f>
        <v>0</v>
      </c>
      <c r="AJ800">
        <f ca="1">AJ$779/(1+$G$780)^$S$781</f>
        <v>0</v>
      </c>
      <c r="AK800">
        <f ca="1">AK$779/(1+$G$780)^$T$781</f>
        <v>0</v>
      </c>
      <c r="AL800">
        <f ca="1">AL$779/(1+$G$780)^$U$781</f>
        <v>0</v>
      </c>
      <c r="AM800">
        <f ca="1">AM$779/(1+$G$780)^$V$781</f>
        <v>0</v>
      </c>
      <c r="AN800">
        <f ca="1">AN$779/(1+$G$780)^$W$781</f>
        <v>0</v>
      </c>
      <c r="AO800">
        <f ca="1">AO$779/(1+$G$780)^$X$781</f>
        <v>0</v>
      </c>
      <c r="AP800">
        <f ca="1">AP$779/(1+$G$780)^$Y$781</f>
        <v>0</v>
      </c>
      <c r="AQ800">
        <f ca="1">AQ$779/(1+$G$780)^$Z$781</f>
        <v>0</v>
      </c>
    </row>
    <row r="801" spans="7:43">
      <c r="G801" s="480">
        <f t="shared" ref="G801:G816" ca="1" si="405">+G800+1</f>
        <v>2017</v>
      </c>
      <c r="H801">
        <f t="shared" ca="1" si="386"/>
        <v>1118.6202425801096</v>
      </c>
      <c r="AA801">
        <f ca="1">AA$779/(1+$G$780)^I$781</f>
        <v>473.72777346906219</v>
      </c>
      <c r="AB801">
        <f ca="1">AB$779/(1+$G$780)^J$781</f>
        <v>359.27654907535054</v>
      </c>
      <c r="AC801">
        <f ca="1">AC$779/(1+$G$780)^$K$781</f>
        <v>285.61592003569683</v>
      </c>
      <c r="AD801">
        <f ca="1">AD$779/(1+$G$780)^$L$781</f>
        <v>0</v>
      </c>
      <c r="AE801">
        <f ca="1">AE$779/(1+$G$780)^$M$781</f>
        <v>0</v>
      </c>
      <c r="AF801">
        <f ca="1">AF$779/(1+$G$780)^$N$781</f>
        <v>0</v>
      </c>
      <c r="AG801">
        <f ca="1">AG$779/(1+$G$780)^$O$781</f>
        <v>0</v>
      </c>
      <c r="AH801">
        <f ca="1">AH$779/(1+$G$780)^$P$781</f>
        <v>0</v>
      </c>
      <c r="AI801">
        <f ca="1">AI$779/(1+$G$780)^$Q$781</f>
        <v>0</v>
      </c>
      <c r="AJ801">
        <f ca="1">AJ$779/(1+$G$780)^$R$781</f>
        <v>0</v>
      </c>
      <c r="AK801">
        <f ca="1">AK$779/(1+$G$780)^$S$781</f>
        <v>0</v>
      </c>
      <c r="AL801">
        <f ca="1">AL$779/(1+$G$780)^$T$781</f>
        <v>0</v>
      </c>
      <c r="AM801">
        <f ca="1">AM$779/(1+$G$780)^$U$781</f>
        <v>0</v>
      </c>
      <c r="AN801">
        <f ca="1">AN$779/(1+$G$780)^$V$781</f>
        <v>0</v>
      </c>
      <c r="AO801">
        <f ca="1">AO$779/(1+$G$780)^$W$781</f>
        <v>0</v>
      </c>
      <c r="AP801">
        <f ca="1">AP$779/(1+$G$780)^$X$781</f>
        <v>0</v>
      </c>
      <c r="AQ801">
        <f ca="1">AQ$779/(1+$G$780)^$Y$781</f>
        <v>0</v>
      </c>
    </row>
    <row r="802" spans="7:43">
      <c r="G802" s="480">
        <f t="shared" ca="1" si="405"/>
        <v>2018</v>
      </c>
      <c r="H802">
        <f t="shared" ca="1" si="386"/>
        <v>700.07627327562614</v>
      </c>
      <c r="AB802">
        <f ca="1">AB$779/(1+$G$780)^I$781</f>
        <v>385.89876123635958</v>
      </c>
      <c r="AC802">
        <f ca="1">AC$779/(1+$G$780)^$J$781</f>
        <v>314.1775120392665</v>
      </c>
      <c r="AD802">
        <f ca="1">AD$779/(1+$G$780)^$K$781</f>
        <v>0</v>
      </c>
      <c r="AE802">
        <f ca="1">AE$779/(1+$G$780)^$L$781</f>
        <v>0</v>
      </c>
      <c r="AF802">
        <f ca="1">AF$779/(1+$G$780)^$M$781</f>
        <v>0</v>
      </c>
      <c r="AG802">
        <f ca="1">AG$779/(1+$G$780)^$N$781</f>
        <v>0</v>
      </c>
      <c r="AH802">
        <f ca="1">AH$779/(1+$G$780)^$O$781</f>
        <v>0</v>
      </c>
      <c r="AI802">
        <f ca="1">AI$779/(1+$G$780)^$P$781</f>
        <v>0</v>
      </c>
      <c r="AJ802">
        <f ca="1">AJ$779/(1+$G$780)^$Q$781</f>
        <v>0</v>
      </c>
      <c r="AK802">
        <f ca="1">AK$779/(1+$G$780)^$R$781</f>
        <v>0</v>
      </c>
      <c r="AL802">
        <f ca="1">AL$779/(1+$G$780)^$S$781</f>
        <v>0</v>
      </c>
      <c r="AM802">
        <f ca="1">AM$779/(1+$G$780)^$T$781</f>
        <v>0</v>
      </c>
      <c r="AN802">
        <f ca="1">AN$779/(1+$G$780)^$U$781</f>
        <v>0</v>
      </c>
      <c r="AO802">
        <f ca="1">AO$779/(1+$G$780)^$V$781</f>
        <v>0</v>
      </c>
      <c r="AP802">
        <f ca="1">AP$779/(1+$G$780)^$W$781</f>
        <v>0</v>
      </c>
      <c r="AQ802">
        <f ca="1">AQ$779/(1+$G$780)^$X$781</f>
        <v>0</v>
      </c>
    </row>
    <row r="803" spans="7:43">
      <c r="G803" s="480">
        <f t="shared" ca="1" si="405"/>
        <v>2019</v>
      </c>
      <c r="H803">
        <f t="shared" ca="1" si="386"/>
        <v>337.45790816657711</v>
      </c>
      <c r="AC803">
        <f ca="1">AC$779/(1+$G$780)^$I$781</f>
        <v>337.45790816657711</v>
      </c>
      <c r="AD803">
        <f ca="1">AD$779/(1+$G$780)^$J$781</f>
        <v>0</v>
      </c>
      <c r="AE803">
        <f ca="1">AE$779/(1+$G$780)^$K$781</f>
        <v>0</v>
      </c>
      <c r="AF803">
        <f ca="1">AF$779/(1+$G$780)^$L$781</f>
        <v>0</v>
      </c>
      <c r="AG803">
        <f ca="1">AG$779/(1+$G$780)^$M$781</f>
        <v>0</v>
      </c>
      <c r="AH803">
        <f ca="1">AH$779/(1+$G$780)^$N$781</f>
        <v>0</v>
      </c>
      <c r="AI803">
        <f ca="1">AI$779/(1+$G$780)^$O$781</f>
        <v>0</v>
      </c>
      <c r="AJ803">
        <f ca="1">AJ$779/(1+$G$780)^$P$781</f>
        <v>0</v>
      </c>
      <c r="AK803">
        <f ca="1">AK$779/(1+$G$780)^$Q$781</f>
        <v>0</v>
      </c>
      <c r="AL803">
        <f ca="1">AL$779/(1+$G$780)^$R$781</f>
        <v>0</v>
      </c>
      <c r="AM803">
        <f ca="1">AM$779/(1+$G$780)^$S$781</f>
        <v>0</v>
      </c>
      <c r="AN803">
        <f ca="1">AN$779/(1+$G$780)^$T$781</f>
        <v>0</v>
      </c>
      <c r="AO803">
        <f ca="1">AO$779/(1+$G$780)^$U$781</f>
        <v>0</v>
      </c>
      <c r="AP803">
        <f ca="1">AP$779/(1+$G$780)^$V$781</f>
        <v>0</v>
      </c>
      <c r="AQ803">
        <f ca="1">AQ$779/(1+$G$780)^$W$781</f>
        <v>0</v>
      </c>
    </row>
    <row r="804" spans="7:43">
      <c r="G804" s="480">
        <f t="shared" ca="1" si="405"/>
        <v>2020</v>
      </c>
      <c r="H804">
        <f t="shared" ca="1" si="386"/>
        <v>0</v>
      </c>
      <c r="AD804">
        <f ca="1">AD$779/(1+$G$780)^$I$781</f>
        <v>0</v>
      </c>
      <c r="AE804">
        <f ca="1">AE$779/(1+$G$780)^$J$781</f>
        <v>0</v>
      </c>
      <c r="AF804">
        <f ca="1">AF$779/(1+$G$780)^$K$781</f>
        <v>0</v>
      </c>
      <c r="AG804">
        <f ca="1">AG$779/(1+$G$780)^$L$781</f>
        <v>0</v>
      </c>
      <c r="AH804">
        <f ca="1">AH$779/(1+$G$780)^$M$781</f>
        <v>0</v>
      </c>
      <c r="AI804">
        <f ca="1">AI$779/(1+$G$780)^$N$781</f>
        <v>0</v>
      </c>
      <c r="AJ804">
        <f ca="1">AJ$779/(1+$G$780)^$O$781</f>
        <v>0</v>
      </c>
      <c r="AK804">
        <f ca="1">AK$779/(1+$G$780)^$P$781</f>
        <v>0</v>
      </c>
      <c r="AL804">
        <f ca="1">AL$779/(1+$G$780)^$Q$781</f>
        <v>0</v>
      </c>
      <c r="AM804">
        <f ca="1">AM$779/(1+$G$780)^$R$781</f>
        <v>0</v>
      </c>
      <c r="AN804">
        <f ca="1">AN$779/(1+$G$780)^$S$781</f>
        <v>0</v>
      </c>
      <c r="AO804">
        <f ca="1">AO$779/(1+$G$780)^$T$781</f>
        <v>0</v>
      </c>
      <c r="AP804">
        <f ca="1">AP$779/(1+$G$780)^$U$781</f>
        <v>0</v>
      </c>
      <c r="AQ804">
        <f ca="1">AQ$779/(1+$G$780)^$V$781</f>
        <v>0</v>
      </c>
    </row>
    <row r="805" spans="7:43">
      <c r="G805" s="480">
        <f t="shared" ca="1" si="405"/>
        <v>2021</v>
      </c>
      <c r="H805">
        <f t="shared" ca="1" si="386"/>
        <v>0</v>
      </c>
      <c r="AE805">
        <f ca="1">AE$779/(1+$G$780)^$I$781</f>
        <v>0</v>
      </c>
      <c r="AF805">
        <f ca="1">AF$779/(1+$G$780)^$J$781</f>
        <v>0</v>
      </c>
      <c r="AG805">
        <f ca="1">AG$779/(1+$G$780)^$K$781</f>
        <v>0</v>
      </c>
      <c r="AH805">
        <f ca="1">AH$779/(1+$G$780)^$L$781</f>
        <v>0</v>
      </c>
      <c r="AI805">
        <f ca="1">AI$779/(1+$G$780)^$M$781</f>
        <v>0</v>
      </c>
      <c r="AJ805">
        <f ca="1">AJ$779/(1+$G$780)^$N$781</f>
        <v>0</v>
      </c>
      <c r="AK805">
        <f ca="1">AK$779/(1+$G$780)^$O$781</f>
        <v>0</v>
      </c>
      <c r="AL805">
        <f ca="1">AL$779/(1+$G$780)^$P$781</f>
        <v>0</v>
      </c>
      <c r="AM805">
        <f ca="1">AM$779/(1+$G$780)^$Q$781</f>
        <v>0</v>
      </c>
      <c r="AN805">
        <f ca="1">AN$779/(1+$G$780)^$R$781</f>
        <v>0</v>
      </c>
      <c r="AO805">
        <f ca="1">AO$779/(1+$G$780)^$S$781</f>
        <v>0</v>
      </c>
      <c r="AP805">
        <f ca="1">AP$779/(1+$G$780)^$T$781</f>
        <v>0</v>
      </c>
      <c r="AQ805">
        <f ca="1">AQ$779/(1+$G$780)^$U$781</f>
        <v>0</v>
      </c>
    </row>
    <row r="806" spans="7:43">
      <c r="G806" s="480">
        <f t="shared" ca="1" si="405"/>
        <v>2022</v>
      </c>
      <c r="H806">
        <f t="shared" ca="1" si="386"/>
        <v>0</v>
      </c>
      <c r="AF806">
        <f ca="1">AF$779/(1+$G$780)^$I$781</f>
        <v>0</v>
      </c>
      <c r="AG806">
        <f ca="1">AG$779/(1+$G$780)^$J$781</f>
        <v>0</v>
      </c>
      <c r="AH806">
        <f ca="1">AH$779/(1+$G$780)^$K$781</f>
        <v>0</v>
      </c>
      <c r="AI806">
        <f ca="1">AI$779/(1+$G$780)^$L$781</f>
        <v>0</v>
      </c>
      <c r="AJ806">
        <f ca="1">AJ$779/(1+$G$780)^$M$781</f>
        <v>0</v>
      </c>
      <c r="AK806">
        <f ca="1">AK$779/(1+$G$780)^$N$781</f>
        <v>0</v>
      </c>
      <c r="AL806">
        <f ca="1">AL$779/(1+$G$780)^$O$781</f>
        <v>0</v>
      </c>
      <c r="AM806">
        <f ca="1">AM$779/(1+$G$780)^$P$781</f>
        <v>0</v>
      </c>
      <c r="AN806">
        <f ca="1">AN$779/(1+$G$780)^$Q$781</f>
        <v>0</v>
      </c>
      <c r="AO806">
        <f ca="1">AO$779/(1+$G$780)^$R$781</f>
        <v>0</v>
      </c>
      <c r="AP806">
        <f ca="1">AP$779/(1+$G$780)^$S$781</f>
        <v>0</v>
      </c>
      <c r="AQ806">
        <f ca="1">AQ$779/(1+$G$780)^$T$781</f>
        <v>0</v>
      </c>
    </row>
    <row r="807" spans="7:43">
      <c r="G807" s="480">
        <f t="shared" ca="1" si="405"/>
        <v>2023</v>
      </c>
      <c r="H807">
        <f t="shared" ca="1" si="386"/>
        <v>0</v>
      </c>
      <c r="AG807">
        <f ca="1">AG$779/(1+$G$780)^$I$781</f>
        <v>0</v>
      </c>
      <c r="AH807">
        <f ca="1">AH$779/(1+$G$780)^$J$781</f>
        <v>0</v>
      </c>
      <c r="AI807">
        <f ca="1">AI$779/(1+$G$780)^$K$781</f>
        <v>0</v>
      </c>
      <c r="AJ807">
        <f ca="1">AJ$779/(1+$G$780)^$L$781</f>
        <v>0</v>
      </c>
      <c r="AK807">
        <f ca="1">AK$779/(1+$G$780)^$M$781</f>
        <v>0</v>
      </c>
      <c r="AL807">
        <f ca="1">AL$779/(1+$G$780)^$N$781</f>
        <v>0</v>
      </c>
      <c r="AM807">
        <f ca="1">AM$779/(1+$G$780)^$O$781</f>
        <v>0</v>
      </c>
      <c r="AN807">
        <f ca="1">AN$779/(1+$G$780)^$P$781</f>
        <v>0</v>
      </c>
      <c r="AO807">
        <f ca="1">AO$779/(1+$G$780)^$Q$781</f>
        <v>0</v>
      </c>
      <c r="AP807">
        <f ca="1">AP$779/(1+$G$780)^$R$781</f>
        <v>0</v>
      </c>
      <c r="AQ807">
        <f ca="1">AQ$779/(1+$G$780)^$S$781</f>
        <v>0</v>
      </c>
    </row>
    <row r="808" spans="7:43">
      <c r="G808" s="480">
        <f t="shared" ca="1" si="405"/>
        <v>2024</v>
      </c>
      <c r="H808">
        <f t="shared" ca="1" si="386"/>
        <v>0</v>
      </c>
      <c r="AH808">
        <f ca="1">AH$779/(1+$G$780)^$I$781</f>
        <v>0</v>
      </c>
      <c r="AI808">
        <f ca="1">AI$779/(1+$G$780)^$J$781</f>
        <v>0</v>
      </c>
      <c r="AJ808">
        <f ca="1">AJ$779/(1+$G$780)^$K$781</f>
        <v>0</v>
      </c>
      <c r="AK808">
        <f ca="1">AK$779/(1+$G$780)^$L$781</f>
        <v>0</v>
      </c>
      <c r="AL808">
        <f ca="1">AL$779/(1+$G$780)^$M$781</f>
        <v>0</v>
      </c>
      <c r="AM808">
        <f ca="1">AM$779/(1+$G$780)^$N$781</f>
        <v>0</v>
      </c>
      <c r="AN808">
        <f ca="1">AN$779/(1+$G$780)^$O$781</f>
        <v>0</v>
      </c>
      <c r="AO808">
        <f ca="1">AO$779/(1+$G$780)^$P$781</f>
        <v>0</v>
      </c>
      <c r="AP808">
        <f ca="1">AP$779/(1+$G$780)^$Q$781</f>
        <v>0</v>
      </c>
      <c r="AQ808">
        <f ca="1">AQ$779/(1+$G$780)^$R$781</f>
        <v>0</v>
      </c>
    </row>
    <row r="809" spans="7:43">
      <c r="G809" s="480">
        <f t="shared" ca="1" si="405"/>
        <v>2025</v>
      </c>
      <c r="H809">
        <f t="shared" ca="1" si="386"/>
        <v>0</v>
      </c>
      <c r="AI809">
        <f ca="1">AI$779/(1+$G$780)^$I$781</f>
        <v>0</v>
      </c>
      <c r="AJ809">
        <f ca="1">AJ$779/(1+$G$780)^$J$781</f>
        <v>0</v>
      </c>
      <c r="AK809">
        <f ca="1">AK$779/(1+$G$780)^$K$781</f>
        <v>0</v>
      </c>
      <c r="AL809">
        <f ca="1">AL$779/(1+$G$780)^$L$781</f>
        <v>0</v>
      </c>
      <c r="AM809">
        <f ca="1">AM$779/(1+$G$780)^$M$781</f>
        <v>0</v>
      </c>
      <c r="AN809">
        <f ca="1">AN$779/(1+$G$780)^$N$781</f>
        <v>0</v>
      </c>
      <c r="AO809">
        <f ca="1">AO$779/(1+$G$780)^$O$781</f>
        <v>0</v>
      </c>
      <c r="AP809">
        <f ca="1">AP$779/(1+$G$780)^$P$781</f>
        <v>0</v>
      </c>
      <c r="AQ809">
        <f ca="1">AQ$779/(1+$G$780)^$Q$781</f>
        <v>0</v>
      </c>
    </row>
    <row r="810" spans="7:43">
      <c r="G810" s="480">
        <f t="shared" ca="1" si="405"/>
        <v>2026</v>
      </c>
      <c r="H810">
        <f t="shared" ca="1" si="386"/>
        <v>0</v>
      </c>
      <c r="AJ810">
        <f ca="1">AJ$779/(1+$G$780)^$I$781</f>
        <v>0</v>
      </c>
      <c r="AK810">
        <f ca="1">AK$779/(1+$G$780)^$J$781</f>
        <v>0</v>
      </c>
      <c r="AL810">
        <f ca="1">AL$779/(1+$G$780)^$K$781</f>
        <v>0</v>
      </c>
      <c r="AM810">
        <f ca="1">AM$779/(1+$G$780)^$L$781</f>
        <v>0</v>
      </c>
      <c r="AN810">
        <f ca="1">AN$779/(1+$G$780)^$M$781</f>
        <v>0</v>
      </c>
      <c r="AO810">
        <f ca="1">AO$779/(1+$G$780)^$N$781</f>
        <v>0</v>
      </c>
      <c r="AP810">
        <f ca="1">AP$779/(1+$G$780)^$O$781</f>
        <v>0</v>
      </c>
      <c r="AQ810">
        <f ca="1">AQ$779/(1+$G$780)^$P$781</f>
        <v>0</v>
      </c>
    </row>
    <row r="811" spans="7:43">
      <c r="G811" s="480">
        <f t="shared" ca="1" si="405"/>
        <v>2027</v>
      </c>
      <c r="H811">
        <f t="shared" ca="1" si="386"/>
        <v>0</v>
      </c>
      <c r="AK811">
        <f ca="1">AK$779/(1+$G$780)^$I$781</f>
        <v>0</v>
      </c>
      <c r="AL811">
        <f ca="1">AL$779/(1+$G$780)^$J$781</f>
        <v>0</v>
      </c>
      <c r="AM811">
        <f ca="1">AM$779/(1+$G$780)^$K$781</f>
        <v>0</v>
      </c>
      <c r="AN811">
        <f ca="1">AN$779/(1+$G$780)^$L$781</f>
        <v>0</v>
      </c>
      <c r="AO811">
        <f ca="1">AO$779/(1+$G$780)^$M$781</f>
        <v>0</v>
      </c>
      <c r="AP811">
        <f ca="1">AP$779/(1+$G$780)^$N$781</f>
        <v>0</v>
      </c>
      <c r="AQ811">
        <f ca="1">AQ$779/(1+$G$780)^$O$781</f>
        <v>0</v>
      </c>
    </row>
    <row r="812" spans="7:43">
      <c r="G812" s="480">
        <f t="shared" ca="1" si="405"/>
        <v>2028</v>
      </c>
      <c r="H812">
        <f t="shared" ca="1" si="386"/>
        <v>0</v>
      </c>
      <c r="AL812">
        <f ca="1">AL$779/(1+$G$780)^$I$781</f>
        <v>0</v>
      </c>
      <c r="AM812">
        <f ca="1">AM$779/(1+$G$780)^$J$781</f>
        <v>0</v>
      </c>
      <c r="AN812">
        <f ca="1">AN$779/(1+$G$780)^$K$781</f>
        <v>0</v>
      </c>
      <c r="AO812">
        <f ca="1">AO$779/(1+$G$780)^$L$781</f>
        <v>0</v>
      </c>
      <c r="AP812">
        <f ca="1">AP$779/(1+$G$780)^$M$781</f>
        <v>0</v>
      </c>
      <c r="AQ812">
        <f ca="1">AQ$779/(1+$G$780)^$N$781</f>
        <v>0</v>
      </c>
    </row>
    <row r="813" spans="7:43">
      <c r="G813" s="480">
        <f t="shared" ca="1" si="405"/>
        <v>2029</v>
      </c>
      <c r="H813">
        <f t="shared" ca="1" si="386"/>
        <v>0</v>
      </c>
      <c r="AM813">
        <f ca="1">AM$779/(1+$G$780)^$I$781</f>
        <v>0</v>
      </c>
      <c r="AN813">
        <f ca="1">AN$779/(1+$G$780)^$J$781</f>
        <v>0</v>
      </c>
      <c r="AO813">
        <f ca="1">AO$779/(1+$G$780)^$K$781</f>
        <v>0</v>
      </c>
      <c r="AP813">
        <f ca="1">AP$779/(1+$G$780)^$L$781</f>
        <v>0</v>
      </c>
      <c r="AQ813">
        <f ca="1">AQ$779/(1+$G$780)^$M$781</f>
        <v>0</v>
      </c>
    </row>
    <row r="814" spans="7:43">
      <c r="G814" s="480">
        <f t="shared" ca="1" si="405"/>
        <v>2030</v>
      </c>
      <c r="H814">
        <f t="shared" ca="1" si="386"/>
        <v>0</v>
      </c>
      <c r="AN814">
        <f ca="1">AN$779/(1+$G$780)^$I$781</f>
        <v>0</v>
      </c>
      <c r="AO814">
        <f ca="1">AO$779/(1+$G$780)^$J$781</f>
        <v>0</v>
      </c>
      <c r="AP814">
        <f ca="1">AP$779/(1+$G$780)^$K$781</f>
        <v>0</v>
      </c>
      <c r="AQ814">
        <f ca="1">AQ$779/(1+$G$780)^$L$781</f>
        <v>0</v>
      </c>
    </row>
    <row r="815" spans="7:43">
      <c r="G815" s="480">
        <f t="shared" ca="1" si="405"/>
        <v>2031</v>
      </c>
      <c r="H815">
        <f t="shared" ca="1" si="386"/>
        <v>0</v>
      </c>
      <c r="AO815">
        <f ca="1">AO$779/(1+$G$780)^$I$781</f>
        <v>0</v>
      </c>
      <c r="AP815">
        <f ca="1">AP$779/(1+$G$780)^$J$781</f>
        <v>0</v>
      </c>
      <c r="AQ815">
        <f ca="1">AQ$779/(1+$G$780)^$K$781</f>
        <v>0</v>
      </c>
    </row>
    <row r="816" spans="7:43">
      <c r="G816" s="480">
        <f t="shared" ca="1" si="405"/>
        <v>2032</v>
      </c>
      <c r="H816">
        <f t="shared" ca="1" si="386"/>
        <v>0</v>
      </c>
      <c r="AP816">
        <f ca="1">AP$779/(1+$G$780)^$I$781</f>
        <v>0</v>
      </c>
      <c r="AQ816">
        <f ca="1">AQ$779/(1+$G$780)^$J$781</f>
        <v>0</v>
      </c>
    </row>
    <row r="817" spans="1:43">
      <c r="G817" s="480">
        <f ca="1">+G816+1</f>
        <v>2033</v>
      </c>
      <c r="H817">
        <f t="shared" ca="1" si="386"/>
        <v>0</v>
      </c>
      <c r="AQ817">
        <f ca="1">AQ$779/(1+$G$780)^$I$781</f>
        <v>0</v>
      </c>
    </row>
    <row r="818" spans="1:43">
      <c r="G818" s="337" t="s">
        <v>159</v>
      </c>
      <c r="I818">
        <f t="array" aca="1" ref="I818:AQ818" ca="1">TRANSPOSE(H783:H817)</f>
        <v>25981.585970206961</v>
      </c>
      <c r="J818">
        <f ca="1"/>
        <v>28949.447188649909</v>
      </c>
      <c r="K818">
        <f ca="1"/>
        <v>25153.736970107795</v>
      </c>
      <c r="L818">
        <f ca="1"/>
        <v>22326.714367614684</v>
      </c>
      <c r="M818">
        <f ca="1"/>
        <v>19646.885569366845</v>
      </c>
      <c r="N818">
        <f ca="1"/>
        <v>16945.286965218347</v>
      </c>
      <c r="O818">
        <f ca="1"/>
        <v>14657.184207398757</v>
      </c>
      <c r="P818">
        <f ca="1"/>
        <v>12582.421826927597</v>
      </c>
      <c r="Q818">
        <f ca="1"/>
        <v>10790.935908456577</v>
      </c>
      <c r="R818">
        <f ca="1"/>
        <v>9233.2251448031548</v>
      </c>
      <c r="S818">
        <f ca="1"/>
        <v>7860.3482502881752</v>
      </c>
      <c r="T818">
        <f ca="1"/>
        <v>6633.2146963891664</v>
      </c>
      <c r="U818">
        <f ca="1"/>
        <v>5545.3144978648688</v>
      </c>
      <c r="V818">
        <f ca="1"/>
        <v>4568.4201761127706</v>
      </c>
      <c r="W818">
        <f ca="1"/>
        <v>3707.2114264538727</v>
      </c>
      <c r="X818">
        <f ca="1"/>
        <v>2922.2520905186907</v>
      </c>
      <c r="Y818">
        <f ca="1"/>
        <v>2226.0178949980514</v>
      </c>
      <c r="Z818">
        <f ca="1"/>
        <v>1612.2128188041036</v>
      </c>
      <c r="AA818">
        <f ca="1"/>
        <v>1118.6202425801096</v>
      </c>
      <c r="AB818">
        <f ca="1"/>
        <v>700.07627327562614</v>
      </c>
      <c r="AC818">
        <f ca="1"/>
        <v>337.45790816657711</v>
      </c>
      <c r="AD818">
        <f ca="1"/>
        <v>0</v>
      </c>
      <c r="AE818">
        <f ca="1"/>
        <v>0</v>
      </c>
      <c r="AF818">
        <f ca="1"/>
        <v>0</v>
      </c>
      <c r="AG818">
        <f ca="1"/>
        <v>0</v>
      </c>
      <c r="AH818">
        <f ca="1"/>
        <v>0</v>
      </c>
      <c r="AI818">
        <f ca="1"/>
        <v>0</v>
      </c>
      <c r="AJ818">
        <f ca="1"/>
        <v>0</v>
      </c>
      <c r="AK818">
        <f ca="1"/>
        <v>0</v>
      </c>
      <c r="AL818">
        <f ca="1"/>
        <v>0</v>
      </c>
      <c r="AM818">
        <f ca="1"/>
        <v>0</v>
      </c>
      <c r="AN818">
        <f ca="1"/>
        <v>0</v>
      </c>
      <c r="AO818">
        <f ca="1"/>
        <v>0</v>
      </c>
      <c r="AP818">
        <f ca="1"/>
        <v>0</v>
      </c>
      <c r="AQ818">
        <f ca="1"/>
        <v>0</v>
      </c>
    </row>
    <row r="819" spans="1:43">
      <c r="G819" s="732" t="s">
        <v>578</v>
      </c>
      <c r="I819">
        <f ca="1">+GC!I343</f>
        <v>6321.962414942509</v>
      </c>
      <c r="J819">
        <f ca="1">+GC!J343</f>
        <v>25732.18657120215</v>
      </c>
      <c r="K819">
        <f ca="1">+GC!K343</f>
        <v>39922.512961074259</v>
      </c>
      <c r="L819">
        <f ca="1">+GC!L343</f>
        <v>52938.365412493607</v>
      </c>
      <c r="M819">
        <f ca="1">+GC!M343</f>
        <v>64324.058723103226</v>
      </c>
      <c r="N819">
        <f ca="1">+GC!N343</f>
        <v>73760.01325755936</v>
      </c>
      <c r="O819">
        <f ca="1">+GC!O343</f>
        <v>79950.67194342264</v>
      </c>
      <c r="P819">
        <f ca="1">+GC!P343</f>
        <v>88259.982646039207</v>
      </c>
      <c r="Q819">
        <f ca="1">+GC!Q343</f>
        <v>84661.350820499953</v>
      </c>
      <c r="R819">
        <f ca="1">+GC!R343</f>
        <v>70940.682370903625</v>
      </c>
      <c r="S819">
        <f ca="1">+GC!S343</f>
        <v>58192.009093210174</v>
      </c>
      <c r="T819">
        <f ca="1">+GC!T343</f>
        <v>46740.229956402538</v>
      </c>
      <c r="U819">
        <f ca="1">+GC!U343</f>
        <v>36934.068328619993</v>
      </c>
      <c r="V819">
        <f ca="1">+GC!V343</f>
        <v>28995.598950711494</v>
      </c>
      <c r="W819">
        <f ca="1">+GC!W343</f>
        <v>22589.820425887719</v>
      </c>
      <c r="X819">
        <f ca="1">+GC!X343</f>
        <v>17400.178294875885</v>
      </c>
      <c r="Y819">
        <f ca="1">+GC!Y343</f>
        <v>13097.882023767641</v>
      </c>
      <c r="Z819">
        <f ca="1">+GC!Z343</f>
        <v>9509.9546912695296</v>
      </c>
      <c r="AA819">
        <f ca="1">+GC!AA343</f>
        <v>6522.224600947914</v>
      </c>
      <c r="AB819">
        <f ca="1">+GC!AB343</f>
        <v>4006.4381947444117</v>
      </c>
      <c r="AC819">
        <f ca="1">+GC!AC343</f>
        <v>1858.6176457718066</v>
      </c>
      <c r="AD819">
        <f>+GC!AD343</f>
        <v>0</v>
      </c>
      <c r="AE819">
        <f>+GC!AE343</f>
        <v>0</v>
      </c>
      <c r="AF819">
        <f>+GC!AF343</f>
        <v>0</v>
      </c>
      <c r="AG819">
        <f>+GC!AG343</f>
        <v>0</v>
      </c>
      <c r="AH819">
        <f>+GC!AH343</f>
        <v>0</v>
      </c>
      <c r="AI819">
        <f>+GC!AI343</f>
        <v>0</v>
      </c>
      <c r="AJ819">
        <f>+GC!AJ343</f>
        <v>0</v>
      </c>
      <c r="AK819">
        <f>+GC!AK343</f>
        <v>0</v>
      </c>
      <c r="AL819">
        <f>+GC!AL343</f>
        <v>0</v>
      </c>
      <c r="AM819">
        <f>+GC!AM343</f>
        <v>0</v>
      </c>
      <c r="AN819">
        <f>+GC!AN343</f>
        <v>0</v>
      </c>
      <c r="AO819">
        <f>+GC!AO343</f>
        <v>0</v>
      </c>
      <c r="AP819">
        <f>+GC!AP343</f>
        <v>0</v>
      </c>
      <c r="AQ819">
        <f>+GC!AQ343</f>
        <v>0</v>
      </c>
    </row>
    <row r="820" spans="1:43" ht="12" thickBot="1">
      <c r="G820" s="15" t="s">
        <v>345</v>
      </c>
      <c r="I820" s="765">
        <f ca="1">+I819+I818</f>
        <v>32303.548385149472</v>
      </c>
      <c r="J820" s="765">
        <f t="shared" ref="J820:Y820" ca="1" si="406">+J819+J818</f>
        <v>54681.633759852062</v>
      </c>
      <c r="K820" s="765">
        <f t="shared" ca="1" si="406"/>
        <v>65076.249931182057</v>
      </c>
      <c r="L820" s="765">
        <f t="shared" ca="1" si="406"/>
        <v>75265.079780108295</v>
      </c>
      <c r="M820" s="765">
        <f t="shared" ca="1" si="406"/>
        <v>83970.944292470071</v>
      </c>
      <c r="N820" s="765">
        <f t="shared" ca="1" si="406"/>
        <v>90705.300222777703</v>
      </c>
      <c r="O820" s="765">
        <f t="shared" ca="1" si="406"/>
        <v>94607.856150821404</v>
      </c>
      <c r="P820" s="765">
        <f t="shared" ca="1" si="406"/>
        <v>100842.40447296681</v>
      </c>
      <c r="Q820" s="765">
        <f t="shared" ca="1" si="406"/>
        <v>95452.286728956533</v>
      </c>
      <c r="R820" s="765">
        <f t="shared" ca="1" si="406"/>
        <v>80173.907515706785</v>
      </c>
      <c r="S820" s="765">
        <f t="shared" ca="1" si="406"/>
        <v>66052.357343498355</v>
      </c>
      <c r="T820" s="765">
        <f t="shared" ca="1" si="406"/>
        <v>53373.444652791703</v>
      </c>
      <c r="U820" s="765">
        <f t="shared" ca="1" si="406"/>
        <v>42479.382826484863</v>
      </c>
      <c r="V820" s="765">
        <f t="shared" ca="1" si="406"/>
        <v>33564.019126824263</v>
      </c>
      <c r="W820" s="765">
        <f t="shared" ca="1" si="406"/>
        <v>26297.031852341592</v>
      </c>
      <c r="X820" s="765">
        <f t="shared" ca="1" si="406"/>
        <v>20322.430385394575</v>
      </c>
      <c r="Y820" s="765">
        <f t="shared" ca="1" si="406"/>
        <v>15323.899918765692</v>
      </c>
      <c r="Z820" s="765">
        <f t="shared" ref="Z820:AO820" ca="1" si="407">+Z819+Z818</f>
        <v>11122.167510073634</v>
      </c>
      <c r="AA820" s="765">
        <f t="shared" ca="1" si="407"/>
        <v>7640.8448435280234</v>
      </c>
      <c r="AB820" s="765">
        <f t="shared" ca="1" si="407"/>
        <v>4706.5144680200374</v>
      </c>
      <c r="AC820" s="765">
        <f t="shared" ca="1" si="407"/>
        <v>2196.0755539383836</v>
      </c>
      <c r="AD820" s="765">
        <f t="shared" ca="1" si="407"/>
        <v>0</v>
      </c>
      <c r="AE820" s="765">
        <f t="shared" ca="1" si="407"/>
        <v>0</v>
      </c>
      <c r="AF820" s="765">
        <f t="shared" ca="1" si="407"/>
        <v>0</v>
      </c>
      <c r="AG820" s="765">
        <f t="shared" ca="1" si="407"/>
        <v>0</v>
      </c>
      <c r="AH820" s="765">
        <f t="shared" ca="1" si="407"/>
        <v>0</v>
      </c>
      <c r="AI820" s="765">
        <f t="shared" ca="1" si="407"/>
        <v>0</v>
      </c>
      <c r="AJ820" s="765">
        <f t="shared" ca="1" si="407"/>
        <v>0</v>
      </c>
      <c r="AK820" s="765">
        <f t="shared" ca="1" si="407"/>
        <v>0</v>
      </c>
      <c r="AL820" s="765">
        <f t="shared" ca="1" si="407"/>
        <v>0</v>
      </c>
      <c r="AM820" s="765">
        <f t="shared" ca="1" si="407"/>
        <v>0</v>
      </c>
      <c r="AN820" s="765">
        <f t="shared" ca="1" si="407"/>
        <v>0</v>
      </c>
      <c r="AO820" s="765">
        <f t="shared" ca="1" si="407"/>
        <v>0</v>
      </c>
      <c r="AP820" s="765">
        <f ca="1">+AP819+AP818</f>
        <v>0</v>
      </c>
      <c r="AQ820" s="765">
        <f ca="1">+AQ819+AQ818</f>
        <v>0</v>
      </c>
    </row>
    <row r="821" spans="1:43" ht="12" thickTop="1"/>
    <row r="822" spans="1:43" ht="12" thickBot="1">
      <c r="A822" s="302"/>
      <c r="B822" s="302"/>
      <c r="C822" s="302"/>
      <c r="D822" s="302"/>
      <c r="E822" s="302"/>
      <c r="F822" s="302"/>
      <c r="G822" s="302"/>
      <c r="H822" s="302"/>
      <c r="I822" s="302"/>
      <c r="J822" s="302"/>
      <c r="K822" s="302"/>
      <c r="L822" s="302"/>
      <c r="M822" s="302"/>
      <c r="N822" s="302"/>
      <c r="O822" s="302"/>
      <c r="P822" s="302"/>
      <c r="Q822" s="302"/>
      <c r="R822" s="302"/>
      <c r="S822" s="302"/>
      <c r="T822" s="302"/>
      <c r="U822" s="302"/>
      <c r="V822" s="302"/>
      <c r="W822" s="302"/>
      <c r="X822" s="302"/>
      <c r="Y822" s="302"/>
      <c r="Z822" s="302"/>
      <c r="AA822" s="302"/>
      <c r="AB822" s="302"/>
      <c r="AC822" s="302"/>
    </row>
    <row r="823" spans="1:43" ht="12" thickTop="1"/>
    <row r="824" spans="1:43">
      <c r="A824" s="15" t="s">
        <v>579</v>
      </c>
      <c r="E824" s="339" t="s">
        <v>580</v>
      </c>
      <c r="G824" s="219">
        <v>2000</v>
      </c>
    </row>
    <row r="825" spans="1:43">
      <c r="E825" s="339" t="s">
        <v>581</v>
      </c>
      <c r="I825" s="637">
        <v>1</v>
      </c>
      <c r="J825" s="637">
        <v>2</v>
      </c>
      <c r="K825" s="637">
        <v>3</v>
      </c>
      <c r="L825" s="637">
        <v>4</v>
      </c>
      <c r="M825" s="637">
        <v>5</v>
      </c>
      <c r="N825" s="637">
        <v>6</v>
      </c>
      <c r="O825" s="637">
        <v>7</v>
      </c>
      <c r="P825" s="637">
        <v>8</v>
      </c>
      <c r="Q825" s="637">
        <v>9</v>
      </c>
      <c r="R825" s="637">
        <v>10</v>
      </c>
      <c r="S825" s="637">
        <v>11</v>
      </c>
      <c r="T825" s="637">
        <v>12</v>
      </c>
      <c r="U825" s="637">
        <v>13</v>
      </c>
      <c r="V825" s="637">
        <v>14</v>
      </c>
      <c r="W825" s="637">
        <v>15</v>
      </c>
      <c r="X825" s="637">
        <v>16</v>
      </c>
      <c r="Y825" s="637">
        <v>17</v>
      </c>
      <c r="Z825" s="637">
        <v>18</v>
      </c>
      <c r="AA825" s="637">
        <v>19</v>
      </c>
      <c r="AB825" s="637">
        <v>20</v>
      </c>
      <c r="AC825" s="637">
        <v>21</v>
      </c>
    </row>
    <row r="826" spans="1:43">
      <c r="E826" s="339" t="s">
        <v>582</v>
      </c>
      <c r="G826" s="665">
        <v>0</v>
      </c>
      <c r="I826" s="339" t="s">
        <v>583</v>
      </c>
    </row>
    <row r="829" spans="1:43" ht="12" thickBot="1">
      <c r="A829" s="302"/>
      <c r="B829" s="302"/>
      <c r="C829" s="302"/>
      <c r="D829" s="302"/>
      <c r="E829" s="302"/>
      <c r="F829" s="302"/>
      <c r="G829" s="302"/>
      <c r="H829" s="302"/>
      <c r="I829" s="302"/>
      <c r="J829" s="302"/>
      <c r="K829" s="302"/>
      <c r="L829" s="302"/>
      <c r="M829" s="302"/>
      <c r="N829" s="302"/>
      <c r="O829" s="302"/>
      <c r="P829" s="302"/>
      <c r="Q829" s="302"/>
      <c r="R829" s="302"/>
      <c r="S829" s="302"/>
      <c r="T829" s="302"/>
      <c r="U829" s="302"/>
      <c r="V829" s="302"/>
      <c r="W829" s="302"/>
      <c r="X829" s="302"/>
      <c r="Y829" s="302"/>
      <c r="Z829" s="302"/>
      <c r="AA829" s="302"/>
      <c r="AB829" s="302"/>
      <c r="AC829" s="302"/>
    </row>
    <row r="830" spans="1:43" ht="12" thickTop="1">
      <c r="A830" s="637"/>
      <c r="B830" s="637"/>
      <c r="C830" s="637"/>
      <c r="D830" s="637"/>
      <c r="E830" s="637"/>
      <c r="F830" s="638"/>
      <c r="G830" s="637"/>
      <c r="H830" s="637"/>
      <c r="I830" s="637"/>
      <c r="J830" s="637"/>
      <c r="K830" s="637"/>
      <c r="L830" s="637"/>
      <c r="M830" s="637"/>
      <c r="N830" s="637"/>
      <c r="O830" s="637"/>
      <c r="P830" s="637"/>
      <c r="Q830" s="637"/>
      <c r="R830" s="637"/>
      <c r="S830" s="637"/>
      <c r="T830" s="637"/>
      <c r="U830" s="637"/>
      <c r="V830" s="637"/>
      <c r="W830" s="637"/>
      <c r="X830" s="637"/>
      <c r="Y830" s="637"/>
      <c r="Z830" s="637"/>
      <c r="AA830" s="637"/>
      <c r="AB830" s="637"/>
      <c r="AC830" s="637"/>
    </row>
    <row r="831" spans="1:43">
      <c r="A831" s="636" t="s">
        <v>346</v>
      </c>
      <c r="B831" s="637"/>
      <c r="C831" s="637"/>
      <c r="D831" s="637"/>
      <c r="E831" s="637"/>
      <c r="F831" s="637"/>
      <c r="G831" s="637"/>
      <c r="H831" s="637"/>
      <c r="I831" s="637"/>
      <c r="J831" s="637"/>
      <c r="K831" s="637"/>
      <c r="L831" s="637"/>
      <c r="M831" s="637"/>
      <c r="N831" s="637"/>
      <c r="O831" s="637"/>
      <c r="P831" s="637"/>
      <c r="Q831" s="637"/>
      <c r="R831" s="637"/>
      <c r="S831" s="637"/>
      <c r="T831" s="637"/>
      <c r="U831" s="637"/>
      <c r="V831" s="637"/>
      <c r="W831" s="637"/>
      <c r="X831" s="637"/>
      <c r="Y831" s="637"/>
      <c r="Z831" s="637"/>
      <c r="AA831" s="637"/>
      <c r="AB831" s="637"/>
      <c r="AC831" s="637"/>
    </row>
    <row r="832" spans="1:43">
      <c r="A832" s="637"/>
      <c r="B832" s="638" t="s">
        <v>347</v>
      </c>
      <c r="C832" s="637"/>
      <c r="D832" s="637"/>
      <c r="E832" s="637">
        <f>+E718</f>
        <v>0</v>
      </c>
      <c r="F832" s="637">
        <f>+F718</f>
        <v>0</v>
      </c>
      <c r="G832" s="637">
        <f>+G718</f>
        <v>0</v>
      </c>
      <c r="H832" s="637">
        <f>+H718</f>
        <v>0</v>
      </c>
      <c r="I832" s="637">
        <f>IF($A$2=TRUE,+I718+GC!I348,+I718)</f>
        <v>-515.87756577331356</v>
      </c>
      <c r="J832" s="637">
        <f ca="1">IF($A$2=TRUE,+J718+GC!J348,+J718)</f>
        <v>6790.5296238597939</v>
      </c>
      <c r="K832" s="637">
        <f ca="1">IF($A$2=TRUE,+K718+GC!K348,+K718)</f>
        <v>5417.5924313748037</v>
      </c>
      <c r="L832" s="637">
        <f ca="1">IF($A$2=TRUE,+L718+GC!L348,+L718)</f>
        <v>4984.6004151312054</v>
      </c>
      <c r="M832" s="637">
        <f ca="1">IF($A$2=TRUE,+M718+GC!M348,+M718)</f>
        <v>4628.8143001151384</v>
      </c>
      <c r="N832" s="637">
        <f ca="1">IF($A$2=TRUE,+N718+GC!N348,+N718)</f>
        <v>4178.0147730888311</v>
      </c>
      <c r="O832" s="637">
        <f ca="1">IF($A$2=TRUE,+O718+GC!O348,+O718)</f>
        <v>3639.3785476709422</v>
      </c>
      <c r="P832" s="637">
        <f ca="1">IF($A$2=TRUE,+P718+GC!P348,+P718)</f>
        <v>3122.9489386656724</v>
      </c>
      <c r="Q832" s="637">
        <f ca="1">IF($A$2=TRUE,+Q718+GC!Q348,+Q718)</f>
        <v>2732.3324514220212</v>
      </c>
      <c r="R832" s="637">
        <f ca="1">IF($A$2=TRUE,+R718+GC!R348,+R718)</f>
        <v>2374.1924905099418</v>
      </c>
      <c r="S832" s="637">
        <f ca="1">IF($A$2=TRUE,+S718+GC!S348,+S718)</f>
        <v>2069.4848242550606</v>
      </c>
      <c r="T832" s="637">
        <f ca="1">IF($A$2=TRUE,+T718+GC!T348,+T718)</f>
        <v>1805.7362655736702</v>
      </c>
      <c r="U832" s="637">
        <f ca="1">IF($A$2=TRUE,+U718+GC!U348,+U718)</f>
        <v>1585.0876602653127</v>
      </c>
      <c r="V832" s="637">
        <f ca="1">IF($A$2=TRUE,+V718+GC!V348,+V718)</f>
        <v>1369.8736788234223</v>
      </c>
      <c r="W832" s="637">
        <f ca="1">IF($A$2=TRUE,+W718+GC!W348,+W718)</f>
        <v>1184.6961665649494</v>
      </c>
      <c r="X832" s="637">
        <f ca="1">IF($A$2=TRUE,+X718+GC!X348,+X718)</f>
        <v>1016.5665713882831</v>
      </c>
      <c r="Y832" s="637">
        <f ca="1">IF($A$2=TRUE,+Y718+GC!Y348,+Y718)</f>
        <v>848.49570511276215</v>
      </c>
      <c r="Z832" s="637">
        <f ca="1">IF($A$2=TRUE,+Z718+GC!Z348,+Z718)</f>
        <v>659.69668918480602</v>
      </c>
      <c r="AA832" s="637">
        <f ca="1">IF($A$2=TRUE,+AA718+GC!AA348,+AA718)</f>
        <v>534.30737633167575</v>
      </c>
      <c r="AB832" s="637">
        <f ca="1">IF($A$2=TRUE,+AB718+GC!AB348,+AB718)</f>
        <v>435.24692068599745</v>
      </c>
      <c r="AC832" s="637">
        <f ca="1">IF($A$2=TRUE,+AC718+GC!AC348,+AC718)</f>
        <v>380.6115233955872</v>
      </c>
    </row>
    <row r="833" spans="1:29">
      <c r="A833" s="637"/>
      <c r="B833" s="637" t="s">
        <v>348</v>
      </c>
      <c r="C833" s="637"/>
      <c r="D833" s="637"/>
      <c r="E833" s="637">
        <f>+E745</f>
        <v>0</v>
      </c>
      <c r="F833" s="637">
        <f>+F745</f>
        <v>0</v>
      </c>
      <c r="G833" s="637">
        <f>+G745</f>
        <v>0</v>
      </c>
      <c r="H833" s="637">
        <f>+H745</f>
        <v>0</v>
      </c>
      <c r="I833" s="637">
        <f ca="1">IF($A$2=TRUE,+I745+GC!I349,+I745)</f>
        <v>-37.471736051144838</v>
      </c>
      <c r="J833" s="637">
        <f ca="1">IF($A$2=TRUE,+J745+GC!J349,+J745)</f>
        <v>668.32672539510099</v>
      </c>
      <c r="K833" s="637">
        <f ca="1">IF($A$2=TRUE,+K745+GC!K349,+K745)</f>
        <v>542.016503686482</v>
      </c>
      <c r="L833" s="637">
        <f ca="1">IF($A$2=TRUE,+L745+GC!L349,+L745)</f>
        <v>502.18123819207096</v>
      </c>
      <c r="M833" s="637">
        <f ca="1">IF($A$2=TRUE,+M745+GC!M349,+M745)</f>
        <v>469.44891561059273</v>
      </c>
      <c r="N833" s="637">
        <f ca="1">IF($A$2=TRUE,+N745+GC!N349,+N745)</f>
        <v>427.97535912417243</v>
      </c>
      <c r="O833" s="637">
        <f ca="1">IF($A$2=TRUE,+O745+GC!O349,+O745)</f>
        <v>378.42082638572674</v>
      </c>
      <c r="P833" s="637">
        <f ca="1">IF($A$2=TRUE,+P745+GC!P349,+P745)</f>
        <v>330.90930235724181</v>
      </c>
      <c r="Q833" s="637">
        <f ca="1">IF($A$2=TRUE,+Q745+GC!Q349,+Q745)</f>
        <v>307.21458553082596</v>
      </c>
      <c r="R833" s="637">
        <f ca="1">IF($A$2=TRUE,+R745+GC!R349,+R745)</f>
        <v>276.72070912691458</v>
      </c>
      <c r="S833" s="637">
        <f ca="1">IF($A$2=TRUE,+S745+GC!S349,+S745)</f>
        <v>230.26860383146555</v>
      </c>
      <c r="T833" s="637">
        <f ca="1">IF($A$2=TRUE,+T745+GC!T349,+T745)</f>
        <v>206.00373643277769</v>
      </c>
      <c r="U833" s="637">
        <f ca="1">IF($A$2=TRUE,+U745+GC!U349,+U745)</f>
        <v>185.70406474440875</v>
      </c>
      <c r="V833" s="637">
        <f ca="1">IF($A$2=TRUE,+V745+GC!V349,+V745)</f>
        <v>165.90437845175484</v>
      </c>
      <c r="W833" s="637">
        <f ca="1">IF($A$2=TRUE,+W745+GC!W349,+W745)</f>
        <v>128.54904732397534</v>
      </c>
      <c r="X833" s="637">
        <f ca="1">IF($A$2=TRUE,+X745+GC!X349,+X745)</f>
        <v>113.08112456772207</v>
      </c>
      <c r="Y833" s="637">
        <f ca="1">IF($A$2=TRUE,+Y745+GC!Y349,+Y745)</f>
        <v>82.921604870374111</v>
      </c>
      <c r="Z833" s="637">
        <f ca="1">IF($A$2=TRUE,+Z745+GC!Z349,+Z745)</f>
        <v>60.692095405002149</v>
      </c>
      <c r="AA833" s="637">
        <f ca="1">IF($A$2=TRUE,+AA745+GC!AA349,+AA745)</f>
        <v>49.156278622514172</v>
      </c>
      <c r="AB833" s="637">
        <f ca="1">IF($A$2=TRUE,+AB745+GC!AB349,+AB745)</f>
        <v>40.042716703111765</v>
      </c>
      <c r="AC833" s="637">
        <f ca="1">IF($A$2=TRUE,+AC745+GC!AC349,+AC745)</f>
        <v>35.016260152394025</v>
      </c>
    </row>
    <row r="834" spans="1:29">
      <c r="A834" s="637"/>
      <c r="B834" s="639" t="s">
        <v>349</v>
      </c>
      <c r="C834" s="637"/>
      <c r="D834" s="637"/>
      <c r="E834" s="637">
        <f>+E766</f>
        <v>0</v>
      </c>
      <c r="F834" s="637">
        <f>+F766</f>
        <v>0</v>
      </c>
      <c r="G834" s="637">
        <f>+G766</f>
        <v>0</v>
      </c>
      <c r="H834" s="637">
        <f>+H766</f>
        <v>0</v>
      </c>
      <c r="I834" s="637">
        <f ca="1">IF($A$2=TRUE,+I766+GC!I350,+I766)</f>
        <v>0</v>
      </c>
      <c r="J834" s="637">
        <f ca="1">IF($A$2=TRUE,+J766+GC!J350,+J766)</f>
        <v>0</v>
      </c>
      <c r="K834" s="637">
        <f ca="1">IF($A$2=TRUE,+K766+GC!K350,+K766)</f>
        <v>0</v>
      </c>
      <c r="L834" s="637">
        <f ca="1">IF($A$2=TRUE,+L766+GC!L350,+L766)</f>
        <v>0</v>
      </c>
      <c r="M834" s="637">
        <f ca="1">IF($A$2=TRUE,+M766+GC!M350,+M766)</f>
        <v>0</v>
      </c>
      <c r="N834" s="637">
        <f ca="1">IF($A$2=TRUE,+N766+GC!N350,+N766)</f>
        <v>0</v>
      </c>
      <c r="O834" s="637">
        <f ca="1">IF($A$2=TRUE,+O766+GC!O350,+O766)</f>
        <v>0</v>
      </c>
      <c r="P834" s="637">
        <f ca="1">IF($A$2=TRUE,+P766+GC!P350,+P766)</f>
        <v>0</v>
      </c>
      <c r="Q834" s="637">
        <f ca="1">IF($A$2=TRUE,+Q766+GC!Q350,+Q766)</f>
        <v>0</v>
      </c>
      <c r="R834" s="637">
        <f ca="1">IF($A$2=TRUE,+R766+GC!R350,+R766)</f>
        <v>0</v>
      </c>
      <c r="S834" s="637">
        <f ca="1">IF($A$2=TRUE,+S766+GC!S350,+S766)</f>
        <v>0</v>
      </c>
      <c r="T834" s="637">
        <f ca="1">IF($A$2=TRUE,+T766+GC!T350,+T766)</f>
        <v>0</v>
      </c>
      <c r="U834" s="637">
        <f ca="1">IF($A$2=TRUE,+U766+GC!U350,+U766)</f>
        <v>0</v>
      </c>
      <c r="V834" s="637">
        <f ca="1">IF($A$2=TRUE,+V766+GC!V350,+V766)</f>
        <v>0</v>
      </c>
      <c r="W834" s="637">
        <f ca="1">IF($A$2=TRUE,+W766+GC!W350,+W766)</f>
        <v>0</v>
      </c>
      <c r="X834" s="637">
        <f ca="1">IF($A$2=TRUE,+X766+GC!X350,+X766)</f>
        <v>0</v>
      </c>
      <c r="Y834" s="637">
        <f ca="1">IF($A$2=TRUE,+Y766+GC!Y350,+Y766)</f>
        <v>0</v>
      </c>
      <c r="Z834" s="637">
        <f ca="1">IF($A$2=TRUE,+Z766+GC!Z350,+Z766)</f>
        <v>0</v>
      </c>
      <c r="AA834" s="637">
        <f ca="1">IF($A$2=TRUE,+AA766+GC!AA350,+AA766)</f>
        <v>0</v>
      </c>
      <c r="AB834" s="637">
        <f ca="1">IF($A$2=TRUE,+AB766+GC!AB350,+AB766)</f>
        <v>0</v>
      </c>
      <c r="AC834" s="637">
        <f ca="1">IF($A$2=TRUE,+AC766+GC!AC350,+AC766)</f>
        <v>0</v>
      </c>
    </row>
    <row r="835" spans="1:29">
      <c r="A835" s="637"/>
      <c r="B835" s="640" t="s">
        <v>350</v>
      </c>
      <c r="C835" s="641"/>
      <c r="D835" s="637"/>
      <c r="E835" s="637"/>
      <c r="F835" s="637"/>
      <c r="G835" s="637"/>
      <c r="H835" s="637"/>
      <c r="I835" s="637">
        <f>IF($A$2=TRUE,+I159+GC!I351,+I159)</f>
        <v>0</v>
      </c>
      <c r="J835" s="637">
        <f>IF($A$2=TRUE,+J159+GC!J351,+J159)</f>
        <v>0</v>
      </c>
      <c r="K835" s="637">
        <f>IF($A$2=TRUE,+K159+GC!K351,+K159)</f>
        <v>0</v>
      </c>
      <c r="L835" s="637">
        <f>IF($A$2=TRUE,+L159+GC!L351,+L159)</f>
        <v>0</v>
      </c>
      <c r="M835" s="637">
        <f>IF($A$2=TRUE,+M159+GC!M351,+M159)</f>
        <v>0</v>
      </c>
      <c r="N835" s="637">
        <f>IF($A$2=TRUE,+N159+GC!N351,+N159)</f>
        <v>0</v>
      </c>
      <c r="O835" s="637">
        <f>IF($A$2=TRUE,+O159+GC!O351,+O159)</f>
        <v>25.811</v>
      </c>
      <c r="P835" s="637">
        <f>IF($A$2=TRUE,+P159+GC!P351,+P159)</f>
        <v>5.5119999999999996</v>
      </c>
      <c r="Q835" s="637">
        <f>IF($A$2=TRUE,+Q159+GC!Q351,+Q159)</f>
        <v>16.2</v>
      </c>
      <c r="R835" s="637">
        <f>IF($A$2=TRUE,+R159+GC!R351,+R159)</f>
        <v>0</v>
      </c>
      <c r="S835" s="637">
        <f>IF($A$2=TRUE,+S159+GC!S351,+S159)</f>
        <v>0</v>
      </c>
      <c r="T835" s="637">
        <f>IF($A$2=TRUE,+T159+GC!T351,+T159)</f>
        <v>0</v>
      </c>
      <c r="U835" s="637">
        <f>IF($A$2=TRUE,+U159+GC!U351,+U159)</f>
        <v>0</v>
      </c>
      <c r="V835" s="637">
        <f>IF($A$2=TRUE,+V159+GC!V351,+V159)</f>
        <v>0</v>
      </c>
      <c r="W835" s="637">
        <f>IF($A$2=TRUE,+W159+GC!W351,+W159)</f>
        <v>0</v>
      </c>
      <c r="X835" s="637">
        <f>IF($A$2=TRUE,+X159+GC!X351,+X159)</f>
        <v>0</v>
      </c>
      <c r="Y835" s="637">
        <f>IF($A$2=TRUE,+Y159+GC!Y351,+Y159)</f>
        <v>0</v>
      </c>
      <c r="Z835" s="637">
        <f>IF($A$2=TRUE,+Z159+GC!Z351,+Z159)</f>
        <v>0</v>
      </c>
      <c r="AA835" s="637">
        <f>IF($A$2=TRUE,+AA159+GC!AA351,+AA159)</f>
        <v>0</v>
      </c>
      <c r="AB835" s="637">
        <f>IF($A$2=TRUE,+AB159+GC!AB351,+AB159)</f>
        <v>0</v>
      </c>
      <c r="AC835" s="637">
        <f>IF($A$2=TRUE,+AC159+GC!AC351,+AC159)</f>
        <v>0</v>
      </c>
    </row>
    <row r="836" spans="1:29">
      <c r="A836" s="637"/>
      <c r="B836" s="639" t="s">
        <v>351</v>
      </c>
      <c r="C836" s="637"/>
      <c r="D836" s="637"/>
      <c r="E836" s="637"/>
      <c r="F836" s="637"/>
      <c r="G836" s="637"/>
      <c r="H836" s="637"/>
      <c r="I836" s="637">
        <f>IF($A$2=TRUE,+I153+GC!I352,+I153)</f>
        <v>0</v>
      </c>
      <c r="J836" s="637">
        <f>IF($A$2=TRUE,+J153+GC!J352,+J153)</f>
        <v>0</v>
      </c>
      <c r="K836" s="637">
        <f>IF($A$2=TRUE,+K153+GC!K352,+K153)</f>
        <v>0</v>
      </c>
      <c r="L836" s="637">
        <f>IF($A$2=TRUE,+L153+GC!L352,+L153)</f>
        <v>0</v>
      </c>
      <c r="M836" s="637">
        <f>IF($A$2=TRUE,+M153+GC!M352,+M153)</f>
        <v>0</v>
      </c>
      <c r="N836" s="637">
        <f>IF($A$2=TRUE,+N153+GC!N352,+N153)</f>
        <v>0</v>
      </c>
      <c r="O836" s="637">
        <f>IF($A$2=TRUE,+O153+GC!O352,+O153)</f>
        <v>0</v>
      </c>
      <c r="P836" s="637">
        <f>IF($A$2=TRUE,+P153+GC!P352,+P153)</f>
        <v>0</v>
      </c>
      <c r="Q836" s="637">
        <f>IF($A$2=TRUE,+Q153+GC!Q352,+Q153)</f>
        <v>0</v>
      </c>
      <c r="R836" s="637">
        <f>IF($A$2=TRUE,+R153+GC!R352,+R153)</f>
        <v>0</v>
      </c>
      <c r="S836" s="637">
        <f>IF($A$2=TRUE,+S153+GC!S352,+S153)</f>
        <v>0</v>
      </c>
      <c r="T836" s="637">
        <f>IF($A$2=TRUE,+T153+GC!T352,+T153)</f>
        <v>0</v>
      </c>
      <c r="U836" s="637">
        <f>IF($A$2=TRUE,+U153+GC!U352,+U153)</f>
        <v>0</v>
      </c>
      <c r="V836" s="637">
        <f>IF($A$2=TRUE,+V153+GC!V352,+V153)</f>
        <v>0</v>
      </c>
      <c r="W836" s="637">
        <f>IF($A$2=TRUE,+W153+GC!W352,+W153)</f>
        <v>0</v>
      </c>
      <c r="X836" s="637">
        <f>IF($A$2=TRUE,+X153+GC!X352,+X153)</f>
        <v>0</v>
      </c>
      <c r="Y836" s="637">
        <f>IF($A$2=TRUE,+Y153+GC!Y352,+Y153)</f>
        <v>0</v>
      </c>
      <c r="Z836" s="637">
        <f>IF($A$2=TRUE,+Z153+GC!Z352,+Z153)</f>
        <v>0</v>
      </c>
      <c r="AA836" s="637">
        <f>IF($A$2=TRUE,+AA153+GC!AA352,+AA153)</f>
        <v>0</v>
      </c>
      <c r="AB836" s="637">
        <f>IF($A$2=TRUE,+AB153+GC!AB352,+AB153)</f>
        <v>0</v>
      </c>
      <c r="AC836" s="637">
        <f>IF($A$2=TRUE,+AC153+GC!AC352,+AC153)</f>
        <v>0</v>
      </c>
    </row>
    <row r="837" spans="1:29">
      <c r="A837" s="637"/>
      <c r="B837" s="639" t="s">
        <v>352</v>
      </c>
      <c r="C837" s="637"/>
      <c r="D837" s="637"/>
      <c r="E837" s="637"/>
      <c r="F837" s="637"/>
      <c r="G837" s="637"/>
      <c r="H837" s="637"/>
      <c r="I837" s="637">
        <f>IF($A$2=TRUE,+I158+GC!I353,+I158)</f>
        <v>0</v>
      </c>
      <c r="J837" s="637">
        <f>IF($A$2=TRUE,+J158+GC!J353,+J158)</f>
        <v>0</v>
      </c>
      <c r="K837" s="637">
        <f>IF($A$2=TRUE,+K158+GC!K353,+K158)</f>
        <v>0</v>
      </c>
      <c r="L837" s="637">
        <f>IF($A$2=TRUE,+L158+GC!L353,+L158)</f>
        <v>0</v>
      </c>
      <c r="M837" s="637">
        <f>IF($A$2=TRUE,+M158+GC!M353,+M158)</f>
        <v>0</v>
      </c>
      <c r="N837" s="637">
        <f>IF($A$2=TRUE,+N158+GC!N353,+N158)</f>
        <v>0</v>
      </c>
      <c r="O837" s="637">
        <f>IF($A$2=TRUE,+O158+GC!O353,+O158)</f>
        <v>0</v>
      </c>
      <c r="P837" s="637">
        <f>IF($A$2=TRUE,+P158+GC!P353,+P158)</f>
        <v>0</v>
      </c>
      <c r="Q837" s="637">
        <f>IF($A$2=TRUE,+Q158+GC!Q353,+Q158)</f>
        <v>0</v>
      </c>
      <c r="R837" s="637">
        <f>IF($A$2=TRUE,+R158+GC!R353,+R158)</f>
        <v>0</v>
      </c>
      <c r="S837" s="637">
        <f>IF($A$2=TRUE,+S158+GC!S353,+S158)</f>
        <v>0</v>
      </c>
      <c r="T837" s="637">
        <f>IF($A$2=TRUE,+T158+GC!T353,+T158)</f>
        <v>0</v>
      </c>
      <c r="U837" s="637">
        <f>IF($A$2=TRUE,+U158+GC!U353,+U158)</f>
        <v>0</v>
      </c>
      <c r="V837" s="637">
        <f>IF($A$2=TRUE,+V158+GC!V353,+V158)</f>
        <v>0</v>
      </c>
      <c r="W837" s="637">
        <f>IF($A$2=TRUE,+W158+GC!W353,+W158)</f>
        <v>0</v>
      </c>
      <c r="X837" s="637">
        <f>IF($A$2=TRUE,+X158+GC!X353,+X158)</f>
        <v>0</v>
      </c>
      <c r="Y837" s="637">
        <f>IF($A$2=TRUE,+Y158+GC!Y353,+Y158)</f>
        <v>0</v>
      </c>
      <c r="Z837" s="637">
        <f>IF($A$2=TRUE,+Z158+GC!Z353,+Z158)</f>
        <v>0</v>
      </c>
      <c r="AA837" s="637">
        <f>IF($A$2=TRUE,+AA158+GC!AA353,+AA158)</f>
        <v>0</v>
      </c>
      <c r="AB837" s="637">
        <f>IF($A$2=TRUE,+AB158+GC!AB353,+AB158)</f>
        <v>0</v>
      </c>
      <c r="AC837" s="637">
        <f>IF($A$2=TRUE,+AC158+GC!AC353,+AC158)</f>
        <v>0</v>
      </c>
    </row>
    <row r="838" spans="1:29">
      <c r="A838" s="637"/>
      <c r="B838" s="642" t="s">
        <v>353</v>
      </c>
      <c r="C838" s="642"/>
      <c r="D838" s="637"/>
      <c r="E838" s="637"/>
      <c r="F838" s="637"/>
      <c r="G838" s="637"/>
      <c r="H838" s="637"/>
      <c r="I838" s="637">
        <f>IF($A$2=TRUE,+I157+GC!I354,+I157)</f>
        <v>0</v>
      </c>
      <c r="J838" s="637">
        <f>IF($A$2=TRUE,+J157+GC!J354,+J157)</f>
        <v>0</v>
      </c>
      <c r="K838" s="637">
        <f>IF($A$2=TRUE,+K157+GC!K354,+K157)</f>
        <v>0</v>
      </c>
      <c r="L838" s="637">
        <f>IF($A$2=TRUE,+L157+GC!L354,+L157)</f>
        <v>0</v>
      </c>
      <c r="M838" s="637">
        <f>IF($A$2=TRUE,+M157+GC!M354,+M157)</f>
        <v>0</v>
      </c>
      <c r="N838" s="637">
        <f>IF($A$2=TRUE,+N157+GC!N354,+N157)</f>
        <v>0</v>
      </c>
      <c r="O838" s="637">
        <f>IF($A$2=TRUE,+O157+GC!O354,+O157)</f>
        <v>0</v>
      </c>
      <c r="P838" s="637">
        <f>IF($A$2=TRUE,+P157+GC!P354,+P157)</f>
        <v>0</v>
      </c>
      <c r="Q838" s="637">
        <f>IF($A$2=TRUE,+Q157+GC!Q354,+Q157)</f>
        <v>0</v>
      </c>
      <c r="R838" s="637">
        <f>IF($A$2=TRUE,+R157+GC!R354,+R157)</f>
        <v>0</v>
      </c>
      <c r="S838" s="637">
        <f>IF($A$2=TRUE,+S157+GC!S354,+S157)</f>
        <v>0</v>
      </c>
      <c r="T838" s="637">
        <f>IF($A$2=TRUE,+T157+GC!T354,+T157)</f>
        <v>0</v>
      </c>
      <c r="U838" s="637">
        <f>IF($A$2=TRUE,+U157+GC!U354,+U157)</f>
        <v>0</v>
      </c>
      <c r="V838" s="637">
        <f>IF($A$2=TRUE,+V157+GC!V354,+V157)</f>
        <v>0</v>
      </c>
      <c r="W838" s="637">
        <f>IF($A$2=TRUE,+W157+GC!W354,+W157)</f>
        <v>0</v>
      </c>
      <c r="X838" s="637">
        <f>IF($A$2=TRUE,+X157+GC!X354,+X157)</f>
        <v>0</v>
      </c>
      <c r="Y838" s="637">
        <f>IF($A$2=TRUE,+Y157+GC!Y354,+Y157)</f>
        <v>0</v>
      </c>
      <c r="Z838" s="637">
        <f>IF($A$2=TRUE,+Z157+GC!Z354,+Z157)</f>
        <v>0</v>
      </c>
      <c r="AA838" s="637">
        <f>IF($A$2=TRUE,+AA157+GC!AA354,+AA157)</f>
        <v>0</v>
      </c>
      <c r="AB838" s="637">
        <f>IF($A$2=TRUE,+AB157+GC!AB354,+AB157)</f>
        <v>0</v>
      </c>
      <c r="AC838" s="637">
        <f>IF($A$2=TRUE,+AC157+GC!AC354,+AC157)</f>
        <v>0</v>
      </c>
    </row>
    <row r="839" spans="1:29">
      <c r="A839" s="637"/>
      <c r="B839" s="637" t="s">
        <v>354</v>
      </c>
      <c r="C839" s="637"/>
      <c r="D839" s="637"/>
      <c r="E839" s="637">
        <f>+E165</f>
        <v>0</v>
      </c>
      <c r="F839" s="637">
        <f>+F165</f>
        <v>0</v>
      </c>
      <c r="G839" s="637">
        <f>+G165</f>
        <v>0</v>
      </c>
      <c r="H839" s="637">
        <f>+H165</f>
        <v>0</v>
      </c>
      <c r="I839" s="637">
        <f>IF($A$2=TRUE,+I165+GC!I355,+I165)</f>
        <v>0</v>
      </c>
      <c r="J839" s="637">
        <f>IF($A$2=TRUE,+J165+GC!J355,+J165)</f>
        <v>0</v>
      </c>
      <c r="K839" s="637">
        <f>IF($A$2=TRUE,+K165+GC!K355,+K165)</f>
        <v>0</v>
      </c>
      <c r="L839" s="637">
        <f>IF($A$2=TRUE,+L165+GC!L355,+L165)</f>
        <v>0</v>
      </c>
      <c r="M839" s="637">
        <f>IF($A$2=TRUE,+M165+GC!M355,+M165)</f>
        <v>0</v>
      </c>
      <c r="N839" s="637">
        <f>IF($A$2=TRUE,+N165+GC!N355,+N165)</f>
        <v>0</v>
      </c>
      <c r="O839" s="637">
        <f>IF($A$2=TRUE,+O165+GC!O355,+O165)</f>
        <v>0</v>
      </c>
      <c r="P839" s="637">
        <f>IF($A$2=TRUE,+P165+GC!P355,+P165)</f>
        <v>0</v>
      </c>
      <c r="Q839" s="637">
        <f>IF($A$2=TRUE,+Q165+GC!Q355,+Q165)</f>
        <v>0</v>
      </c>
      <c r="R839" s="637">
        <f>IF($A$2=TRUE,+R165+GC!R355,+R165)</f>
        <v>0</v>
      </c>
      <c r="S839" s="637">
        <f>IF($A$2=TRUE,+S165+GC!S355,+S165)</f>
        <v>0</v>
      </c>
      <c r="T839" s="637">
        <f>IF($A$2=TRUE,+T165+GC!T355,+T165)</f>
        <v>0</v>
      </c>
      <c r="U839" s="637">
        <f>IF($A$2=TRUE,+U165+GC!U355,+U165)</f>
        <v>0</v>
      </c>
      <c r="V839" s="637">
        <f>IF($A$2=TRUE,+V165+GC!V355,+V165)</f>
        <v>0</v>
      </c>
      <c r="W839" s="637">
        <f>IF($A$2=TRUE,+W165+GC!W355,+W165)</f>
        <v>0</v>
      </c>
      <c r="X839" s="637">
        <f>IF($A$2=TRUE,+X165+GC!X355,+X165)</f>
        <v>0</v>
      </c>
      <c r="Y839" s="637">
        <f>IF($A$2=TRUE,+Y165+GC!Y355,+Y165)</f>
        <v>0</v>
      </c>
      <c r="Z839" s="637">
        <f>IF($A$2=TRUE,+Z165+GC!Z355,+Z165)</f>
        <v>0</v>
      </c>
      <c r="AA839" s="637">
        <f>IF($A$2=TRUE,+AA165+GC!AA355,+AA165)</f>
        <v>0</v>
      </c>
      <c r="AB839" s="637">
        <f>IF($A$2=TRUE,+AB165+GC!AB355,+AB165)</f>
        <v>0</v>
      </c>
      <c r="AC839" s="637">
        <f>IF($A$2=TRUE,+AC165+GC!AC355,+AC165)</f>
        <v>0</v>
      </c>
    </row>
    <row r="840" spans="1:29">
      <c r="A840" s="637"/>
      <c r="B840" s="637" t="s">
        <v>355</v>
      </c>
      <c r="C840" s="637"/>
      <c r="D840" s="637"/>
      <c r="E840" s="637">
        <f>+E172</f>
        <v>0</v>
      </c>
      <c r="F840" s="637">
        <f>+F172</f>
        <v>0</v>
      </c>
      <c r="G840" s="637">
        <f>+G172</f>
        <v>0</v>
      </c>
      <c r="H840" s="637">
        <f>+H172</f>
        <v>0</v>
      </c>
      <c r="I840" s="637">
        <f>IF($A$2=TRUE,+I172+GC!I356,+I172)</f>
        <v>0</v>
      </c>
      <c r="J840" s="637">
        <f>IF($A$2=TRUE,+J172+GC!J356,+J172)</f>
        <v>0</v>
      </c>
      <c r="K840" s="637">
        <f>IF($A$2=TRUE,+K172+GC!K356,+K172)</f>
        <v>0</v>
      </c>
      <c r="L840" s="637">
        <f>IF($A$2=TRUE,+L172+GC!L356,+L172)</f>
        <v>0</v>
      </c>
      <c r="M840" s="637">
        <f>IF($A$2=TRUE,+M172+GC!M356,+M172)</f>
        <v>0</v>
      </c>
      <c r="N840" s="637">
        <f>IF($A$2=TRUE,+N172+GC!N356,+N172)</f>
        <v>0</v>
      </c>
      <c r="O840" s="637">
        <f>IF($A$2=TRUE,+O172+GC!O356,+O172)</f>
        <v>0</v>
      </c>
      <c r="P840" s="637">
        <f>IF($A$2=TRUE,+P172+GC!P356,+P172)</f>
        <v>0</v>
      </c>
      <c r="Q840" s="637">
        <f>IF($A$2=TRUE,+Q172+GC!Q356,+Q172)</f>
        <v>0</v>
      </c>
      <c r="R840" s="637">
        <f>IF($A$2=TRUE,+R172+GC!R356,+R172)</f>
        <v>0</v>
      </c>
      <c r="S840" s="637">
        <f>IF($A$2=TRUE,+S172+GC!S356,+S172)</f>
        <v>0</v>
      </c>
      <c r="T840" s="637">
        <f>IF($A$2=TRUE,+T172+GC!T356,+T172)</f>
        <v>0</v>
      </c>
      <c r="U840" s="637">
        <f>IF($A$2=TRUE,+U172+GC!U356,+U172)</f>
        <v>0</v>
      </c>
      <c r="V840" s="637">
        <f>IF($A$2=TRUE,+V172+GC!V356,+V172)</f>
        <v>0</v>
      </c>
      <c r="W840" s="637">
        <f>IF($A$2=TRUE,+W172+GC!W356,+W172)</f>
        <v>0</v>
      </c>
      <c r="X840" s="637">
        <f>IF($A$2=TRUE,+X172+GC!X356,+X172)</f>
        <v>0</v>
      </c>
      <c r="Y840" s="637">
        <f>IF($A$2=TRUE,+Y172+GC!Y356,+Y172)</f>
        <v>0</v>
      </c>
      <c r="Z840" s="637">
        <f>IF($A$2=TRUE,+Z172+GC!Z356,+Z172)</f>
        <v>0</v>
      </c>
      <c r="AA840" s="637">
        <f>IF($A$2=TRUE,+AA172+GC!AA356,+AA172)</f>
        <v>0</v>
      </c>
      <c r="AB840" s="637">
        <f>IF($A$2=TRUE,+AB172+GC!AB356,+AB172)</f>
        <v>0</v>
      </c>
      <c r="AC840" s="637">
        <f>IF($A$2=TRUE,+AC172+GC!AC356,+AC172)</f>
        <v>0</v>
      </c>
    </row>
    <row r="841" spans="1:29">
      <c r="A841" s="637"/>
      <c r="B841" s="637" t="s">
        <v>356</v>
      </c>
      <c r="C841" s="637"/>
      <c r="D841" s="637"/>
      <c r="E841" s="637">
        <f>+E840</f>
        <v>0</v>
      </c>
      <c r="F841" s="637">
        <f>+F840</f>
        <v>0</v>
      </c>
      <c r="G841" s="637">
        <f>+G840</f>
        <v>0</v>
      </c>
      <c r="H841" s="637">
        <f>+H840</f>
        <v>0</v>
      </c>
      <c r="I841" s="637">
        <f>IF($A$2=TRUE,+I840+GC!I357,+I840)</f>
        <v>0</v>
      </c>
      <c r="J841" s="637">
        <f>IF($A$2=TRUE,+J840+GC!J357,+J840)</f>
        <v>0</v>
      </c>
      <c r="K841" s="637">
        <f>IF($A$2=TRUE,+K840+GC!K357,+K840)</f>
        <v>0</v>
      </c>
      <c r="L841" s="637">
        <f>IF($A$2=TRUE,+L840+GC!L357,+L840)</f>
        <v>0</v>
      </c>
      <c r="M841" s="637">
        <f>IF($A$2=TRUE,+M840+GC!M357,+M840)</f>
        <v>0</v>
      </c>
      <c r="N841" s="637">
        <f>IF($A$2=TRUE,+N840+GC!N357,+N840)</f>
        <v>0</v>
      </c>
      <c r="O841" s="637">
        <f>IF($A$2=TRUE,+O840+GC!O357,+O840)</f>
        <v>0</v>
      </c>
      <c r="P841" s="637">
        <f>IF($A$2=TRUE,+P840+GC!P357,+P840)</f>
        <v>0</v>
      </c>
      <c r="Q841" s="637">
        <f>IF($A$2=TRUE,+Q840+GC!Q357,+Q840)</f>
        <v>0</v>
      </c>
      <c r="R841" s="637">
        <f>IF($A$2=TRUE,+R840+GC!R357,+R840)</f>
        <v>0</v>
      </c>
      <c r="S841" s="637">
        <f>IF($A$2=TRUE,+S840+GC!S357,+S840)</f>
        <v>0</v>
      </c>
      <c r="T841" s="637">
        <f>IF($A$2=TRUE,+T840+GC!T357,+T840)</f>
        <v>0</v>
      </c>
      <c r="U841" s="637">
        <f>IF($A$2=TRUE,+U840+GC!U357,+U840)</f>
        <v>0</v>
      </c>
      <c r="V841" s="637">
        <f>IF($A$2=TRUE,+V840+GC!V357,+V840)</f>
        <v>0</v>
      </c>
      <c r="W841" s="637">
        <f>IF($A$2=TRUE,+W840+GC!W357,+W840)</f>
        <v>0</v>
      </c>
      <c r="X841" s="637">
        <f>IF($A$2=TRUE,+X840+GC!X357,+X840)</f>
        <v>0</v>
      </c>
      <c r="Y841" s="637">
        <f>IF($A$2=TRUE,+Y840+GC!Y357,+Y840)</f>
        <v>0</v>
      </c>
      <c r="Z841" s="637">
        <f>IF($A$2=TRUE,+Z840+GC!Z357,+Z840)</f>
        <v>0</v>
      </c>
      <c r="AA841" s="637">
        <f>IF($A$2=TRUE,+AA840+GC!AA357,+AA840)</f>
        <v>0</v>
      </c>
      <c r="AB841" s="637">
        <f>IF($A$2=TRUE,+AB840+GC!AB357,+AB840)</f>
        <v>0</v>
      </c>
      <c r="AC841" s="637">
        <f>IF($A$2=TRUE,+AC840+GC!AC357,+AC840)</f>
        <v>0</v>
      </c>
    </row>
    <row r="842" spans="1:29">
      <c r="A842" s="637"/>
      <c r="B842" s="643" t="s">
        <v>357</v>
      </c>
      <c r="C842" s="637"/>
      <c r="D842" s="637"/>
      <c r="E842" s="637">
        <f>+E167</f>
        <v>0</v>
      </c>
      <c r="F842" s="637">
        <f>+F167</f>
        <v>0</v>
      </c>
      <c r="G842" s="637">
        <f>+G167</f>
        <v>0</v>
      </c>
      <c r="H842" s="637">
        <f>+H167</f>
        <v>0</v>
      </c>
      <c r="I842" s="637">
        <f>IF($A$2=TRUE,+I167+GC!I358,+I167)</f>
        <v>0</v>
      </c>
      <c r="J842" s="637">
        <f>IF($A$2=TRUE,+J167+GC!J358,+J167)</f>
        <v>0</v>
      </c>
      <c r="K842" s="637">
        <f>IF($A$2=TRUE,+K167+GC!K358,+K167)</f>
        <v>0</v>
      </c>
      <c r="L842" s="637">
        <f>IF($A$2=TRUE,+L167+GC!L358,+L167)</f>
        <v>0</v>
      </c>
      <c r="M842" s="637">
        <f>IF($A$2=TRUE,+M167+GC!M358,+M167)</f>
        <v>0</v>
      </c>
      <c r="N842" s="637">
        <f>IF($A$2=TRUE,+N167+GC!N358,+N167)</f>
        <v>0</v>
      </c>
      <c r="O842" s="637">
        <f>IF($A$2=TRUE,+O167+GC!O358,+O167)</f>
        <v>0</v>
      </c>
      <c r="P842" s="637">
        <f>IF($A$2=TRUE,+P167+GC!P358,+P167)</f>
        <v>0</v>
      </c>
      <c r="Q842" s="637">
        <f>IF($A$2=TRUE,+Q167+GC!Q358,+Q167)</f>
        <v>0</v>
      </c>
      <c r="R842" s="637">
        <f>IF($A$2=TRUE,+R167+GC!R358,+R167)</f>
        <v>0</v>
      </c>
      <c r="S842" s="637">
        <f>IF($A$2=TRUE,+S167+GC!S358,+S167)</f>
        <v>0</v>
      </c>
      <c r="T842" s="637">
        <f>IF($A$2=TRUE,+T167+GC!T358,+T167)</f>
        <v>0</v>
      </c>
      <c r="U842" s="637">
        <f>IF($A$2=TRUE,+U167+GC!U358,+U167)</f>
        <v>0</v>
      </c>
      <c r="V842" s="637">
        <f>IF($A$2=TRUE,+V167+GC!V358,+V167)</f>
        <v>0</v>
      </c>
      <c r="W842" s="637">
        <f>IF($A$2=TRUE,+W167+GC!W358,+W167)</f>
        <v>0</v>
      </c>
      <c r="X842" s="637">
        <f>IF($A$2=TRUE,+X167+GC!X358,+X167)</f>
        <v>0</v>
      </c>
      <c r="Y842" s="637">
        <f>IF($A$2=TRUE,+Y167+GC!Y358,+Y167)</f>
        <v>0</v>
      </c>
      <c r="Z842" s="637">
        <f>IF($A$2=TRUE,+Z167+GC!Z358,+Z167)</f>
        <v>0</v>
      </c>
      <c r="AA842" s="637">
        <f>IF($A$2=TRUE,+AA167+GC!AA358,+AA167)</f>
        <v>0</v>
      </c>
      <c r="AB842" s="637">
        <f>IF($A$2=TRUE,+AB167+GC!AB358,+AB167)</f>
        <v>0</v>
      </c>
      <c r="AC842" s="637">
        <f>IF($A$2=TRUE,+AC167+GC!AC358,+AC167)</f>
        <v>0</v>
      </c>
    </row>
    <row r="843" spans="1:29">
      <c r="A843" s="637"/>
      <c r="B843" s="639" t="s">
        <v>358</v>
      </c>
      <c r="C843" s="637"/>
      <c r="D843" s="637"/>
      <c r="E843" s="637">
        <f>+E174</f>
        <v>0</v>
      </c>
      <c r="F843" s="637">
        <f>+F174</f>
        <v>0</v>
      </c>
      <c r="G843" s="637">
        <f>+G174</f>
        <v>0</v>
      </c>
      <c r="H843" s="637">
        <f>+H174</f>
        <v>0</v>
      </c>
      <c r="I843" s="637">
        <f>IF($A$2=TRUE,+I174+GC!I359,+I174)</f>
        <v>0</v>
      </c>
      <c r="J843" s="637">
        <f>IF($A$2=TRUE,+J174+GC!J359,+J174)</f>
        <v>0</v>
      </c>
      <c r="K843" s="637">
        <f>IF($A$2=TRUE,+K174+GC!K359,+K174)</f>
        <v>0</v>
      </c>
      <c r="L843" s="637">
        <f>IF($A$2=TRUE,+L174+GC!L359,+L174)</f>
        <v>0</v>
      </c>
      <c r="M843" s="637">
        <f>IF($A$2=TRUE,+M174+GC!M359,+M174)</f>
        <v>0</v>
      </c>
      <c r="N843" s="637">
        <f>IF($A$2=TRUE,+N174+GC!N359,+N174)</f>
        <v>0</v>
      </c>
      <c r="O843" s="637">
        <f>IF($A$2=TRUE,+O174+GC!O359,+O174)</f>
        <v>0</v>
      </c>
      <c r="P843" s="637">
        <f>IF($A$2=TRUE,+P174+GC!P359,+P174)</f>
        <v>0</v>
      </c>
      <c r="Q843" s="637">
        <f>IF($A$2=TRUE,+Q174+GC!Q359,+Q174)</f>
        <v>0</v>
      </c>
      <c r="R843" s="637">
        <f>IF($A$2=TRUE,+R174+GC!R359,+R174)</f>
        <v>0</v>
      </c>
      <c r="S843" s="637">
        <f>IF($A$2=TRUE,+S174+GC!S359,+S174)</f>
        <v>0</v>
      </c>
      <c r="T843" s="637">
        <f>IF($A$2=TRUE,+T174+GC!T359,+T174)</f>
        <v>0</v>
      </c>
      <c r="U843" s="637">
        <f>IF($A$2=TRUE,+U174+GC!U359,+U174)</f>
        <v>0</v>
      </c>
      <c r="V843" s="637">
        <f>IF($A$2=TRUE,+V174+GC!V359,+V174)</f>
        <v>0</v>
      </c>
      <c r="W843" s="637">
        <f>IF($A$2=TRUE,+W174+GC!W359,+W174)</f>
        <v>0</v>
      </c>
      <c r="X843" s="637">
        <f>IF($A$2=TRUE,+X174+GC!X359,+X174)</f>
        <v>0</v>
      </c>
      <c r="Y843" s="637">
        <f>IF($A$2=TRUE,+Y174+GC!Y359,+Y174)</f>
        <v>0</v>
      </c>
      <c r="Z843" s="637">
        <f>IF($A$2=TRUE,+Z174+GC!Z359,+Z174)</f>
        <v>0</v>
      </c>
      <c r="AA843" s="637">
        <f>IF($A$2=TRUE,+AA174+GC!AA359,+AA174)</f>
        <v>0</v>
      </c>
      <c r="AB843" s="637">
        <f>IF($A$2=TRUE,+AB174+GC!AB359,+AB174)</f>
        <v>0</v>
      </c>
      <c r="AC843" s="637">
        <f>IF($A$2=TRUE,+AC174+GC!AC359,+AC174)</f>
        <v>0</v>
      </c>
    </row>
    <row r="844" spans="1:29">
      <c r="A844" s="637"/>
      <c r="B844" s="639"/>
      <c r="C844" s="637"/>
      <c r="D844" s="637"/>
      <c r="E844" s="637"/>
      <c r="F844" s="637"/>
      <c r="G844" s="637"/>
      <c r="H844" s="637"/>
      <c r="I844" s="637"/>
      <c r="J844" s="637"/>
      <c r="K844" s="637"/>
      <c r="L844" s="637"/>
      <c r="M844" s="637"/>
      <c r="N844" s="637"/>
      <c r="O844" s="637"/>
      <c r="P844" s="637"/>
      <c r="Q844" s="637"/>
      <c r="R844" s="637"/>
      <c r="S844" s="637"/>
      <c r="T844" s="637"/>
      <c r="U844" s="637"/>
      <c r="V844" s="637"/>
      <c r="W844" s="637"/>
      <c r="X844" s="637"/>
      <c r="Y844" s="637"/>
      <c r="Z844" s="637"/>
      <c r="AA844" s="637"/>
      <c r="AB844" s="637"/>
      <c r="AC844" s="637"/>
    </row>
    <row r="845" spans="1:29">
      <c r="A845" s="637"/>
      <c r="B845" s="644" t="s">
        <v>359</v>
      </c>
      <c r="C845" s="637"/>
      <c r="D845" s="637"/>
      <c r="E845" s="637"/>
      <c r="F845" s="637"/>
      <c r="G845" s="637"/>
      <c r="H845" s="637"/>
      <c r="I845" s="637"/>
      <c r="J845" s="637"/>
      <c r="K845" s="637"/>
      <c r="L845" s="637"/>
      <c r="M845" s="637"/>
      <c r="N845" s="637"/>
      <c r="O845" s="637"/>
      <c r="P845" s="637"/>
      <c r="Q845" s="637"/>
      <c r="R845" s="637"/>
      <c r="S845" s="637"/>
      <c r="T845" s="637"/>
      <c r="U845" s="637"/>
      <c r="V845" s="637"/>
      <c r="W845" s="637"/>
      <c r="X845" s="637"/>
      <c r="Y845" s="637"/>
      <c r="Z845" s="637"/>
      <c r="AA845" s="637"/>
      <c r="AB845" s="637"/>
      <c r="AC845" s="637"/>
    </row>
    <row r="846" spans="1:29">
      <c r="A846" s="637"/>
      <c r="B846" s="639" t="s">
        <v>360</v>
      </c>
      <c r="C846" s="637"/>
      <c r="D846" s="637"/>
      <c r="E846" s="637">
        <f>+E155</f>
        <v>0</v>
      </c>
      <c r="F846" s="637">
        <f>+F155</f>
        <v>0</v>
      </c>
      <c r="G846" s="637">
        <f>+G155</f>
        <v>0</v>
      </c>
      <c r="H846" s="637">
        <f>+H155</f>
        <v>0</v>
      </c>
      <c r="I846" s="637">
        <f>IF($A$2=TRUE,+I155+GC!I362,+I155)</f>
        <v>0</v>
      </c>
      <c r="J846" s="637">
        <f>IF($A$2=TRUE,+J155+GC!J362,+J155)</f>
        <v>0</v>
      </c>
      <c r="K846" s="637">
        <f>IF($A$2=TRUE,+K155+GC!K362,+K155)</f>
        <v>0</v>
      </c>
      <c r="L846" s="637">
        <f>IF($A$2=TRUE,+L155+GC!L362,+L155)</f>
        <v>0</v>
      </c>
      <c r="M846" s="637">
        <f>IF($A$2=TRUE,+M155+GC!M362,+M155)</f>
        <v>0</v>
      </c>
      <c r="N846" s="637">
        <f>IF($A$2=TRUE,+N155+GC!N362,+N155)</f>
        <v>0</v>
      </c>
      <c r="O846" s="637">
        <f>IF($A$2=TRUE,+O155+GC!O362,+O155)</f>
        <v>25.811</v>
      </c>
      <c r="P846" s="637">
        <f>IF($A$2=TRUE,+P155+GC!P362,+P155)</f>
        <v>5.5119999999999996</v>
      </c>
      <c r="Q846" s="637">
        <f>IF($A$2=TRUE,+Q155+GC!Q362,+Q155)</f>
        <v>16.2</v>
      </c>
      <c r="R846" s="637">
        <f>IF($A$2=TRUE,+R155+GC!R362,+R155)</f>
        <v>0</v>
      </c>
      <c r="S846" s="637">
        <f>IF($A$2=TRUE,+S155+GC!S362,+S155)</f>
        <v>0</v>
      </c>
      <c r="T846" s="637">
        <f>IF($A$2=TRUE,+T155+GC!T362,+T155)</f>
        <v>0</v>
      </c>
      <c r="U846" s="637">
        <f>IF($A$2=TRUE,+U155+GC!U362,+U155)</f>
        <v>0</v>
      </c>
      <c r="V846" s="637">
        <f>IF($A$2=TRUE,+V155+GC!V362,+V155)</f>
        <v>0</v>
      </c>
      <c r="W846" s="637">
        <f>IF($A$2=TRUE,+W155+GC!W362,+W155)</f>
        <v>0</v>
      </c>
      <c r="X846" s="637">
        <f>IF($A$2=TRUE,+X155+GC!X362,+X155)</f>
        <v>0</v>
      </c>
      <c r="Y846" s="637">
        <f>IF($A$2=TRUE,+Y155+GC!Y362,+Y155)</f>
        <v>0</v>
      </c>
      <c r="Z846" s="637">
        <f>IF($A$2=TRUE,+Z155+GC!Z362,+Z155)</f>
        <v>0</v>
      </c>
      <c r="AA846" s="637">
        <f>IF($A$2=TRUE,+AA155+GC!AA362,+AA155)</f>
        <v>0</v>
      </c>
      <c r="AB846" s="637">
        <f>IF($A$2=TRUE,+AB155+GC!AB362,+AB155)</f>
        <v>0</v>
      </c>
      <c r="AC846" s="637">
        <f>IF($A$2=TRUE,+AC155+GC!AC362,+AC155)</f>
        <v>0</v>
      </c>
    </row>
    <row r="847" spans="1:29">
      <c r="A847" s="637"/>
      <c r="B847" s="638" t="s">
        <v>361</v>
      </c>
      <c r="C847" s="637"/>
      <c r="D847" s="637"/>
      <c r="E847" s="637">
        <f>+E152</f>
        <v>0</v>
      </c>
      <c r="F847" s="637">
        <f>+F152</f>
        <v>0</v>
      </c>
      <c r="G847" s="637">
        <f>+G152</f>
        <v>0</v>
      </c>
      <c r="H847" s="637">
        <f>+H152</f>
        <v>0</v>
      </c>
      <c r="I847" s="637">
        <f>IF($A$2=TRUE,+I152+GC!I363,+I152)</f>
        <v>0</v>
      </c>
      <c r="J847" s="637">
        <f>IF($A$2=TRUE,+J152+GC!J363,+J152)</f>
        <v>0</v>
      </c>
      <c r="K847" s="637">
        <f>IF($A$2=TRUE,+K152+GC!K363,+K152)</f>
        <v>0</v>
      </c>
      <c r="L847" s="637">
        <f>IF($A$2=TRUE,+L152+GC!L363,+L152)</f>
        <v>0</v>
      </c>
      <c r="M847" s="637">
        <f>IF($A$2=TRUE,+M152+GC!M363,+M152)</f>
        <v>0</v>
      </c>
      <c r="N847" s="637">
        <f>IF($A$2=TRUE,+N152+GC!N363,+N152)</f>
        <v>0</v>
      </c>
      <c r="O847" s="637">
        <f>IF($A$2=TRUE,+O152+GC!O363,+O152)</f>
        <v>0</v>
      </c>
      <c r="P847" s="637">
        <f>IF($A$2=TRUE,+P152+GC!P363,+P152)</f>
        <v>0</v>
      </c>
      <c r="Q847" s="637">
        <f>IF($A$2=TRUE,+Q152+GC!Q363,+Q152)</f>
        <v>0</v>
      </c>
      <c r="R847" s="637">
        <f>IF($A$2=TRUE,+R152+GC!R363,+R152)</f>
        <v>0</v>
      </c>
      <c r="S847" s="637">
        <f>IF($A$2=TRUE,+S152+GC!S363,+S152)</f>
        <v>0</v>
      </c>
      <c r="T847" s="637">
        <f>IF($A$2=TRUE,+T152+GC!T363,+T152)</f>
        <v>0</v>
      </c>
      <c r="U847" s="637">
        <f>IF($A$2=TRUE,+U152+GC!U363,+U152)</f>
        <v>0</v>
      </c>
      <c r="V847" s="637">
        <f>IF($A$2=TRUE,+V152+GC!V363,+V152)</f>
        <v>0</v>
      </c>
      <c r="W847" s="637">
        <f>IF($A$2=TRUE,+W152+GC!W363,+W152)</f>
        <v>0</v>
      </c>
      <c r="X847" s="637">
        <f>IF($A$2=TRUE,+X152+GC!X363,+X152)</f>
        <v>0</v>
      </c>
      <c r="Y847" s="637">
        <f>IF($A$2=TRUE,+Y152+GC!Y363,+Y152)</f>
        <v>0</v>
      </c>
      <c r="Z847" s="637">
        <f>IF($A$2=TRUE,+Z152+GC!Z363,+Z152)</f>
        <v>0</v>
      </c>
      <c r="AA847" s="637">
        <f>IF($A$2=TRUE,+AA152+GC!AA363,+AA152)</f>
        <v>0</v>
      </c>
      <c r="AB847" s="637">
        <f>IF($A$2=TRUE,+AB152+GC!AB363,+AB152)</f>
        <v>0</v>
      </c>
      <c r="AC847" s="637">
        <f>IF($A$2=TRUE,+AC152+GC!AC363,+AC152)</f>
        <v>0</v>
      </c>
    </row>
    <row r="848" spans="1:29">
      <c r="A848" s="637"/>
      <c r="B848" s="638" t="s">
        <v>362</v>
      </c>
      <c r="C848" s="637"/>
      <c r="D848" s="637"/>
      <c r="E848" s="637">
        <f>+E166</f>
        <v>0</v>
      </c>
      <c r="F848" s="637">
        <f>+F166</f>
        <v>0</v>
      </c>
      <c r="G848" s="637">
        <f>+G166</f>
        <v>0</v>
      </c>
      <c r="H848" s="637">
        <f>+H166</f>
        <v>0</v>
      </c>
      <c r="I848" s="637">
        <f>IF($A$2=TRUE,+I166+GC!I364,+I166)</f>
        <v>0</v>
      </c>
      <c r="J848" s="637">
        <f>IF($A$2=TRUE,+J166+GC!J364,+J166)</f>
        <v>0</v>
      </c>
      <c r="K848" s="637">
        <f>IF($A$2=TRUE,+K166+GC!K364,+K166)</f>
        <v>0</v>
      </c>
      <c r="L848" s="637">
        <f>IF($A$2=TRUE,+L166+GC!L364,+L166)</f>
        <v>0</v>
      </c>
      <c r="M848" s="637">
        <f>IF($A$2=TRUE,+M166+GC!M364,+M166)</f>
        <v>0</v>
      </c>
      <c r="N848" s="637">
        <f>IF($A$2=TRUE,+N166+GC!N364,+N166)</f>
        <v>0</v>
      </c>
      <c r="O848" s="637">
        <f>IF($A$2=TRUE,+O166+GC!O364,+O166)</f>
        <v>4.3794061069212393</v>
      </c>
      <c r="P848" s="637">
        <f>IF($A$2=TRUE,+P166+GC!P364,+P166)</f>
        <v>4.7347913013252478</v>
      </c>
      <c r="Q848" s="637">
        <f>IF($A$2=TRUE,+Q166+GC!Q364,+Q166)</f>
        <v>7.1018340606587129</v>
      </c>
      <c r="R848" s="637">
        <f>IF($A$2=TRUE,+R166+GC!R364,+R166)</f>
        <v>6.0602935036541092</v>
      </c>
      <c r="S848" s="637">
        <f>IF($A$2=TRUE,+S166+GC!S364,+S166)</f>
        <v>5.134621601663329</v>
      </c>
      <c r="T848" s="637">
        <f>IF($A$2=TRUE,+T166+GC!T364,+T166)</f>
        <v>4.3136934004570406</v>
      </c>
      <c r="U848" s="637">
        <f>IF($A$2=TRUE,+U166+GC!U364,+U166)</f>
        <v>3.6160470859451221</v>
      </c>
      <c r="V848" s="637">
        <f>IF($A$2=TRUE,+V166+GC!V364,+V166)</f>
        <v>2.9690276563928304</v>
      </c>
      <c r="W848" s="637">
        <f>IF($A$2=TRUE,+W166+GC!W364,+W166)</f>
        <v>2.4348443565521936</v>
      </c>
      <c r="X848" s="637">
        <f>IF($A$2=TRUE,+X166+GC!X364,+X166)</f>
        <v>1.9752031273747968</v>
      </c>
      <c r="Y848" s="637">
        <f>IF($A$2=TRUE,+Y166+GC!Y364,+Y166)</f>
        <v>1.556639308963266</v>
      </c>
      <c r="Z848" s="637">
        <f>IF($A$2=TRUE,+Z166+GC!Z364,+Z166)</f>
        <v>1.1435136510314272</v>
      </c>
      <c r="AA848" s="637">
        <f>IF($A$2=TRUE,+AA166+GC!AA364,+AA166)</f>
        <v>0.87442728015961602</v>
      </c>
      <c r="AB848" s="637">
        <f>IF($A$2=TRUE,+AB166+GC!AB364,+AB166)</f>
        <v>0.67267199847163439</v>
      </c>
      <c r="AC848" s="637">
        <f>IF($A$2=TRUE,+AC166+GC!AC364,+AC166)</f>
        <v>0.5559855604294327</v>
      </c>
    </row>
    <row r="849" spans="1:30">
      <c r="A849" s="645"/>
      <c r="B849" s="637" t="s">
        <v>363</v>
      </c>
      <c r="C849" s="645"/>
      <c r="D849" s="637"/>
      <c r="E849" s="637">
        <f>+E173</f>
        <v>0</v>
      </c>
      <c r="F849" s="637">
        <f>+F173</f>
        <v>0</v>
      </c>
      <c r="G849" s="637">
        <f>+G173</f>
        <v>0</v>
      </c>
      <c r="H849" s="637">
        <f>+H173</f>
        <v>0</v>
      </c>
      <c r="I849" s="637">
        <f>IF($A$2=TRUE,+I173+GC!I365,+I173)</f>
        <v>0</v>
      </c>
      <c r="J849" s="637">
        <f>IF($A$2=TRUE,+J173+GC!J365,+J173)</f>
        <v>0</v>
      </c>
      <c r="K849" s="637">
        <f>IF($A$2=TRUE,+K173+GC!K365,+K173)</f>
        <v>0</v>
      </c>
      <c r="L849" s="637">
        <f>IF($A$2=TRUE,+L173+GC!L365,+L173)</f>
        <v>0</v>
      </c>
      <c r="M849" s="637">
        <f>IF($A$2=TRUE,+M173+GC!M365,+M173)</f>
        <v>0</v>
      </c>
      <c r="N849" s="637">
        <f>IF($A$2=TRUE,+N173+GC!N365,+N173)</f>
        <v>0</v>
      </c>
      <c r="O849" s="637">
        <f>IF($A$2=TRUE,+O173+GC!O365,+O173)</f>
        <v>4.3794061069212393</v>
      </c>
      <c r="P849" s="637">
        <f>IF($A$2=TRUE,+P173+GC!P365,+P173)</f>
        <v>4.7347913013252478</v>
      </c>
      <c r="Q849" s="637">
        <f>IF($A$2=TRUE,+Q173+GC!Q365,+Q173)</f>
        <v>7.1018340606587129</v>
      </c>
      <c r="R849" s="637">
        <f>IF($A$2=TRUE,+R173+GC!R365,+R173)</f>
        <v>6.0602935036541092</v>
      </c>
      <c r="S849" s="637">
        <f>IF($A$2=TRUE,+S173+GC!S365,+S173)</f>
        <v>5.134621601663329</v>
      </c>
      <c r="T849" s="637">
        <f>IF($A$2=TRUE,+T173+GC!T365,+T173)</f>
        <v>4.3136934004570406</v>
      </c>
      <c r="U849" s="637">
        <f>IF($A$2=TRUE,+U173+GC!U365,+U173)</f>
        <v>3.6160470859451221</v>
      </c>
      <c r="V849" s="637">
        <f>IF($A$2=TRUE,+V173+GC!V365,+V173)</f>
        <v>2.9690276563928304</v>
      </c>
      <c r="W849" s="637">
        <f>IF($A$2=TRUE,+W173+GC!W365,+W173)</f>
        <v>2.4348443565521936</v>
      </c>
      <c r="X849" s="637">
        <f>IF($A$2=TRUE,+X173+GC!X365,+X173)</f>
        <v>1.9752031273747968</v>
      </c>
      <c r="Y849" s="637">
        <f>IF($A$2=TRUE,+Y173+GC!Y365,+Y173)</f>
        <v>1.556639308963266</v>
      </c>
      <c r="Z849" s="637">
        <f>IF($A$2=TRUE,+Z173+GC!Z365,+Z173)</f>
        <v>1.1435136510314272</v>
      </c>
      <c r="AA849" s="637">
        <f>IF($A$2=TRUE,+AA173+GC!AA365,+AA173)</f>
        <v>0.87442728015961602</v>
      </c>
      <c r="AB849" s="637">
        <f>IF($A$2=TRUE,+AB173+GC!AB365,+AB173)</f>
        <v>0.67267199847163439</v>
      </c>
      <c r="AC849" s="637">
        <f>IF($A$2=TRUE,+AC173+GC!AC365,+AC173)</f>
        <v>0.5559855604294327</v>
      </c>
    </row>
    <row r="850" spans="1:30">
      <c r="A850" s="645"/>
      <c r="B850" s="637" t="s">
        <v>364</v>
      </c>
      <c r="C850" s="645"/>
      <c r="D850" s="637"/>
      <c r="E850" s="637">
        <f>+E374</f>
        <v>0</v>
      </c>
      <c r="F850" s="637">
        <f>+F374</f>
        <v>0</v>
      </c>
      <c r="G850" s="637">
        <f>+G374</f>
        <v>0</v>
      </c>
      <c r="H850" s="637">
        <f>+H374</f>
        <v>0</v>
      </c>
      <c r="I850" s="637">
        <f ca="1">IF($A$2=TRUE,+I374+GC!I366,+I374)</f>
        <v>-15.572178500000001</v>
      </c>
      <c r="J850" s="637">
        <f ca="1">IF($A$2=TRUE,+J374+GC!J366,+J374)</f>
        <v>97.961506319999955</v>
      </c>
      <c r="K850" s="637">
        <f ca="1">IF($A$2=TRUE,+K374+GC!K366,+K374)</f>
        <v>31.592715766666664</v>
      </c>
      <c r="L850" s="637">
        <f ca="1">IF($A$2=TRUE,+L374+GC!L366,+L374)</f>
        <v>63.550314513333319</v>
      </c>
      <c r="M850" s="637">
        <f ca="1">IF($A$2=TRUE,+M374+GC!M366,+M374)</f>
        <v>165.10911147600001</v>
      </c>
      <c r="N850" s="637">
        <f ca="1">IF($A$2=TRUE,+N374+GC!N366,+N374)</f>
        <v>69.494640328000003</v>
      </c>
      <c r="O850" s="637">
        <f ca="1">IF($A$2=TRUE,+O374+GC!O366,+O374)</f>
        <v>27.749212905333337</v>
      </c>
      <c r="P850" s="637">
        <f ca="1">IF($A$2=TRUE,+P374+GC!P366,+P374)</f>
        <v>-24.189682961999996</v>
      </c>
      <c r="Q850" s="637">
        <f ca="1">IF($A$2=TRUE,+Q374+GC!Q366,+Q374)</f>
        <v>-39.152085768666673</v>
      </c>
      <c r="R850" s="637">
        <f ca="1">IF($A$2=TRUE,+R374+GC!R366,+R374)</f>
        <v>-43.940745346</v>
      </c>
      <c r="S850" s="637">
        <f ca="1">IF($A$2=TRUE,+S374+GC!S366,+S374)</f>
        <v>-27.522127003999998</v>
      </c>
      <c r="T850" s="637">
        <f ca="1">IF($A$2=TRUE,+T374+GC!T366,+T374)</f>
        <v>-29.245198424999995</v>
      </c>
      <c r="U850" s="637">
        <f ca="1">IF($A$2=TRUE,+U374+GC!U366,+U374)</f>
        <v>-30.726257276666665</v>
      </c>
      <c r="V850" s="637">
        <f ca="1">IF($A$2=TRUE,+V374+GC!V366,+V374)</f>
        <v>-32.00407281333333</v>
      </c>
      <c r="W850" s="637">
        <f ca="1">IF($A$2=TRUE,+W374+GC!W366,+W374)</f>
        <v>-12.799887822000001</v>
      </c>
      <c r="X850" s="637">
        <f ca="1">IF($A$2=TRUE,+X374+GC!X366,+X374)</f>
        <v>-13.654038730666665</v>
      </c>
      <c r="Y850" s="637">
        <f ca="1">IF($A$2=TRUE,+Y374+GC!Y366,+Y374)</f>
        <v>0.2852711353333337</v>
      </c>
      <c r="Z850" s="637">
        <f ca="1">IF($A$2=TRUE,+Z374+GC!Z366,+Z374)</f>
        <v>0</v>
      </c>
      <c r="AA850" s="637">
        <f ca="1">IF($A$2=TRUE,+AA374+GC!AA366,+AA374)</f>
        <v>0</v>
      </c>
      <c r="AB850" s="637">
        <f ca="1">IF($A$2=TRUE,+AB374+GC!AB366,+AB374)</f>
        <v>0</v>
      </c>
      <c r="AC850" s="637">
        <f ca="1">IF($A$2=TRUE,+AC374+GC!AC366,+AC374)</f>
        <v>0</v>
      </c>
    </row>
    <row r="851" spans="1:30">
      <c r="A851" s="645"/>
      <c r="B851" s="638" t="s">
        <v>365</v>
      </c>
      <c r="C851" s="645"/>
      <c r="D851" s="637"/>
      <c r="E851" s="637">
        <f>+E685</f>
        <v>0</v>
      </c>
      <c r="F851" s="637">
        <f>+F685</f>
        <v>0</v>
      </c>
      <c r="G851" s="637">
        <f>+G685</f>
        <v>0</v>
      </c>
      <c r="H851" s="637">
        <f>+H685</f>
        <v>0</v>
      </c>
      <c r="I851" s="637">
        <f>IF($A$2=TRUE,+I685+GC!I367,+I685)</f>
        <v>0</v>
      </c>
      <c r="J851" s="637">
        <f>IF($A$2=TRUE,+J685+GC!J367,+J685)</f>
        <v>0</v>
      </c>
      <c r="K851" s="637">
        <f>IF($A$2=TRUE,+K685+GC!K367,+K685)</f>
        <v>0</v>
      </c>
      <c r="L851" s="637">
        <f>IF($A$2=TRUE,+L685+GC!L367,+L685)</f>
        <v>0</v>
      </c>
      <c r="M851" s="637">
        <f>IF($A$2=TRUE,+M685+GC!M367,+M685)</f>
        <v>0</v>
      </c>
      <c r="N851" s="637">
        <f>IF($A$2=TRUE,+N685+GC!N367,+N685)</f>
        <v>0</v>
      </c>
      <c r="O851" s="637">
        <f>IF($A$2=TRUE,+O685+GC!O367,+O685)</f>
        <v>0</v>
      </c>
      <c r="P851" s="637">
        <f>IF($A$2=TRUE,+P685+GC!P367,+P685)</f>
        <v>0</v>
      </c>
      <c r="Q851" s="637">
        <f>IF($A$2=TRUE,+Q685+GC!Q367,+Q685)</f>
        <v>0</v>
      </c>
      <c r="R851" s="637">
        <f>IF($A$2=TRUE,+R685+GC!R367,+R685)</f>
        <v>0</v>
      </c>
      <c r="S851" s="637">
        <f>IF($A$2=TRUE,+S685+GC!S367,+S685)</f>
        <v>0</v>
      </c>
      <c r="T851" s="637">
        <f>IF($A$2=TRUE,+T685+GC!T367,+T685)</f>
        <v>0</v>
      </c>
      <c r="U851" s="637">
        <f>IF($A$2=TRUE,+U685+GC!U367,+U685)</f>
        <v>0</v>
      </c>
      <c r="V851" s="637">
        <f>IF($A$2=TRUE,+V685+GC!V367,+V685)</f>
        <v>0</v>
      </c>
      <c r="W851" s="637">
        <f>IF($A$2=TRUE,+W685+GC!W367,+W685)</f>
        <v>0</v>
      </c>
      <c r="X851" s="637">
        <f>IF($A$2=TRUE,+X685+GC!X367,+X685)</f>
        <v>0</v>
      </c>
      <c r="Y851" s="637">
        <f>IF($A$2=TRUE,+Y685+GC!Y367,+Y685)</f>
        <v>0</v>
      </c>
      <c r="Z851" s="637">
        <f>IF($A$2=TRUE,+Z685+GC!Z367,+Z685)</f>
        <v>0</v>
      </c>
      <c r="AA851" s="637">
        <f>IF($A$2=TRUE,+AA685+GC!AA367,+AA685)</f>
        <v>0</v>
      </c>
      <c r="AB851" s="637">
        <f>IF($A$2=TRUE,+AB685+GC!AB367,+AB685)</f>
        <v>0</v>
      </c>
      <c r="AC851" s="637">
        <f>IF($A$2=TRUE,+AC685+GC!AC367,+AC685)</f>
        <v>0</v>
      </c>
    </row>
    <row r="852" spans="1:30">
      <c r="A852" s="645"/>
      <c r="B852" s="638" t="s">
        <v>366</v>
      </c>
      <c r="C852" s="645"/>
      <c r="D852" s="637"/>
      <c r="E852" s="637">
        <f>+E670</f>
        <v>0</v>
      </c>
      <c r="F852" s="637">
        <f>+F670</f>
        <v>0</v>
      </c>
      <c r="G852" s="637">
        <f>+G670</f>
        <v>0</v>
      </c>
      <c r="H852" s="637">
        <f>+H670</f>
        <v>0</v>
      </c>
      <c r="I852" s="637">
        <f>IF($A$2=TRUE,+I670+GC!I368,+I670)</f>
        <v>0</v>
      </c>
      <c r="J852" s="637">
        <f>IF($A$2=TRUE,+J670+GC!J368,+J670)</f>
        <v>0</v>
      </c>
      <c r="K852" s="637">
        <f>IF($A$2=TRUE,+K670+GC!K368,+K670)</f>
        <v>0</v>
      </c>
      <c r="L852" s="637">
        <f>IF($A$2=TRUE,+L670+GC!L368,+L670)</f>
        <v>0</v>
      </c>
      <c r="M852" s="637">
        <f>IF($A$2=TRUE,+M670+GC!M368,+M670)</f>
        <v>0</v>
      </c>
      <c r="N852" s="637">
        <f>IF($A$2=TRUE,+N670+GC!N368,+N670)</f>
        <v>0</v>
      </c>
      <c r="O852" s="637">
        <f>IF($A$2=TRUE,+O670+GC!O368,+O670)</f>
        <v>0</v>
      </c>
      <c r="P852" s="637">
        <f>IF($A$2=TRUE,+P670+GC!P368,+P670)</f>
        <v>0</v>
      </c>
      <c r="Q852" s="637">
        <f>IF($A$2=TRUE,+Q670+GC!Q368,+Q670)</f>
        <v>0</v>
      </c>
      <c r="R852" s="637">
        <f>IF($A$2=TRUE,+R670+GC!R368,+R670)</f>
        <v>0</v>
      </c>
      <c r="S852" s="637">
        <f>IF($A$2=TRUE,+S670+GC!S368,+S670)</f>
        <v>0</v>
      </c>
      <c r="T852" s="637">
        <f>IF($A$2=TRUE,+T670+GC!T368,+T670)</f>
        <v>0</v>
      </c>
      <c r="U852" s="637">
        <f>IF($A$2=TRUE,+U670+GC!U368,+U670)</f>
        <v>0</v>
      </c>
      <c r="V852" s="637">
        <f>IF($A$2=TRUE,+V670+GC!V368,+V670)</f>
        <v>0</v>
      </c>
      <c r="W852" s="637">
        <f>IF($A$2=TRUE,+W670+GC!W368,+W670)</f>
        <v>0</v>
      </c>
      <c r="X852" s="637">
        <f>IF($A$2=TRUE,+X670+GC!X368,+X670)</f>
        <v>0</v>
      </c>
      <c r="Y852" s="637">
        <f>IF($A$2=TRUE,+Y670+GC!Y368,+Y670)</f>
        <v>0</v>
      </c>
      <c r="Z852" s="637">
        <f>IF($A$2=TRUE,+Z670+GC!Z368,+Z670)</f>
        <v>0</v>
      </c>
      <c r="AA852" s="637">
        <f>IF($A$2=TRUE,+AA670+GC!AA368,+AA670)</f>
        <v>0</v>
      </c>
      <c r="AB852" s="637">
        <f>IF($A$2=TRUE,+AB670+GC!AB368,+AB670)</f>
        <v>0</v>
      </c>
      <c r="AC852" s="637">
        <f>IF($A$2=TRUE,+AC670+GC!AC368,+AC670)</f>
        <v>0</v>
      </c>
    </row>
    <row r="853" spans="1:30">
      <c r="A853" s="646" t="s">
        <v>367</v>
      </c>
      <c r="B853" s="645"/>
      <c r="C853" s="647"/>
      <c r="D853" s="645"/>
      <c r="E853" s="645"/>
      <c r="F853" s="645"/>
      <c r="G853" s="645"/>
      <c r="H853" s="648"/>
      <c r="I853" s="649">
        <f>+I267</f>
        <v>-0.375</v>
      </c>
      <c r="J853" s="649">
        <f t="shared" ref="J853:Y853" ca="1" si="408">+J267</f>
        <v>1.8639999999999999</v>
      </c>
      <c r="K853" s="649">
        <f t="shared" ca="1" si="408"/>
        <v>1.6417499999999996</v>
      </c>
      <c r="L853" s="649">
        <f t="shared" ca="1" si="408"/>
        <v>1.6408333333333331</v>
      </c>
      <c r="M853" s="649">
        <f t="shared" ca="1" si="408"/>
        <v>1.6295833333333336</v>
      </c>
      <c r="N853" s="649">
        <f t="shared" ca="1" si="408"/>
        <v>1.6304166666666666</v>
      </c>
      <c r="O853" s="649">
        <f t="shared" ca="1" si="408"/>
        <v>1.6383333333333332</v>
      </c>
      <c r="P853" s="649">
        <f t="shared" ca="1" si="408"/>
        <v>1.6541666666666663</v>
      </c>
      <c r="Q853" s="649">
        <f t="shared" ca="1" si="408"/>
        <v>1.6799999999999997</v>
      </c>
      <c r="R853" s="649">
        <f t="shared" ca="1" si="408"/>
        <v>1.7216666666666662</v>
      </c>
      <c r="S853" s="649">
        <f t="shared" ca="1" si="408"/>
        <v>1.7833333333333328</v>
      </c>
      <c r="T853" s="649">
        <f t="shared" ca="1" si="408"/>
        <v>1.8649999999999993</v>
      </c>
      <c r="U853" s="649">
        <f t="shared" ca="1" si="408"/>
        <v>1.9666666666666663</v>
      </c>
      <c r="V853" s="649">
        <f t="shared" ca="1" si="408"/>
        <v>2.0824999999999991</v>
      </c>
      <c r="W853" s="649">
        <f t="shared" ca="1" si="408"/>
        <v>2.2083333333333326</v>
      </c>
      <c r="X853" s="649">
        <f t="shared" ca="1" si="408"/>
        <v>2.3441666666666663</v>
      </c>
      <c r="Y853" s="649">
        <f t="shared" ca="1" si="408"/>
        <v>2.4899999999999998</v>
      </c>
      <c r="Z853" s="649">
        <f ca="1">+Z267</f>
        <v>2.6458333333333326</v>
      </c>
      <c r="AA853" s="649">
        <f ca="1">+AA267</f>
        <v>2.811666666666667</v>
      </c>
      <c r="AB853" s="649">
        <f ca="1">+AB267</f>
        <v>2.9875000000000003</v>
      </c>
      <c r="AC853" s="649">
        <f ca="1">+AC267</f>
        <v>3.1733333333333325</v>
      </c>
    </row>
    <row r="854" spans="1:30">
      <c r="A854" s="646" t="s">
        <v>368</v>
      </c>
      <c r="B854" s="645"/>
      <c r="C854" s="647"/>
      <c r="D854" s="645"/>
      <c r="E854" s="645"/>
      <c r="F854" s="645"/>
      <c r="G854" s="645"/>
      <c r="H854" s="648"/>
      <c r="I854" s="649">
        <f t="shared" ref="I854:X854" si="409">+I251</f>
        <v>-2.375</v>
      </c>
      <c r="J854" s="649">
        <f t="shared" ca="1" si="409"/>
        <v>19.140888888888885</v>
      </c>
      <c r="K854" s="649">
        <f t="shared" ca="1" si="409"/>
        <v>16.611666666666665</v>
      </c>
      <c r="L854" s="649">
        <f t="shared" ca="1" si="409"/>
        <v>15.968166666666665</v>
      </c>
      <c r="M854" s="649">
        <f t="shared" ca="1" si="409"/>
        <v>16.046749999999999</v>
      </c>
      <c r="N854" s="649">
        <f t="shared" ca="1" si="409"/>
        <v>16.200749999999999</v>
      </c>
      <c r="O854" s="649">
        <f t="shared" ca="1" si="409"/>
        <v>16.356416666666668</v>
      </c>
      <c r="P854" s="649">
        <f t="shared" ca="1" si="409"/>
        <v>16.531166666666667</v>
      </c>
      <c r="Q854" s="649">
        <f t="shared" ca="1" si="409"/>
        <v>16.723166666666668</v>
      </c>
      <c r="R854" s="649">
        <f t="shared" ca="1" si="409"/>
        <v>16.925749999999997</v>
      </c>
      <c r="S854" s="649">
        <f t="shared" ca="1" si="409"/>
        <v>17.1355</v>
      </c>
      <c r="T854" s="649">
        <f t="shared" ca="1" si="409"/>
        <v>17.345083333333339</v>
      </c>
      <c r="U854" s="649">
        <f t="shared" ca="1" si="409"/>
        <v>17.555416666666662</v>
      </c>
      <c r="V854" s="649">
        <f t="shared" ca="1" si="409"/>
        <v>17.765416666666663</v>
      </c>
      <c r="W854" s="649">
        <f t="shared" ca="1" si="409"/>
        <v>17.975249999999999</v>
      </c>
      <c r="X854" s="649">
        <f t="shared" ca="1" si="409"/>
        <v>18.468916666666669</v>
      </c>
      <c r="Y854" s="649">
        <f ca="1">+Y251</f>
        <v>18.951833333333337</v>
      </c>
      <c r="Z854" s="649">
        <f ca="1">+Z251</f>
        <v>19.252249999999993</v>
      </c>
      <c r="AA854" s="649">
        <f ca="1">+AA251</f>
        <v>19.551999999999996</v>
      </c>
      <c r="AB854" s="649">
        <f ca="1">+AB251</f>
        <v>19.85166666666667</v>
      </c>
      <c r="AC854" s="649">
        <f ca="1">+AC251</f>
        <v>20.076999999999998</v>
      </c>
    </row>
    <row r="855" spans="1:30">
      <c r="A855" s="650" t="s">
        <v>369</v>
      </c>
      <c r="B855" s="645" t="s">
        <v>157</v>
      </c>
      <c r="C855" s="647"/>
      <c r="D855" s="645"/>
      <c r="E855" s="645"/>
      <c r="F855" s="645"/>
      <c r="G855" s="645"/>
      <c r="H855" s="645"/>
      <c r="I855" s="651"/>
      <c r="J855" s="651"/>
      <c r="K855" s="651"/>
      <c r="L855" s="651"/>
      <c r="M855" s="651"/>
      <c r="N855" s="651"/>
      <c r="O855" s="651"/>
      <c r="P855" s="651"/>
      <c r="Q855" s="651"/>
      <c r="R855" s="651"/>
      <c r="S855" s="651"/>
      <c r="T855" s="651"/>
      <c r="U855" s="651"/>
      <c r="V855" s="651"/>
      <c r="W855" s="651"/>
      <c r="X855" s="651"/>
      <c r="Y855" s="651"/>
      <c r="Z855" s="651"/>
      <c r="AA855" s="651"/>
      <c r="AB855" s="651"/>
      <c r="AC855" s="651"/>
    </row>
    <row r="856" spans="1:30">
      <c r="A856" s="650"/>
      <c r="B856" s="645" t="s">
        <v>584</v>
      </c>
      <c r="C856" s="647"/>
      <c r="D856" s="645"/>
      <c r="E856" s="645"/>
      <c r="F856" s="645"/>
      <c r="G856" s="645"/>
      <c r="H856" s="645"/>
      <c r="I856" s="651">
        <f t="shared" ref="I856:AC856" ca="1" si="410">I820</f>
        <v>32303.548385149472</v>
      </c>
      <c r="J856" s="651">
        <f t="shared" ca="1" si="410"/>
        <v>54681.633759852062</v>
      </c>
      <c r="K856" s="651">
        <f t="shared" ca="1" si="410"/>
        <v>65076.249931182057</v>
      </c>
      <c r="L856" s="651">
        <f t="shared" ca="1" si="410"/>
        <v>75265.079780108295</v>
      </c>
      <c r="M856" s="651">
        <f t="shared" ca="1" si="410"/>
        <v>83970.944292470071</v>
      </c>
      <c r="N856" s="651">
        <f t="shared" ca="1" si="410"/>
        <v>90705.300222777703</v>
      </c>
      <c r="O856" s="651">
        <f t="shared" ca="1" si="410"/>
        <v>94607.856150821404</v>
      </c>
      <c r="P856" s="651">
        <f t="shared" ca="1" si="410"/>
        <v>100842.40447296681</v>
      </c>
      <c r="Q856" s="651">
        <f t="shared" ca="1" si="410"/>
        <v>95452.286728956533</v>
      </c>
      <c r="R856" s="651">
        <f t="shared" ca="1" si="410"/>
        <v>80173.907515706785</v>
      </c>
      <c r="S856" s="651">
        <f t="shared" ca="1" si="410"/>
        <v>66052.357343498355</v>
      </c>
      <c r="T856" s="651">
        <f t="shared" ca="1" si="410"/>
        <v>53373.444652791703</v>
      </c>
      <c r="U856" s="651">
        <f t="shared" ca="1" si="410"/>
        <v>42479.382826484863</v>
      </c>
      <c r="V856" s="651">
        <f t="shared" ca="1" si="410"/>
        <v>33564.019126824263</v>
      </c>
      <c r="W856" s="651">
        <f t="shared" ca="1" si="410"/>
        <v>26297.031852341592</v>
      </c>
      <c r="X856" s="651">
        <f t="shared" ca="1" si="410"/>
        <v>20322.430385394575</v>
      </c>
      <c r="Y856" s="651">
        <f t="shared" ca="1" si="410"/>
        <v>15323.899918765692</v>
      </c>
      <c r="Z856" s="651">
        <f t="shared" ca="1" si="410"/>
        <v>11122.167510073634</v>
      </c>
      <c r="AA856" s="651">
        <f t="shared" ca="1" si="410"/>
        <v>7640.8448435280234</v>
      </c>
      <c r="AB856" s="651">
        <f t="shared" ca="1" si="410"/>
        <v>4706.5144680200374</v>
      </c>
      <c r="AC856" s="651">
        <f t="shared" ca="1" si="410"/>
        <v>2196.0755539383836</v>
      </c>
      <c r="AD856" s="651">
        <f ca="1">+AD820</f>
        <v>0</v>
      </c>
    </row>
    <row r="857" spans="1:30" ht="12" thickBot="1">
      <c r="A857" s="652"/>
      <c r="B857" s="652"/>
      <c r="C857" s="652"/>
      <c r="D857" s="652"/>
      <c r="E857" s="652"/>
      <c r="F857" s="652"/>
      <c r="G857" s="652"/>
      <c r="H857" s="652"/>
      <c r="I857" s="652"/>
      <c r="J857" s="652"/>
      <c r="K857" s="652"/>
      <c r="L857" s="652"/>
      <c r="M857" s="652"/>
      <c r="N857" s="652"/>
      <c r="O857" s="652"/>
      <c r="P857" s="652"/>
      <c r="Q857" s="652"/>
      <c r="R857" s="652"/>
      <c r="S857" s="652"/>
      <c r="T857" s="652"/>
      <c r="U857" s="652"/>
      <c r="V857" s="652"/>
      <c r="W857" s="652"/>
      <c r="X857" s="652"/>
      <c r="Y857" s="652"/>
      <c r="Z857" s="652"/>
      <c r="AA857" s="652"/>
      <c r="AB857" s="652"/>
      <c r="AC857" s="652"/>
    </row>
    <row r="858" spans="1:30" ht="12" thickTop="1">
      <c r="A858" s="637"/>
      <c r="B858" s="637"/>
      <c r="C858" s="637"/>
      <c r="D858" s="637"/>
      <c r="E858" s="637"/>
      <c r="F858" s="637"/>
      <c r="G858" s="637"/>
      <c r="H858" s="637"/>
      <c r="I858" s="637"/>
      <c r="J858" s="637"/>
      <c r="K858" s="637"/>
      <c r="L858" s="637"/>
      <c r="M858" s="637"/>
      <c r="N858" s="637"/>
      <c r="O858" s="637"/>
      <c r="P858" s="637"/>
      <c r="Q858" s="637"/>
      <c r="R858" s="637"/>
      <c r="S858" s="637"/>
      <c r="T858" s="637"/>
      <c r="U858" s="637"/>
      <c r="V858" s="637"/>
      <c r="W858" s="637"/>
      <c r="X858" s="637"/>
      <c r="Y858" s="637"/>
      <c r="Z858" s="637"/>
      <c r="AA858" s="637"/>
      <c r="AB858" s="637"/>
      <c r="AC858" s="637"/>
    </row>
    <row r="859" spans="1:30">
      <c r="A859" s="636" t="s">
        <v>370</v>
      </c>
      <c r="B859" s="637"/>
      <c r="C859" s="637"/>
      <c r="D859" s="637"/>
      <c r="E859" s="637"/>
      <c r="F859" s="637"/>
      <c r="G859" s="637"/>
      <c r="H859" s="653"/>
      <c r="I859" s="637"/>
      <c r="J859" s="637"/>
      <c r="K859" s="637"/>
      <c r="L859" s="637"/>
      <c r="M859" s="637"/>
      <c r="N859" s="637"/>
      <c r="O859" s="637"/>
      <c r="P859" s="637"/>
      <c r="Q859" s="637"/>
      <c r="R859" s="637"/>
      <c r="S859" s="637"/>
      <c r="T859" s="637"/>
      <c r="U859" s="637"/>
      <c r="V859" s="637"/>
      <c r="W859" s="637"/>
      <c r="X859" s="637"/>
      <c r="Y859" s="637"/>
      <c r="Z859" s="637"/>
      <c r="AA859" s="637"/>
      <c r="AB859" s="637"/>
      <c r="AC859" s="637"/>
    </row>
    <row r="860" spans="1:30">
      <c r="A860" s="637"/>
      <c r="B860" s="637"/>
      <c r="C860" s="637"/>
      <c r="D860" s="637"/>
      <c r="E860" s="637" t="s">
        <v>371</v>
      </c>
      <c r="F860" s="637"/>
      <c r="G860" s="637"/>
      <c r="H860" s="653">
        <f ca="1">+CFMODEL!H966</f>
        <v>0.5</v>
      </c>
      <c r="I860" s="637"/>
      <c r="J860" s="637"/>
      <c r="K860" s="637"/>
      <c r="L860" s="637"/>
      <c r="M860" s="637"/>
      <c r="N860" s="637"/>
      <c r="O860" s="637"/>
      <c r="P860" s="637"/>
      <c r="Q860" s="637"/>
      <c r="R860" s="637"/>
      <c r="S860" s="637"/>
      <c r="T860" s="637"/>
      <c r="U860" s="637"/>
      <c r="V860" s="637"/>
      <c r="W860" s="637"/>
      <c r="X860" s="637"/>
      <c r="Y860" s="637"/>
      <c r="Z860" s="637"/>
      <c r="AA860" s="637"/>
      <c r="AB860" s="637"/>
      <c r="AC860" s="637"/>
    </row>
    <row r="861" spans="1:30">
      <c r="A861" s="637"/>
      <c r="B861" s="637"/>
      <c r="C861" s="637"/>
      <c r="D861" s="637"/>
      <c r="E861" s="638" t="s">
        <v>372</v>
      </c>
      <c r="F861" s="637"/>
      <c r="G861" s="654"/>
      <c r="H861" s="637">
        <f>+CFMODEL!H967</f>
        <v>1000</v>
      </c>
      <c r="I861" s="637"/>
      <c r="J861" s="637"/>
      <c r="K861" s="637"/>
      <c r="L861" s="637"/>
      <c r="M861" s="637"/>
      <c r="N861" s="637"/>
      <c r="O861" s="637"/>
      <c r="P861" s="637"/>
      <c r="Q861" s="637"/>
      <c r="R861" s="637"/>
      <c r="S861" s="637"/>
      <c r="T861" s="637"/>
      <c r="U861" s="637"/>
      <c r="V861" s="637"/>
      <c r="W861" s="637"/>
      <c r="X861" s="637"/>
      <c r="Y861" s="637"/>
      <c r="Z861" s="637"/>
      <c r="AA861" s="637"/>
      <c r="AB861" s="637"/>
      <c r="AC861" s="637"/>
    </row>
    <row r="862" spans="1:30">
      <c r="A862" s="637"/>
      <c r="B862" s="637"/>
      <c r="C862" s="637"/>
      <c r="D862" s="637"/>
      <c r="E862" s="637" t="s">
        <v>471</v>
      </c>
      <c r="F862" s="637"/>
      <c r="G862" s="654"/>
      <c r="H862" s="637"/>
      <c r="I862" s="637">
        <f>+CFMODEL!I968</f>
        <v>0</v>
      </c>
      <c r="J862" s="637">
        <f>+CFMODEL!J968</f>
        <v>0</v>
      </c>
      <c r="K862" s="637">
        <f>+CFMODEL!K968</f>
        <v>0</v>
      </c>
      <c r="L862" s="637">
        <f>+CFMODEL!L968</f>
        <v>0</v>
      </c>
      <c r="M862" s="637">
        <f>+CFMODEL!M968</f>
        <v>0</v>
      </c>
      <c r="N862" s="637">
        <f>+CFMODEL!N968</f>
        <v>0</v>
      </c>
      <c r="O862" s="637">
        <f>+CFMODEL!O968</f>
        <v>0</v>
      </c>
      <c r="P862" s="637">
        <f>+CFMODEL!P968</f>
        <v>21.431593893078762</v>
      </c>
      <c r="Q862" s="637">
        <f>+CFMODEL!Q968</f>
        <v>22.208802591753514</v>
      </c>
      <c r="R862" s="637">
        <f>+CFMODEL!R968</f>
        <v>31.306968531094796</v>
      </c>
      <c r="S862" s="637">
        <f>+CFMODEL!S968</f>
        <v>25.246675027440688</v>
      </c>
      <c r="T862" s="637">
        <f>+CFMODEL!T968</f>
        <v>20.112053425777358</v>
      </c>
      <c r="U862" s="637">
        <f>+CFMODEL!U968</f>
        <v>15.798360025320317</v>
      </c>
      <c r="V862" s="637">
        <f>+CFMODEL!V968</f>
        <v>12.182312939375194</v>
      </c>
      <c r="W862" s="637">
        <f>+CFMODEL!W968</f>
        <v>9.2132852829823619</v>
      </c>
      <c r="X862" s="637">
        <f>+CFMODEL!X968</f>
        <v>6.7784409264301715</v>
      </c>
      <c r="Y862" s="637">
        <f>+CFMODEL!Y968</f>
        <v>4.8032377990553741</v>
      </c>
      <c r="Z862" s="637">
        <f>+CFMODEL!Z968</f>
        <v>3.2465984900921114</v>
      </c>
      <c r="AA862" s="637">
        <f>+CFMODEL!AA968</f>
        <v>2.1030848390606849</v>
      </c>
      <c r="AB862" s="637">
        <f>+CFMODEL!AB968</f>
        <v>1.2286575589010695</v>
      </c>
      <c r="AC862" s="637">
        <f>+CFMODEL!AC968</f>
        <v>0.55598556042943414</v>
      </c>
    </row>
    <row r="863" spans="1:30" ht="12" thickBot="1">
      <c r="A863" s="652"/>
      <c r="B863" s="652"/>
      <c r="C863" s="652"/>
      <c r="D863" s="652"/>
      <c r="E863" s="652"/>
      <c r="F863" s="652"/>
      <c r="G863" s="652"/>
      <c r="H863" s="652"/>
      <c r="I863" s="652"/>
      <c r="J863" s="652"/>
      <c r="K863" s="652"/>
      <c r="L863" s="652"/>
      <c r="M863" s="652"/>
      <c r="N863" s="652"/>
      <c r="O863" s="652"/>
      <c r="P863" s="652"/>
      <c r="Q863" s="652"/>
      <c r="R863" s="652"/>
      <c r="S863" s="652"/>
      <c r="T863" s="652"/>
      <c r="U863" s="652"/>
      <c r="V863" s="652"/>
      <c r="W863" s="652"/>
      <c r="X863" s="652"/>
      <c r="Y863" s="652"/>
      <c r="Z863" s="652"/>
      <c r="AA863" s="652"/>
      <c r="AB863" s="652"/>
      <c r="AC863" s="652"/>
    </row>
    <row r="864" spans="1:30" ht="12" thickTop="1"/>
    <row r="867" spans="1:30">
      <c r="A867" s="339" t="s">
        <v>585</v>
      </c>
    </row>
    <row r="868" spans="1:30">
      <c r="B868" t="s">
        <v>395</v>
      </c>
      <c r="I868">
        <f>+I247</f>
        <v>64.900692258923371</v>
      </c>
      <c r="J868">
        <f t="shared" ref="J868:Y868" si="411">+J247</f>
        <v>129.80138451784674</v>
      </c>
      <c r="K868">
        <f t="shared" si="411"/>
        <v>102.10538546675102</v>
      </c>
      <c r="L868">
        <f t="shared" si="411"/>
        <v>80.318940973086299</v>
      </c>
      <c r="M868">
        <f t="shared" si="411"/>
        <v>63.181116740789633</v>
      </c>
      <c r="N868">
        <f t="shared" si="411"/>
        <v>49.700026721603557</v>
      </c>
      <c r="O868">
        <f t="shared" si="411"/>
        <v>39.09542571496555</v>
      </c>
      <c r="P868">
        <f t="shared" si="411"/>
        <v>30.753551107649681</v>
      </c>
      <c r="Q868">
        <f t="shared" si="411"/>
        <v>24.191600128011402</v>
      </c>
      <c r="R868">
        <f t="shared" si="411"/>
        <v>19.029786664474969</v>
      </c>
      <c r="S868">
        <f t="shared" si="411"/>
        <v>14.969360380428766</v>
      </c>
      <c r="T868">
        <f t="shared" si="411"/>
        <v>11.775315937591088</v>
      </c>
      <c r="U868">
        <f t="shared" si="411"/>
        <v>9.262791589370174</v>
      </c>
      <c r="V868">
        <f t="shared" si="411"/>
        <v>7.2863699354515203</v>
      </c>
      <c r="W868">
        <f t="shared" si="411"/>
        <v>5.7316615972638703</v>
      </c>
      <c r="X868">
        <f t="shared" si="411"/>
        <v>4.5086847026129835</v>
      </c>
      <c r="Y868">
        <f t="shared" si="411"/>
        <v>3.5466570038399405</v>
      </c>
      <c r="Z868">
        <f>+Z247</f>
        <v>2.7898992128673235</v>
      </c>
      <c r="AA868">
        <f>+AA247</f>
        <v>2.1946124504090836</v>
      </c>
      <c r="AB868">
        <f>+AB247</f>
        <v>1.7263432977353248</v>
      </c>
      <c r="AC868">
        <f>+AC247</f>
        <v>1.3579897357641186</v>
      </c>
      <c r="AD868">
        <f>SUM(I868:AC868)</f>
        <v>668.22759613743631</v>
      </c>
    </row>
    <row r="869" spans="1:30">
      <c r="B869" t="s">
        <v>396</v>
      </c>
      <c r="I869">
        <f>+I317</f>
        <v>2.589</v>
      </c>
      <c r="J869">
        <f t="shared" ref="J869:Y869" si="412">+J317</f>
        <v>8.1449999999999996</v>
      </c>
      <c r="K869">
        <f t="shared" si="412"/>
        <v>4.9850000000000003</v>
      </c>
      <c r="L869">
        <f t="shared" si="412"/>
        <v>7.39</v>
      </c>
      <c r="M869">
        <f t="shared" si="412"/>
        <v>14.324</v>
      </c>
      <c r="N869">
        <f t="shared" si="412"/>
        <v>7.6879999999999997</v>
      </c>
      <c r="O869">
        <f t="shared" si="412"/>
        <v>4.8040000000000003</v>
      </c>
      <c r="P869">
        <f t="shared" si="412"/>
        <v>1.2929999999999999</v>
      </c>
      <c r="Q869">
        <f t="shared" si="412"/>
        <v>1.099</v>
      </c>
      <c r="R869">
        <f t="shared" si="412"/>
        <v>0.93400000000000005</v>
      </c>
      <c r="S869">
        <f t="shared" si="412"/>
        <v>0.79400000000000004</v>
      </c>
      <c r="T869">
        <f t="shared" si="412"/>
        <v>0.67500000000000004</v>
      </c>
      <c r="U869">
        <f t="shared" si="412"/>
        <v>0.57399999999999995</v>
      </c>
      <c r="V869">
        <f t="shared" si="412"/>
        <v>0.48799999999999999</v>
      </c>
      <c r="W869">
        <f t="shared" si="412"/>
        <v>0.41399999999999998</v>
      </c>
      <c r="X869">
        <f t="shared" si="412"/>
        <v>0.35199999999999998</v>
      </c>
      <c r="Y869">
        <f t="shared" si="412"/>
        <v>0.29899999999999999</v>
      </c>
      <c r="Z869">
        <f>+Z317</f>
        <v>0</v>
      </c>
      <c r="AA869">
        <f>+AA317</f>
        <v>0</v>
      </c>
      <c r="AB869">
        <f>+AB317</f>
        <v>0</v>
      </c>
      <c r="AC869">
        <f>+AC317</f>
        <v>0</v>
      </c>
      <c r="AD869">
        <f t="shared" ref="AD869:AD875" si="413">SUM(I869:AC869)</f>
        <v>56.846999999999987</v>
      </c>
    </row>
    <row r="870" spans="1:30">
      <c r="B870" t="s">
        <v>397</v>
      </c>
      <c r="I870">
        <f>+I390</f>
        <v>0</v>
      </c>
      <c r="J870">
        <f t="shared" ref="J870:Y870" si="414">+J390</f>
        <v>0</v>
      </c>
      <c r="K870">
        <f t="shared" si="414"/>
        <v>0</v>
      </c>
      <c r="L870">
        <f t="shared" si="414"/>
        <v>0</v>
      </c>
      <c r="M870">
        <f t="shared" si="414"/>
        <v>0</v>
      </c>
      <c r="N870">
        <f t="shared" si="414"/>
        <v>0</v>
      </c>
      <c r="O870">
        <f t="shared" si="414"/>
        <v>0</v>
      </c>
      <c r="P870">
        <f t="shared" si="414"/>
        <v>0</v>
      </c>
      <c r="Q870">
        <f t="shared" si="414"/>
        <v>0</v>
      </c>
      <c r="R870">
        <f t="shared" si="414"/>
        <v>0</v>
      </c>
      <c r="S870">
        <f t="shared" si="414"/>
        <v>0</v>
      </c>
      <c r="T870">
        <f t="shared" si="414"/>
        <v>0</v>
      </c>
      <c r="U870">
        <f t="shared" si="414"/>
        <v>0</v>
      </c>
      <c r="V870">
        <f t="shared" si="414"/>
        <v>0</v>
      </c>
      <c r="W870">
        <f t="shared" si="414"/>
        <v>0</v>
      </c>
      <c r="X870">
        <f t="shared" si="414"/>
        <v>0</v>
      </c>
      <c r="Y870">
        <f t="shared" si="414"/>
        <v>0</v>
      </c>
      <c r="Z870">
        <f>+Z390</f>
        <v>0</v>
      </c>
      <c r="AA870">
        <f>+AA390</f>
        <v>0</v>
      </c>
      <c r="AB870">
        <f>+AB390</f>
        <v>0</v>
      </c>
      <c r="AC870">
        <f>+AC390</f>
        <v>0</v>
      </c>
      <c r="AD870">
        <f t="shared" si="413"/>
        <v>0</v>
      </c>
    </row>
    <row r="871" spans="1:30">
      <c r="B871" t="s">
        <v>586</v>
      </c>
      <c r="I871">
        <f>+I460</f>
        <v>0</v>
      </c>
      <c r="J871">
        <f t="shared" ref="J871:Y871" si="415">+J460</f>
        <v>0</v>
      </c>
      <c r="K871">
        <f t="shared" si="415"/>
        <v>0</v>
      </c>
      <c r="L871">
        <f t="shared" si="415"/>
        <v>0</v>
      </c>
      <c r="M871">
        <f t="shared" si="415"/>
        <v>0</v>
      </c>
      <c r="N871">
        <f t="shared" si="415"/>
        <v>0</v>
      </c>
      <c r="O871">
        <f t="shared" si="415"/>
        <v>0</v>
      </c>
      <c r="P871">
        <f t="shared" si="415"/>
        <v>0</v>
      </c>
      <c r="Q871">
        <f t="shared" si="415"/>
        <v>0</v>
      </c>
      <c r="R871">
        <f t="shared" si="415"/>
        <v>0</v>
      </c>
      <c r="S871">
        <f t="shared" si="415"/>
        <v>0</v>
      </c>
      <c r="T871">
        <f t="shared" si="415"/>
        <v>0</v>
      </c>
      <c r="U871">
        <f t="shared" si="415"/>
        <v>0</v>
      </c>
      <c r="V871">
        <f t="shared" si="415"/>
        <v>0</v>
      </c>
      <c r="W871">
        <f t="shared" si="415"/>
        <v>0</v>
      </c>
      <c r="X871">
        <f t="shared" si="415"/>
        <v>0</v>
      </c>
      <c r="Y871">
        <f t="shared" si="415"/>
        <v>0</v>
      </c>
      <c r="Z871">
        <f>+Z460</f>
        <v>0</v>
      </c>
      <c r="AA871">
        <f>+AA460</f>
        <v>0</v>
      </c>
      <c r="AB871">
        <f>+AB460</f>
        <v>0</v>
      </c>
      <c r="AC871">
        <f>+AC460</f>
        <v>0</v>
      </c>
      <c r="AD871">
        <f t="shared" si="413"/>
        <v>0</v>
      </c>
    </row>
    <row r="872" spans="1:30">
      <c r="B872" t="s">
        <v>587</v>
      </c>
      <c r="I872">
        <f>+I530</f>
        <v>0</v>
      </c>
      <c r="J872">
        <f t="shared" ref="J872:Y872" si="416">+J530</f>
        <v>0</v>
      </c>
      <c r="K872">
        <f t="shared" si="416"/>
        <v>0</v>
      </c>
      <c r="L872">
        <f t="shared" si="416"/>
        <v>0</v>
      </c>
      <c r="M872">
        <f t="shared" si="416"/>
        <v>0</v>
      </c>
      <c r="N872">
        <f t="shared" si="416"/>
        <v>0</v>
      </c>
      <c r="O872">
        <f t="shared" si="416"/>
        <v>0</v>
      </c>
      <c r="P872">
        <f t="shared" si="416"/>
        <v>0</v>
      </c>
      <c r="Q872">
        <f t="shared" si="416"/>
        <v>0</v>
      </c>
      <c r="R872">
        <f t="shared" si="416"/>
        <v>0</v>
      </c>
      <c r="S872">
        <f t="shared" si="416"/>
        <v>0</v>
      </c>
      <c r="T872">
        <f t="shared" si="416"/>
        <v>0</v>
      </c>
      <c r="U872">
        <f t="shared" si="416"/>
        <v>0</v>
      </c>
      <c r="V872">
        <f t="shared" si="416"/>
        <v>0</v>
      </c>
      <c r="W872">
        <f t="shared" si="416"/>
        <v>0</v>
      </c>
      <c r="X872">
        <f t="shared" si="416"/>
        <v>0</v>
      </c>
      <c r="Y872">
        <f t="shared" si="416"/>
        <v>0</v>
      </c>
      <c r="Z872">
        <f>+Z530</f>
        <v>0</v>
      </c>
      <c r="AA872">
        <f>+AA530</f>
        <v>0</v>
      </c>
      <c r="AB872">
        <f>+AB530</f>
        <v>0</v>
      </c>
      <c r="AC872">
        <f>+AC530</f>
        <v>0</v>
      </c>
      <c r="AD872">
        <f t="shared" si="413"/>
        <v>0</v>
      </c>
    </row>
    <row r="873" spans="1:30">
      <c r="B873" s="341" t="s">
        <v>588</v>
      </c>
      <c r="I873" s="205">
        <f>SUM(I868:I872)</f>
        <v>67.48969225892337</v>
      </c>
      <c r="J873" s="205">
        <f t="shared" ref="J873:Y873" si="417">SUM(J868:J872)</f>
        <v>137.94638451784675</v>
      </c>
      <c r="K873" s="205">
        <f t="shared" si="417"/>
        <v>107.09038546675102</v>
      </c>
      <c r="L873" s="205">
        <f t="shared" si="417"/>
        <v>87.7089409730863</v>
      </c>
      <c r="M873" s="205">
        <f t="shared" si="417"/>
        <v>77.505116740789632</v>
      </c>
      <c r="N873" s="205">
        <f t="shared" si="417"/>
        <v>57.388026721603559</v>
      </c>
      <c r="O873" s="205">
        <f t="shared" si="417"/>
        <v>43.899425714965552</v>
      </c>
      <c r="P873" s="205">
        <f t="shared" si="417"/>
        <v>32.046551107649684</v>
      </c>
      <c r="Q873" s="205">
        <f t="shared" si="417"/>
        <v>25.290600128011402</v>
      </c>
      <c r="R873" s="205">
        <f t="shared" si="417"/>
        <v>19.96378666447497</v>
      </c>
      <c r="S873" s="205">
        <f t="shared" si="417"/>
        <v>15.763360380428766</v>
      </c>
      <c r="T873" s="205">
        <f t="shared" si="417"/>
        <v>12.450315937591089</v>
      </c>
      <c r="U873" s="205">
        <f t="shared" si="417"/>
        <v>9.8367915893701738</v>
      </c>
      <c r="V873" s="205">
        <f t="shared" si="417"/>
        <v>7.7743699354515208</v>
      </c>
      <c r="W873" s="205">
        <f t="shared" si="417"/>
        <v>6.14566159726387</v>
      </c>
      <c r="X873" s="205">
        <f t="shared" si="417"/>
        <v>4.8606847026129838</v>
      </c>
      <c r="Y873" s="205">
        <f t="shared" si="417"/>
        <v>3.8456570038399405</v>
      </c>
      <c r="Z873" s="205">
        <f>SUM(Z868:Z872)</f>
        <v>2.7898992128673235</v>
      </c>
      <c r="AA873" s="205">
        <f>SUM(AA868:AA872)</f>
        <v>2.1946124504090836</v>
      </c>
      <c r="AB873" s="205">
        <f>SUM(AB868:AB872)</f>
        <v>1.7263432977353248</v>
      </c>
      <c r="AC873" s="205">
        <f>SUM(AC868:AC872)</f>
        <v>1.3579897357641186</v>
      </c>
      <c r="AD873" s="205">
        <f>SUM(AD868:AD872)</f>
        <v>725.07459613743629</v>
      </c>
    </row>
    <row r="874" spans="1:30">
      <c r="B874" t="s">
        <v>589</v>
      </c>
      <c r="I874" s="208">
        <f>SUM(I868:I870)</f>
        <v>67.48969225892337</v>
      </c>
      <c r="J874" s="208">
        <f t="shared" ref="J874:Y874" si="418">SUM(J868:J870)</f>
        <v>137.94638451784675</v>
      </c>
      <c r="K874" s="208">
        <f t="shared" si="418"/>
        <v>107.09038546675102</v>
      </c>
      <c r="L874" s="208">
        <f t="shared" si="418"/>
        <v>87.7089409730863</v>
      </c>
      <c r="M874" s="208">
        <f t="shared" si="418"/>
        <v>77.505116740789632</v>
      </c>
      <c r="N874" s="208">
        <f t="shared" si="418"/>
        <v>57.388026721603559</v>
      </c>
      <c r="O874" s="208">
        <f t="shared" si="418"/>
        <v>43.899425714965552</v>
      </c>
      <c r="P874" s="208">
        <f t="shared" si="418"/>
        <v>32.046551107649684</v>
      </c>
      <c r="Q874" s="208">
        <f t="shared" si="418"/>
        <v>25.290600128011402</v>
      </c>
      <c r="R874" s="208">
        <f t="shared" si="418"/>
        <v>19.96378666447497</v>
      </c>
      <c r="S874" s="208">
        <f t="shared" si="418"/>
        <v>15.763360380428766</v>
      </c>
      <c r="T874" s="208">
        <f t="shared" si="418"/>
        <v>12.450315937591089</v>
      </c>
      <c r="U874" s="208">
        <f t="shared" si="418"/>
        <v>9.8367915893701738</v>
      </c>
      <c r="V874" s="208">
        <f t="shared" si="418"/>
        <v>7.7743699354515208</v>
      </c>
      <c r="W874" s="208">
        <f t="shared" si="418"/>
        <v>6.14566159726387</v>
      </c>
      <c r="X874" s="208">
        <f t="shared" si="418"/>
        <v>4.8606847026129838</v>
      </c>
      <c r="Y874" s="208">
        <f t="shared" si="418"/>
        <v>3.8456570038399405</v>
      </c>
      <c r="Z874" s="208">
        <f>SUM(Z868:Z870)</f>
        <v>2.7898992128673235</v>
      </c>
      <c r="AA874" s="208">
        <f>SUM(AA868:AA870)</f>
        <v>2.1946124504090836</v>
      </c>
      <c r="AB874" s="208">
        <f>SUM(AB868:AB870)</f>
        <v>1.7263432977353248</v>
      </c>
      <c r="AC874" s="208">
        <f>SUM(AC868:AC870)</f>
        <v>1.3579897357641186</v>
      </c>
      <c r="AD874">
        <f t="shared" si="413"/>
        <v>725.07459613743629</v>
      </c>
    </row>
    <row r="875" spans="1:30">
      <c r="B875" t="s">
        <v>590</v>
      </c>
      <c r="I875" s="208">
        <f>SUM(I871:I872)</f>
        <v>0</v>
      </c>
      <c r="J875" s="208">
        <f t="shared" ref="J875:Y875" si="419">SUM(J871:J872)</f>
        <v>0</v>
      </c>
      <c r="K875" s="208">
        <f t="shared" si="419"/>
        <v>0</v>
      </c>
      <c r="L875" s="208">
        <f t="shared" si="419"/>
        <v>0</v>
      </c>
      <c r="M875" s="208">
        <f t="shared" si="419"/>
        <v>0</v>
      </c>
      <c r="N875" s="208">
        <f t="shared" si="419"/>
        <v>0</v>
      </c>
      <c r="O875" s="208">
        <f t="shared" si="419"/>
        <v>0</v>
      </c>
      <c r="P875" s="208">
        <f t="shared" si="419"/>
        <v>0</v>
      </c>
      <c r="Q875" s="208">
        <f t="shared" si="419"/>
        <v>0</v>
      </c>
      <c r="R875" s="208">
        <f t="shared" si="419"/>
        <v>0</v>
      </c>
      <c r="S875" s="208">
        <f t="shared" si="419"/>
        <v>0</v>
      </c>
      <c r="T875" s="208">
        <f t="shared" si="419"/>
        <v>0</v>
      </c>
      <c r="U875" s="208">
        <f t="shared" si="419"/>
        <v>0</v>
      </c>
      <c r="V875" s="208">
        <f t="shared" si="419"/>
        <v>0</v>
      </c>
      <c r="W875" s="208">
        <f t="shared" si="419"/>
        <v>0</v>
      </c>
      <c r="X875" s="208">
        <f t="shared" si="419"/>
        <v>0</v>
      </c>
      <c r="Y875" s="208">
        <f t="shared" si="419"/>
        <v>0</v>
      </c>
      <c r="Z875" s="208">
        <f>SUM(Z871:Z872)</f>
        <v>0</v>
      </c>
      <c r="AA875" s="208">
        <f>SUM(AA871:AA872)</f>
        <v>0</v>
      </c>
      <c r="AB875" s="208">
        <f>SUM(AB871:AB872)</f>
        <v>0</v>
      </c>
      <c r="AC875" s="208">
        <f>SUM(AC871:AC872)</f>
        <v>0</v>
      </c>
      <c r="AD875">
        <f t="shared" si="413"/>
        <v>0</v>
      </c>
    </row>
    <row r="877" spans="1:30">
      <c r="A877" s="339" t="s">
        <v>591</v>
      </c>
    </row>
    <row r="878" spans="1:30">
      <c r="B878" t="s">
        <v>395</v>
      </c>
      <c r="I878">
        <f>+I260</f>
        <v>932.09579108898811</v>
      </c>
      <c r="J878">
        <f t="shared" ref="J878:Y878" si="420">+J260</f>
        <v>1864.1915821779762</v>
      </c>
      <c r="K878">
        <f t="shared" si="420"/>
        <v>1604.5245643650328</v>
      </c>
      <c r="L878">
        <f t="shared" si="420"/>
        <v>1381.0270909189248</v>
      </c>
      <c r="M878">
        <f t="shared" si="420"/>
        <v>1188.6610328130123</v>
      </c>
      <c r="N878">
        <f t="shared" si="420"/>
        <v>1023.0900322078071</v>
      </c>
      <c r="O878">
        <f t="shared" si="420"/>
        <v>880.58175132222891</v>
      </c>
      <c r="P878">
        <f t="shared" si="420"/>
        <v>757.92373725738912</v>
      </c>
      <c r="Q878">
        <f t="shared" si="420"/>
        <v>652.3510061793246</v>
      </c>
      <c r="R878">
        <f t="shared" si="420"/>
        <v>561.48371444745692</v>
      </c>
      <c r="S878">
        <f t="shared" si="420"/>
        <v>483.27351165769568</v>
      </c>
      <c r="T878">
        <f t="shared" si="420"/>
        <v>415.95736627872685</v>
      </c>
      <c r="U878">
        <f t="shared" si="420"/>
        <v>358.01782300885958</v>
      </c>
      <c r="V878">
        <f t="shared" si="420"/>
        <v>308.14879596606005</v>
      </c>
      <c r="W878">
        <f t="shared" si="420"/>
        <v>265.22612661376559</v>
      </c>
      <c r="X878">
        <f t="shared" si="420"/>
        <v>228.28224273279037</v>
      </c>
      <c r="Y878">
        <f t="shared" si="420"/>
        <v>196.48434719631388</v>
      </c>
      <c r="Z878">
        <f>+Z260</f>
        <v>169.11564487453779</v>
      </c>
      <c r="AA878">
        <f>+AA260</f>
        <v>145.55918448178213</v>
      </c>
      <c r="AB878">
        <f>+AB260</f>
        <v>125.28395112539637</v>
      </c>
      <c r="AC878">
        <f>+AC260</f>
        <v>107.83289605167576</v>
      </c>
      <c r="AD878">
        <f>SUM(I878:AC878)</f>
        <v>13649.112192765744</v>
      </c>
    </row>
    <row r="879" spans="1:30">
      <c r="B879" t="s">
        <v>396</v>
      </c>
      <c r="I879">
        <f>+I330</f>
        <v>0</v>
      </c>
      <c r="J879">
        <f t="shared" ref="J879:Y879" si="421">+J330</f>
        <v>0</v>
      </c>
      <c r="K879">
        <f t="shared" si="421"/>
        <v>0</v>
      </c>
      <c r="L879">
        <f t="shared" si="421"/>
        <v>0</v>
      </c>
      <c r="M879">
        <f t="shared" si="421"/>
        <v>0</v>
      </c>
      <c r="N879">
        <f t="shared" si="421"/>
        <v>0</v>
      </c>
      <c r="O879">
        <f t="shared" si="421"/>
        <v>0</v>
      </c>
      <c r="P879">
        <f t="shared" si="421"/>
        <v>0</v>
      </c>
      <c r="Q879">
        <f t="shared" si="421"/>
        <v>0</v>
      </c>
      <c r="R879">
        <f t="shared" si="421"/>
        <v>0</v>
      </c>
      <c r="S879">
        <f t="shared" si="421"/>
        <v>0</v>
      </c>
      <c r="T879">
        <f t="shared" si="421"/>
        <v>0</v>
      </c>
      <c r="U879">
        <f t="shared" si="421"/>
        <v>0</v>
      </c>
      <c r="V879">
        <f t="shared" si="421"/>
        <v>0</v>
      </c>
      <c r="W879">
        <f t="shared" si="421"/>
        <v>0</v>
      </c>
      <c r="X879">
        <f t="shared" si="421"/>
        <v>0</v>
      </c>
      <c r="Y879">
        <f t="shared" si="421"/>
        <v>0</v>
      </c>
      <c r="Z879">
        <f>+Z330</f>
        <v>0</v>
      </c>
      <c r="AA879">
        <f>+AA330</f>
        <v>0</v>
      </c>
      <c r="AB879">
        <f>+AB330</f>
        <v>0</v>
      </c>
      <c r="AC879">
        <f>+AC330</f>
        <v>0</v>
      </c>
      <c r="AD879">
        <f>SUM(I879:AC879)</f>
        <v>0</v>
      </c>
    </row>
    <row r="880" spans="1:30">
      <c r="B880" t="s">
        <v>397</v>
      </c>
      <c r="I880">
        <f>+I403</f>
        <v>16.143000000000001</v>
      </c>
      <c r="J880">
        <f t="shared" ref="J880:Y880" si="422">+J403</f>
        <v>362.26400000000001</v>
      </c>
      <c r="K880">
        <f t="shared" si="422"/>
        <v>611.79499999999996</v>
      </c>
      <c r="L880">
        <f t="shared" si="422"/>
        <v>803.25900000000001</v>
      </c>
      <c r="M880">
        <f t="shared" si="422"/>
        <v>888.62400000000002</v>
      </c>
      <c r="N880">
        <f t="shared" si="422"/>
        <v>969.21400000000006</v>
      </c>
      <c r="O880">
        <f t="shared" si="422"/>
        <v>902.53599999999994</v>
      </c>
      <c r="P880">
        <f t="shared" si="422"/>
        <v>809.74300000000005</v>
      </c>
      <c r="Q880">
        <f t="shared" si="422"/>
        <v>722.28800000000001</v>
      </c>
      <c r="R880">
        <f t="shared" si="422"/>
        <v>621.26</v>
      </c>
      <c r="S880">
        <f t="shared" si="422"/>
        <v>525.72</v>
      </c>
      <c r="T880">
        <f t="shared" si="422"/>
        <v>436.47399999999999</v>
      </c>
      <c r="U880">
        <f t="shared" si="422"/>
        <v>360.15100000000001</v>
      </c>
      <c r="V880">
        <f t="shared" si="422"/>
        <v>283.33199999999999</v>
      </c>
      <c r="W880">
        <f t="shared" si="422"/>
        <v>221.21600000000001</v>
      </c>
      <c r="X880">
        <f t="shared" si="422"/>
        <v>167.08</v>
      </c>
      <c r="Y880">
        <f t="shared" si="422"/>
        <v>115.00700000000001</v>
      </c>
      <c r="Z880">
        <f>+Z403</f>
        <v>59.917999999999999</v>
      </c>
      <c r="AA880">
        <f>+AA403</f>
        <v>29.212</v>
      </c>
      <c r="AB880">
        <f>+AB403</f>
        <v>8.9339999999999993</v>
      </c>
      <c r="AC880">
        <f>+AC403</f>
        <v>3.516</v>
      </c>
      <c r="AD880">
        <f>SUM(I880:AC880)</f>
        <v>8917.6859999999979</v>
      </c>
    </row>
    <row r="881" spans="2:30">
      <c r="B881" t="s">
        <v>586</v>
      </c>
      <c r="I881">
        <f>+I473</f>
        <v>0</v>
      </c>
      <c r="J881">
        <f t="shared" ref="J881:Y881" si="423">+J473</f>
        <v>0</v>
      </c>
      <c r="K881">
        <f t="shared" si="423"/>
        <v>0</v>
      </c>
      <c r="L881">
        <f t="shared" si="423"/>
        <v>0</v>
      </c>
      <c r="M881">
        <f t="shared" si="423"/>
        <v>0</v>
      </c>
      <c r="N881">
        <f t="shared" si="423"/>
        <v>0</v>
      </c>
      <c r="O881">
        <f t="shared" si="423"/>
        <v>0</v>
      </c>
      <c r="P881">
        <f t="shared" si="423"/>
        <v>0</v>
      </c>
      <c r="Q881">
        <f t="shared" si="423"/>
        <v>0</v>
      </c>
      <c r="R881">
        <f t="shared" si="423"/>
        <v>0</v>
      </c>
      <c r="S881">
        <f t="shared" si="423"/>
        <v>0</v>
      </c>
      <c r="T881">
        <f t="shared" si="423"/>
        <v>0</v>
      </c>
      <c r="U881">
        <f t="shared" si="423"/>
        <v>0</v>
      </c>
      <c r="V881">
        <f t="shared" si="423"/>
        <v>0</v>
      </c>
      <c r="W881">
        <f t="shared" si="423"/>
        <v>0</v>
      </c>
      <c r="X881">
        <f t="shared" si="423"/>
        <v>0</v>
      </c>
      <c r="Y881">
        <f t="shared" si="423"/>
        <v>0</v>
      </c>
      <c r="Z881">
        <f>+Z473</f>
        <v>0</v>
      </c>
      <c r="AA881">
        <f>+AA473</f>
        <v>0</v>
      </c>
      <c r="AB881">
        <f>+AB473</f>
        <v>0</v>
      </c>
      <c r="AC881">
        <f>+AC473</f>
        <v>0</v>
      </c>
      <c r="AD881">
        <f>SUM(I881:AC881)</f>
        <v>0</v>
      </c>
    </row>
    <row r="882" spans="2:30">
      <c r="B882" t="s">
        <v>587</v>
      </c>
      <c r="I882">
        <f>+I543</f>
        <v>0</v>
      </c>
      <c r="J882">
        <f t="shared" ref="J882:Y882" si="424">+J543</f>
        <v>0</v>
      </c>
      <c r="K882">
        <f t="shared" si="424"/>
        <v>0</v>
      </c>
      <c r="L882">
        <f t="shared" si="424"/>
        <v>0</v>
      </c>
      <c r="M882">
        <f t="shared" si="424"/>
        <v>0</v>
      </c>
      <c r="N882">
        <f t="shared" si="424"/>
        <v>0</v>
      </c>
      <c r="O882">
        <f t="shared" si="424"/>
        <v>0</v>
      </c>
      <c r="P882">
        <f t="shared" si="424"/>
        <v>0</v>
      </c>
      <c r="Q882">
        <f t="shared" si="424"/>
        <v>0</v>
      </c>
      <c r="R882">
        <f t="shared" si="424"/>
        <v>0</v>
      </c>
      <c r="S882">
        <f t="shared" si="424"/>
        <v>0</v>
      </c>
      <c r="T882">
        <f t="shared" si="424"/>
        <v>0</v>
      </c>
      <c r="U882">
        <f t="shared" si="424"/>
        <v>0</v>
      </c>
      <c r="V882">
        <f t="shared" si="424"/>
        <v>0</v>
      </c>
      <c r="W882">
        <f t="shared" si="424"/>
        <v>0</v>
      </c>
      <c r="X882">
        <f t="shared" si="424"/>
        <v>0</v>
      </c>
      <c r="Y882">
        <f t="shared" si="424"/>
        <v>0</v>
      </c>
      <c r="Z882">
        <f>+Z543</f>
        <v>0</v>
      </c>
      <c r="AA882">
        <f>+AA543</f>
        <v>0</v>
      </c>
      <c r="AB882">
        <f>+AB543</f>
        <v>0</v>
      </c>
      <c r="AC882">
        <f>+AC543</f>
        <v>0</v>
      </c>
      <c r="AD882">
        <f>SUM(I882:AC882)</f>
        <v>0</v>
      </c>
    </row>
    <row r="883" spans="2:30">
      <c r="B883" s="6" t="s">
        <v>588</v>
      </c>
      <c r="I883" s="205">
        <f>SUM(I878:I882)</f>
        <v>948.23879108898814</v>
      </c>
      <c r="J883" s="205">
        <f t="shared" ref="J883:Y883" si="425">SUM(J878:J882)</f>
        <v>2226.4555821779763</v>
      </c>
      <c r="K883" s="205">
        <f t="shared" si="425"/>
        <v>2216.3195643650329</v>
      </c>
      <c r="L883" s="205">
        <f t="shared" si="425"/>
        <v>2184.2860909189249</v>
      </c>
      <c r="M883" s="205">
        <f t="shared" si="425"/>
        <v>2077.2850328130125</v>
      </c>
      <c r="N883" s="205">
        <f t="shared" si="425"/>
        <v>1992.3040322078073</v>
      </c>
      <c r="O883" s="205">
        <f t="shared" si="425"/>
        <v>1783.1177513222287</v>
      </c>
      <c r="P883" s="205">
        <f t="shared" si="425"/>
        <v>1567.6667372573893</v>
      </c>
      <c r="Q883" s="205">
        <f t="shared" si="425"/>
        <v>1374.6390061793245</v>
      </c>
      <c r="R883" s="205">
        <f t="shared" si="425"/>
        <v>1182.743714447457</v>
      </c>
      <c r="S883" s="205">
        <f t="shared" si="425"/>
        <v>1008.9935116576958</v>
      </c>
      <c r="T883" s="205">
        <f t="shared" si="425"/>
        <v>852.43136627872684</v>
      </c>
      <c r="U883" s="205">
        <f t="shared" si="425"/>
        <v>718.16882300885959</v>
      </c>
      <c r="V883" s="205">
        <f t="shared" si="425"/>
        <v>591.48079596605999</v>
      </c>
      <c r="W883" s="205">
        <f t="shared" si="425"/>
        <v>486.44212661376559</v>
      </c>
      <c r="X883" s="205">
        <f t="shared" si="425"/>
        <v>395.36224273279038</v>
      </c>
      <c r="Y883" s="205">
        <f t="shared" si="425"/>
        <v>311.49134719631388</v>
      </c>
      <c r="Z883" s="205">
        <f>SUM(Z878:Z882)</f>
        <v>229.0336448745378</v>
      </c>
      <c r="AA883" s="205">
        <f>SUM(AA878:AA882)</f>
        <v>174.77118448178211</v>
      </c>
      <c r="AB883" s="205">
        <f>SUM(AB878:AB882)</f>
        <v>134.21795112539638</v>
      </c>
      <c r="AC883" s="205">
        <f>SUM(AC878:AC882)</f>
        <v>111.34889605167577</v>
      </c>
      <c r="AD883" s="205">
        <f>SUM(AD878:AD882)</f>
        <v>22566.798192765742</v>
      </c>
    </row>
    <row r="884" spans="2:30">
      <c r="B884" t="s">
        <v>589</v>
      </c>
      <c r="I884" s="208">
        <f>SUM(I878:I880)</f>
        <v>948.23879108898814</v>
      </c>
      <c r="J884" s="208">
        <f t="shared" ref="J884:Y884" si="426">SUM(J878:J880)</f>
        <v>2226.4555821779763</v>
      </c>
      <c r="K884" s="208">
        <f t="shared" si="426"/>
        <v>2216.3195643650329</v>
      </c>
      <c r="L884" s="208">
        <f t="shared" si="426"/>
        <v>2184.2860909189249</v>
      </c>
      <c r="M884" s="208">
        <f t="shared" si="426"/>
        <v>2077.2850328130125</v>
      </c>
      <c r="N884" s="208">
        <f t="shared" si="426"/>
        <v>1992.3040322078073</v>
      </c>
      <c r="O884" s="208">
        <f t="shared" si="426"/>
        <v>1783.1177513222287</v>
      </c>
      <c r="P884" s="208">
        <f t="shared" si="426"/>
        <v>1567.6667372573893</v>
      </c>
      <c r="Q884" s="208">
        <f t="shared" si="426"/>
        <v>1374.6390061793245</v>
      </c>
      <c r="R884" s="208">
        <f t="shared" si="426"/>
        <v>1182.743714447457</v>
      </c>
      <c r="S884" s="208">
        <f t="shared" si="426"/>
        <v>1008.9935116576958</v>
      </c>
      <c r="T884" s="208">
        <f t="shared" si="426"/>
        <v>852.43136627872684</v>
      </c>
      <c r="U884" s="208">
        <f t="shared" si="426"/>
        <v>718.16882300885959</v>
      </c>
      <c r="V884" s="208">
        <f t="shared" si="426"/>
        <v>591.48079596605999</v>
      </c>
      <c r="W884" s="208">
        <f t="shared" si="426"/>
        <v>486.44212661376559</v>
      </c>
      <c r="X884" s="208">
        <f t="shared" si="426"/>
        <v>395.36224273279038</v>
      </c>
      <c r="Y884" s="208">
        <f t="shared" si="426"/>
        <v>311.49134719631388</v>
      </c>
      <c r="Z884" s="208">
        <f>SUM(Z878:Z880)</f>
        <v>229.0336448745378</v>
      </c>
      <c r="AA884" s="208">
        <f>SUM(AA878:AA880)</f>
        <v>174.77118448178211</v>
      </c>
      <c r="AB884" s="208">
        <f>SUM(AB878:AB880)</f>
        <v>134.21795112539638</v>
      </c>
      <c r="AC884" s="208">
        <f>SUM(AC878:AC880)</f>
        <v>111.34889605167577</v>
      </c>
      <c r="AD884">
        <f>SUM(I884:AC884)</f>
        <v>22566.798192765746</v>
      </c>
    </row>
    <row r="885" spans="2:30">
      <c r="B885" t="s">
        <v>590</v>
      </c>
      <c r="I885" s="208">
        <f>SUM(I881:I882)</f>
        <v>0</v>
      </c>
      <c r="J885" s="208">
        <f t="shared" ref="J885:Y885" si="427">SUM(J881:J882)</f>
        <v>0</v>
      </c>
      <c r="K885" s="208">
        <f t="shared" si="427"/>
        <v>0</v>
      </c>
      <c r="L885" s="208">
        <f t="shared" si="427"/>
        <v>0</v>
      </c>
      <c r="M885" s="208">
        <f t="shared" si="427"/>
        <v>0</v>
      </c>
      <c r="N885" s="208">
        <f t="shared" si="427"/>
        <v>0</v>
      </c>
      <c r="O885" s="208">
        <f t="shared" si="427"/>
        <v>0</v>
      </c>
      <c r="P885" s="208">
        <f t="shared" si="427"/>
        <v>0</v>
      </c>
      <c r="Q885" s="208">
        <f t="shared" si="427"/>
        <v>0</v>
      </c>
      <c r="R885" s="208">
        <f t="shared" si="427"/>
        <v>0</v>
      </c>
      <c r="S885" s="208">
        <f t="shared" si="427"/>
        <v>0</v>
      </c>
      <c r="T885" s="208">
        <f t="shared" si="427"/>
        <v>0</v>
      </c>
      <c r="U885" s="208">
        <f t="shared" si="427"/>
        <v>0</v>
      </c>
      <c r="V885" s="208">
        <f t="shared" si="427"/>
        <v>0</v>
      </c>
      <c r="W885" s="208">
        <f t="shared" si="427"/>
        <v>0</v>
      </c>
      <c r="X885" s="208">
        <f t="shared" si="427"/>
        <v>0</v>
      </c>
      <c r="Y885" s="208">
        <f t="shared" si="427"/>
        <v>0</v>
      </c>
      <c r="Z885" s="208">
        <f>SUM(Z881:Z882)</f>
        <v>0</v>
      </c>
      <c r="AA885" s="208">
        <f>SUM(AA881:AA882)</f>
        <v>0</v>
      </c>
      <c r="AB885" s="208">
        <f>SUM(AB881:AB882)</f>
        <v>0</v>
      </c>
      <c r="AC885" s="208">
        <f>SUM(AC881:AC882)</f>
        <v>0</v>
      </c>
      <c r="AD885">
        <f>SUM(I885:AC885)</f>
        <v>0</v>
      </c>
    </row>
  </sheetData>
  <printOptions horizontalCentered="1"/>
  <pageMargins left="0.1" right="0.1" top="0.4" bottom="0.5" header="0.5" footer="0.5"/>
  <pageSetup paperSize="5" scale="74" fitToHeight="15" orientation="landscape" horizontalDpi="4294967292" verticalDpi="4294967292" r:id="rId1"/>
  <headerFooter alignWithMargins="0">
    <oddFooter>&amp;LFile:  G:\COMMON\FROM_LRF\LYCO1013.XLS&amp;CPage 17&amp;RUpdated by:  Frazier, Lamar</oddFooter>
  </headerFooter>
  <rowBreaks count="1" manualBreakCount="1">
    <brk id="194" max="6553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4" name="Button 5">
              <controlPr defaultSize="0" print="0" autoFill="0" autoLine="0" autoPict="0" macro="[0]!eprt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Button 6">
              <controlPr defaultSize="0" print="0" autoFill="0" autoLine="0" autoPict="0" macro="[0]!ego">
                <anchor moveWithCells="1" siz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Check Box 7">
              <controlPr defaultSize="0" autoFill="0" autoLine="0" autoPict="0">
                <anchor moveWithCells="1">
                  <from>
                    <xdr:col>0</xdr:col>
                    <xdr:colOff>9525</xdr:colOff>
                    <xdr:row>1</xdr:row>
                    <xdr:rowOff>9525</xdr:rowOff>
                  </from>
                  <to>
                    <xdr:col>2</xdr:col>
                    <xdr:colOff>180975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7" name="Button 19">
              <controlPr defaultSize="0" print="0" autoFill="0" autoLine="0" autoPict="0" macro="[0]!terasa">
                <anchor moveWithCells="1" sizeWithCells="1">
                  <from>
                    <xdr:col>6</xdr:col>
                    <xdr:colOff>95250</xdr:colOff>
                    <xdr:row>826</xdr:row>
                    <xdr:rowOff>123825</xdr:rowOff>
                  </from>
                  <to>
                    <xdr:col>6</xdr:col>
                    <xdr:colOff>504825</xdr:colOff>
                    <xdr:row>828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Horizontal="1" syncRef="D4" codeName="Sheet6">
    <pageSetUpPr fitToPage="1"/>
  </sheetPr>
  <dimension ref="A1:AG105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2" sqref="C2"/>
    </sheetView>
  </sheetViews>
  <sheetFormatPr defaultColWidth="9.6640625" defaultRowHeight="11.25"/>
  <cols>
    <col min="1" max="1" width="10.83203125" style="5" customWidth="1"/>
    <col min="2" max="2" width="12.6640625" style="5" customWidth="1"/>
    <col min="3" max="3" width="10.83203125" style="5" customWidth="1"/>
    <col min="4" max="4" width="10.6640625" style="5" customWidth="1"/>
    <col min="5" max="7" width="9.83203125" style="5" customWidth="1"/>
    <col min="8" max="8" width="11.1640625" style="5" customWidth="1"/>
    <col min="9" max="9" width="12.83203125" style="5" customWidth="1"/>
    <col min="10" max="14" width="9.83203125" style="5" customWidth="1"/>
    <col min="15" max="15" width="9.6640625" style="5" customWidth="1"/>
    <col min="16" max="19" width="9.83203125" style="5" customWidth="1"/>
    <col min="20" max="16384" width="9.6640625" style="5"/>
  </cols>
  <sheetData>
    <row r="1" spans="1:33" ht="12" thickBot="1">
      <c r="A1" s="5">
        <v>99</v>
      </c>
      <c r="B1">
        <v>0</v>
      </c>
      <c r="C1" s="5">
        <v>0</v>
      </c>
      <c r="H1" s="6"/>
      <c r="I1"/>
      <c r="J1" s="7"/>
      <c r="Y1"/>
      <c r="AG1" s="5" t="b">
        <v>0</v>
      </c>
    </row>
    <row r="2" spans="1:33" ht="12.75" thickTop="1" thickBot="1">
      <c r="A2">
        <v>100</v>
      </c>
      <c r="B2">
        <v>1</v>
      </c>
      <c r="E2"/>
      <c r="G2" s="251"/>
      <c r="H2" s="8" t="str">
        <f ca="1">TEXT(H170,"m/d/yy")&amp;" or"</f>
        <v>6/30/99 or</v>
      </c>
      <c r="I2" s="9" t="str">
        <f>TEXT(I170,"m/d/yy")&amp;" or"</f>
        <v>12/31/99 or</v>
      </c>
      <c r="J2" s="10" t="s">
        <v>377</v>
      </c>
      <c r="S2" s="448" t="s">
        <v>592</v>
      </c>
      <c r="T2"/>
      <c r="X2" s="450" t="s">
        <v>593</v>
      </c>
      <c r="Y2"/>
      <c r="AB2" s="251"/>
      <c r="AC2" s="450" t="s">
        <v>21</v>
      </c>
      <c r="AG2" s="5" t="b">
        <v>0</v>
      </c>
    </row>
    <row r="3" spans="1:33" ht="12.75" thickTop="1" thickBot="1">
      <c r="A3" s="5">
        <v>6</v>
      </c>
      <c r="B3" s="733">
        <f ca="1">SUM(E219:AC219)</f>
        <v>0</v>
      </c>
      <c r="E3" s="12" t="str">
        <f>TEXT(E580,"0")&amp;" "</f>
        <v xml:space="preserve">1996 </v>
      </c>
      <c r="F3" s="12" t="str">
        <f>TEXT(F580,"0")&amp;" "</f>
        <v xml:space="preserve">1997 </v>
      </c>
      <c r="G3" s="466" t="str">
        <f>TEXT(G580,"0")&amp;" "</f>
        <v xml:space="preserve">1998 </v>
      </c>
      <c r="H3" s="13" t="str">
        <f ca="1">H468&amp;" "</f>
        <v xml:space="preserve">6 M/1999 </v>
      </c>
      <c r="I3" s="14" t="str">
        <f ca="1">I468&amp;" "</f>
        <v xml:space="preserve">6 M/1999 </v>
      </c>
      <c r="J3" s="242">
        <f t="shared" ref="J3:AC3" si="0">J580</f>
        <v>2000</v>
      </c>
      <c r="K3" s="242">
        <f t="shared" si="0"/>
        <v>2001</v>
      </c>
      <c r="L3" s="242">
        <f t="shared" si="0"/>
        <v>2002</v>
      </c>
      <c r="M3" s="242">
        <f t="shared" si="0"/>
        <v>2003</v>
      </c>
      <c r="N3" s="242">
        <f t="shared" si="0"/>
        <v>2004</v>
      </c>
      <c r="O3" s="242">
        <f t="shared" si="0"/>
        <v>2005</v>
      </c>
      <c r="P3" s="242">
        <f t="shared" si="0"/>
        <v>2006</v>
      </c>
      <c r="Q3" s="242">
        <f t="shared" si="0"/>
        <v>2007</v>
      </c>
      <c r="R3" s="242">
        <f t="shared" si="0"/>
        <v>2008</v>
      </c>
      <c r="S3" s="449">
        <f t="shared" si="0"/>
        <v>2009</v>
      </c>
      <c r="T3" s="447">
        <f t="shared" si="0"/>
        <v>2010</v>
      </c>
      <c r="U3" s="242">
        <f t="shared" si="0"/>
        <v>2011</v>
      </c>
      <c r="V3" s="242">
        <f t="shared" si="0"/>
        <v>2012</v>
      </c>
      <c r="W3" s="242">
        <f t="shared" si="0"/>
        <v>2013</v>
      </c>
      <c r="X3" s="451">
        <f t="shared" si="0"/>
        <v>2014</v>
      </c>
      <c r="Y3" s="242">
        <f t="shared" si="0"/>
        <v>2015</v>
      </c>
      <c r="Z3" s="242">
        <f t="shared" si="0"/>
        <v>2016</v>
      </c>
      <c r="AA3" s="242">
        <f t="shared" si="0"/>
        <v>2017</v>
      </c>
      <c r="AB3" s="452">
        <f t="shared" si="0"/>
        <v>2018</v>
      </c>
      <c r="AC3" s="451">
        <f t="shared" si="0"/>
        <v>2019</v>
      </c>
      <c r="AG3" s="5" t="b">
        <v>0</v>
      </c>
    </row>
    <row r="4" spans="1:33" ht="12" thickTop="1">
      <c r="A4" s="15" t="s">
        <v>594</v>
      </c>
      <c r="C4"/>
      <c r="D4"/>
      <c r="I4"/>
      <c r="L4" s="16"/>
      <c r="P4" s="17"/>
      <c r="Q4" s="17"/>
      <c r="R4" s="17"/>
      <c r="S4" s="18">
        <f ca="1">NOW()</f>
        <v>36642.628564004626</v>
      </c>
      <c r="AG4" s="5" t="b">
        <v>0</v>
      </c>
    </row>
    <row r="5" spans="1:33">
      <c r="A5" s="19" t="s">
        <v>595</v>
      </c>
      <c r="B5"/>
      <c r="C5" s="246" t="s">
        <v>1315</v>
      </c>
      <c r="D5" s="1"/>
      <c r="E5" s="20" t="s">
        <v>597</v>
      </c>
      <c r="F5" s="21" t="s">
        <v>598</v>
      </c>
      <c r="G5" s="83" t="s">
        <v>599</v>
      </c>
      <c r="H5" s="21"/>
      <c r="L5" s="16"/>
      <c r="S5" s="17">
        <f ca="1">NOW()</f>
        <v>36642.628564004626</v>
      </c>
    </row>
    <row r="6" spans="1:33" ht="12.75">
      <c r="A6" s="19" t="s">
        <v>600</v>
      </c>
      <c r="C6"/>
      <c r="D6"/>
      <c r="E6" s="22"/>
      <c r="F6" s="23"/>
      <c r="G6" s="24" t="s">
        <v>601</v>
      </c>
      <c r="H6" s="25">
        <f ca="1">C323</f>
        <v>36341</v>
      </c>
      <c r="AD6"/>
      <c r="AE6"/>
      <c r="AF6"/>
      <c r="AG6"/>
    </row>
    <row r="7" spans="1:33" ht="3" customHeight="1" thickBot="1">
      <c r="G7" s="22"/>
      <c r="H7" s="22"/>
      <c r="I7" s="22"/>
      <c r="J7" s="22"/>
      <c r="AD7"/>
      <c r="AE7"/>
      <c r="AF7"/>
      <c r="AG7"/>
    </row>
    <row r="8" spans="1:33" ht="12.75" thickTop="1" thickBot="1">
      <c r="A8" s="26" t="s">
        <v>602</v>
      </c>
      <c r="B8" s="27"/>
      <c r="C8" s="27"/>
      <c r="D8" s="27"/>
      <c r="E8" s="27"/>
      <c r="F8" s="28"/>
      <c r="G8" s="28"/>
      <c r="H8" s="29"/>
      <c r="K8" s="30" t="s">
        <v>603</v>
      </c>
      <c r="L8" s="31"/>
      <c r="M8" s="31"/>
      <c r="N8" s="32"/>
      <c r="O8" s="33"/>
      <c r="P8" s="33"/>
      <c r="Q8" s="34" t="s">
        <v>604</v>
      </c>
      <c r="S8" s="35" t="s">
        <v>604</v>
      </c>
      <c r="AD8"/>
      <c r="AE8"/>
      <c r="AF8"/>
      <c r="AG8"/>
    </row>
    <row r="9" spans="1:33" ht="12.75" thickTop="1" thickBot="1">
      <c r="A9" s="36" t="str">
        <f t="shared" ref="A9:A21" si="1">B336</f>
        <v>Sources:</v>
      </c>
      <c r="B9" s="37"/>
      <c r="C9" s="38"/>
      <c r="D9" s="39" t="s">
        <v>416</v>
      </c>
      <c r="E9" s="36" t="str">
        <f>B350</f>
        <v>Uses:</v>
      </c>
      <c r="F9" s="38"/>
      <c r="G9" s="38"/>
      <c r="H9" s="40"/>
      <c r="K9" s="41"/>
      <c r="L9" s="42"/>
      <c r="M9" s="42"/>
      <c r="N9" s="43">
        <f ca="1">C323</f>
        <v>36341</v>
      </c>
      <c r="O9" s="44" t="str">
        <f>"   "&amp;K388</f>
        <v xml:space="preserve">   Add</v>
      </c>
      <c r="P9" s="44" t="str">
        <f>L388</f>
        <v>Subtract</v>
      </c>
      <c r="Q9" s="45">
        <f ca="1">N9</f>
        <v>36341</v>
      </c>
      <c r="S9" s="387">
        <f ca="1">Q9</f>
        <v>36341</v>
      </c>
      <c r="AD9"/>
      <c r="AE9"/>
      <c r="AF9"/>
      <c r="AG9"/>
    </row>
    <row r="10" spans="1:33" ht="12" thickTop="1">
      <c r="A10" s="46" t="str">
        <f t="shared" si="1"/>
        <v>Revolving Loan</v>
      </c>
      <c r="B10"/>
      <c r="C10" s="5">
        <f t="shared" ref="C10:C21" si="2">E337</f>
        <v>0</v>
      </c>
      <c r="D10" s="47">
        <f>I560</f>
        <v>0.09</v>
      </c>
      <c r="E10"/>
      <c r="G10" s="48" t="s">
        <v>605</v>
      </c>
      <c r="H10" s="49">
        <f>SUM(E351:E356)</f>
        <v>0</v>
      </c>
      <c r="K10" s="247" t="str">
        <f>A411</f>
        <v>Current Maturities</v>
      </c>
      <c r="L10" s="248"/>
      <c r="M10" s="249"/>
      <c r="N10" s="247">
        <f>I411</f>
        <v>0</v>
      </c>
      <c r="O10" s="248">
        <f>K411</f>
        <v>0</v>
      </c>
      <c r="P10" s="248">
        <f>L411</f>
        <v>0</v>
      </c>
      <c r="Q10" s="249">
        <f>N411</f>
        <v>0</v>
      </c>
      <c r="S10" s="51">
        <f>IF($Q$19&lt;1,0,Q10/$Q$19)</f>
        <v>0</v>
      </c>
      <c r="X10" s="22"/>
      <c r="Y10" s="22"/>
      <c r="AA10" s="22"/>
      <c r="AD10"/>
      <c r="AE10"/>
      <c r="AF10"/>
      <c r="AG10"/>
    </row>
    <row r="11" spans="1:33">
      <c r="A11" s="46" t="str">
        <f t="shared" si="1"/>
        <v>Term Loan</v>
      </c>
      <c r="B11"/>
      <c r="C11" s="5">
        <f t="shared" si="2"/>
        <v>0</v>
      </c>
      <c r="D11" s="47">
        <f>I561</f>
        <v>0</v>
      </c>
      <c r="E11"/>
      <c r="G11" s="52" t="str">
        <f>B357</f>
        <v>Transaction Fees</v>
      </c>
      <c r="H11" s="49">
        <f>E357</f>
        <v>0</v>
      </c>
      <c r="K11" s="250" t="str">
        <f>A412</f>
        <v>Short-term Debt</v>
      </c>
      <c r="L11" s="69"/>
      <c r="M11" s="251"/>
      <c r="N11" s="250">
        <f>I412</f>
        <v>0</v>
      </c>
      <c r="O11" s="69">
        <f>K412</f>
        <v>0</v>
      </c>
      <c r="P11" s="69">
        <f>L412</f>
        <v>0</v>
      </c>
      <c r="Q11" s="251">
        <f>N412</f>
        <v>0</v>
      </c>
      <c r="S11" s="51">
        <f>IF($Q$19&lt;1,0,Q11/$Q$19)</f>
        <v>0</v>
      </c>
      <c r="AD11"/>
      <c r="AE11"/>
      <c r="AF11"/>
      <c r="AG11"/>
    </row>
    <row r="12" spans="1:33">
      <c r="A12" s="46" t="str">
        <f t="shared" si="1"/>
        <v>Production Payment</v>
      </c>
      <c r="B12"/>
      <c r="C12" s="5">
        <f t="shared" si="2"/>
        <v>0</v>
      </c>
      <c r="D12" s="53" t="str">
        <f>TEXT(G689,"0.0%")&amp;"*"</f>
        <v>0.0%*</v>
      </c>
      <c r="E12"/>
      <c r="G12" s="52" t="str">
        <f>B358</f>
        <v>Refinance Existing Sr Debt</v>
      </c>
      <c r="H12" s="49">
        <f>E358</f>
        <v>0</v>
      </c>
      <c r="I12" s="622"/>
      <c r="K12" s="250" t="str">
        <f>A415</f>
        <v>Senior Debt</v>
      </c>
      <c r="L12" s="69"/>
      <c r="M12" s="251"/>
      <c r="N12" s="250">
        <f>I415+I418</f>
        <v>0</v>
      </c>
      <c r="O12" s="69">
        <f>K415+K418</f>
        <v>0</v>
      </c>
      <c r="P12" s="69">
        <f>L415+L418</f>
        <v>0</v>
      </c>
      <c r="Q12" s="251">
        <f>N415+N418</f>
        <v>0</v>
      </c>
      <c r="S12" s="51">
        <f>IF($Q$19&lt;1,0,Q12/$Q$19)</f>
        <v>0</v>
      </c>
      <c r="T12" s="54"/>
      <c r="X12" s="55"/>
      <c r="Y12" s="55"/>
      <c r="AA12" s="55"/>
      <c r="AD12"/>
      <c r="AE12"/>
      <c r="AF12"/>
      <c r="AG12"/>
    </row>
    <row r="13" spans="1:33">
      <c r="A13" s="46" t="str">
        <f t="shared" si="1"/>
        <v>ESOP Notes</v>
      </c>
      <c r="B13"/>
      <c r="C13" s="5">
        <f t="shared" si="2"/>
        <v>0</v>
      </c>
      <c r="D13" s="47">
        <f t="shared" ref="D13:D18" si="3">I565</f>
        <v>0</v>
      </c>
      <c r="E13"/>
      <c r="G13" s="56" t="str">
        <f>B359</f>
        <v>Refinance Existing Sub Debt</v>
      </c>
      <c r="H13" s="49">
        <f>E359</f>
        <v>0</v>
      </c>
      <c r="K13" s="250" t="str">
        <f>A416</f>
        <v>Subordinated Debt</v>
      </c>
      <c r="L13" s="69"/>
      <c r="M13" s="251"/>
      <c r="N13" s="250">
        <f>I416</f>
        <v>0</v>
      </c>
      <c r="O13" s="69">
        <f>K416</f>
        <v>0</v>
      </c>
      <c r="P13" s="69">
        <f>L416</f>
        <v>0</v>
      </c>
      <c r="Q13" s="251">
        <f>N416</f>
        <v>0</v>
      </c>
      <c r="S13" s="51">
        <f>IF($Q$19&lt;1,0,Q13/$Q$19)</f>
        <v>0</v>
      </c>
      <c r="T13" s="54"/>
      <c r="X13" s="55"/>
      <c r="Y13" s="55"/>
      <c r="AA13" s="55"/>
      <c r="AD13"/>
      <c r="AE13"/>
      <c r="AF13"/>
      <c r="AG13"/>
    </row>
    <row r="14" spans="1:33">
      <c r="A14" s="46" t="str">
        <f t="shared" si="1"/>
        <v>Placement 1</v>
      </c>
      <c r="B14"/>
      <c r="C14" s="5">
        <f t="shared" si="2"/>
        <v>0</v>
      </c>
      <c r="D14" s="47">
        <f t="shared" si="3"/>
        <v>0</v>
      </c>
      <c r="E14"/>
      <c r="G14" s="52" t="str">
        <f>B360</f>
        <v>Refinance Existing Pref Stk</v>
      </c>
      <c r="H14" s="49">
        <f>E360</f>
        <v>0</v>
      </c>
      <c r="K14" s="260" t="s">
        <v>606</v>
      </c>
      <c r="L14" s="69"/>
      <c r="M14" s="251"/>
      <c r="N14" s="252">
        <f>SUM(N10:N13)</f>
        <v>0</v>
      </c>
      <c r="O14" s="50"/>
      <c r="P14" s="50"/>
      <c r="Q14" s="253">
        <f>SUM(Q10:Q13)</f>
        <v>0</v>
      </c>
      <c r="S14" s="57">
        <f>IF($Q$19&lt;1,0,Q14/$Q$19)</f>
        <v>0</v>
      </c>
      <c r="T14" s="54"/>
      <c r="X14" s="55"/>
      <c r="Y14" s="55"/>
      <c r="AA14" s="55"/>
      <c r="AD14"/>
      <c r="AE14"/>
      <c r="AF14"/>
      <c r="AG14"/>
    </row>
    <row r="15" spans="1:33">
      <c r="A15" s="46" t="str">
        <f t="shared" si="1"/>
        <v>Placement 2</v>
      </c>
      <c r="B15"/>
      <c r="C15" s="5">
        <f t="shared" si="2"/>
        <v>0</v>
      </c>
      <c r="D15" s="47">
        <f t="shared" si="3"/>
        <v>0</v>
      </c>
      <c r="E15"/>
      <c r="G15" s="52" t="str">
        <f>B361</f>
        <v>Working Capital</v>
      </c>
      <c r="H15" s="49">
        <f>E361</f>
        <v>0</v>
      </c>
      <c r="K15" s="250"/>
      <c r="L15" s="69"/>
      <c r="M15" s="251"/>
      <c r="N15" s="250"/>
      <c r="O15" s="69"/>
      <c r="P15" s="69"/>
      <c r="Q15" s="251"/>
      <c r="S15" s="58"/>
      <c r="T15" s="54"/>
      <c r="X15" s="55"/>
      <c r="Y15" s="55"/>
      <c r="AA15" s="55"/>
      <c r="AD15"/>
      <c r="AE15"/>
      <c r="AF15"/>
      <c r="AG15"/>
    </row>
    <row r="16" spans="1:33">
      <c r="A16" s="46" t="str">
        <f t="shared" si="1"/>
        <v>Sr Sub Notes</v>
      </c>
      <c r="B16"/>
      <c r="C16" s="5">
        <f t="shared" si="2"/>
        <v>0</v>
      </c>
      <c r="D16" s="47">
        <f t="shared" si="3"/>
        <v>0</v>
      </c>
      <c r="E16"/>
      <c r="G16" s="48"/>
      <c r="H16" s="49"/>
      <c r="K16" s="250" t="str">
        <f>A424</f>
        <v>Preferred Stock</v>
      </c>
      <c r="L16" s="69"/>
      <c r="M16" s="251"/>
      <c r="N16" s="250">
        <f>I424</f>
        <v>0</v>
      </c>
      <c r="O16" s="69">
        <f>K424</f>
        <v>0</v>
      </c>
      <c r="P16" s="69">
        <f>L424</f>
        <v>0</v>
      </c>
      <c r="Q16" s="251">
        <f>N424</f>
        <v>0</v>
      </c>
      <c r="S16" s="51">
        <f>IF($Q$19&lt;1,0,Q16/$Q$19)</f>
        <v>0</v>
      </c>
      <c r="T16" s="54"/>
      <c r="X16" s="55"/>
      <c r="Y16" s="55"/>
      <c r="AA16" s="55"/>
      <c r="AD16"/>
      <c r="AE16"/>
      <c r="AF16"/>
      <c r="AG16"/>
    </row>
    <row r="17" spans="1:33">
      <c r="A17" s="46" t="str">
        <f t="shared" si="1"/>
        <v>Jr. Sub Notes</v>
      </c>
      <c r="B17"/>
      <c r="C17" s="5">
        <f t="shared" si="2"/>
        <v>0</v>
      </c>
      <c r="D17" s="47">
        <f t="shared" si="3"/>
        <v>0</v>
      </c>
      <c r="E17" s="46"/>
      <c r="H17" s="49"/>
      <c r="K17" s="260" t="s">
        <v>607</v>
      </c>
      <c r="L17" s="69"/>
      <c r="M17" s="251"/>
      <c r="N17" s="250">
        <f>SUM(I425:I431)</f>
        <v>0</v>
      </c>
      <c r="O17" s="69">
        <f>SUM(K425:K431)</f>
        <v>0</v>
      </c>
      <c r="P17" s="69">
        <f>SUM(L425:L431)</f>
        <v>0</v>
      </c>
      <c r="Q17" s="251">
        <f>SUM(N425:N431)</f>
        <v>0</v>
      </c>
      <c r="S17" s="51">
        <f>IF($Q$19&lt;1,0,Q17/$Q$19)</f>
        <v>0</v>
      </c>
      <c r="T17" s="54"/>
      <c r="U17" s="59"/>
      <c r="X17" s="55"/>
      <c r="Y17" s="55"/>
      <c r="AA17" s="55"/>
      <c r="AD17"/>
      <c r="AE17"/>
      <c r="AF17"/>
      <c r="AG17"/>
    </row>
    <row r="18" spans="1:33">
      <c r="A18" s="46" t="str">
        <f t="shared" si="1"/>
        <v>Preferred Stock</v>
      </c>
      <c r="B18"/>
      <c r="C18" s="5">
        <f t="shared" si="2"/>
        <v>0</v>
      </c>
      <c r="D18" s="47">
        <f t="shared" si="3"/>
        <v>0.06</v>
      </c>
      <c r="E18" s="46"/>
      <c r="H18" s="49"/>
      <c r="K18" s="65" t="s">
        <v>608</v>
      </c>
      <c r="L18" s="208"/>
      <c r="M18" s="66"/>
      <c r="N18" s="254">
        <f>N16+N17</f>
        <v>0</v>
      </c>
      <c r="O18" s="202"/>
      <c r="P18" s="202"/>
      <c r="Q18" s="255">
        <f>Q16+Q17</f>
        <v>0</v>
      </c>
      <c r="R18"/>
      <c r="S18" s="259">
        <f>IF($Q$19&lt;1,0,Q18/$Q$19)</f>
        <v>0</v>
      </c>
      <c r="T18" s="54"/>
      <c r="X18" s="55"/>
      <c r="Y18" s="55"/>
      <c r="AA18" s="55"/>
      <c r="AD18"/>
      <c r="AE18"/>
      <c r="AF18"/>
      <c r="AG18"/>
    </row>
    <row r="19" spans="1:33" ht="12" thickBot="1">
      <c r="A19" s="46" t="str">
        <f t="shared" si="1"/>
        <v>Common Stock</v>
      </c>
      <c r="B19"/>
      <c r="C19" s="5">
        <f t="shared" si="2"/>
        <v>0</v>
      </c>
      <c r="D19" s="64"/>
      <c r="E19" s="46"/>
      <c r="H19" s="49"/>
      <c r="K19" s="261" t="s">
        <v>609</v>
      </c>
      <c r="L19" s="262"/>
      <c r="M19" s="263"/>
      <c r="N19" s="256">
        <f>N14+N18</f>
        <v>0</v>
      </c>
      <c r="O19" s="257"/>
      <c r="P19" s="257"/>
      <c r="Q19" s="258">
        <f>Q14+Q18</f>
        <v>0</v>
      </c>
      <c r="S19" s="63">
        <f>IF($Q$19&lt;1,0,Q19/$Q$19)</f>
        <v>0</v>
      </c>
      <c r="T19" s="54"/>
      <c r="X19" s="55"/>
      <c r="Y19" s="55"/>
      <c r="AA19" s="55"/>
      <c r="AD19"/>
      <c r="AE19"/>
      <c r="AF19"/>
      <c r="AG19"/>
    </row>
    <row r="20" spans="1:33" ht="12" thickTop="1">
      <c r="A20" s="46" t="str">
        <f t="shared" si="1"/>
        <v>Cash on Hand</v>
      </c>
      <c r="B20"/>
      <c r="C20" s="5">
        <f t="shared" si="2"/>
        <v>0</v>
      </c>
      <c r="D20" s="64"/>
      <c r="E20" s="65"/>
      <c r="F20"/>
      <c r="G20"/>
      <c r="H20" s="66"/>
      <c r="S20" s="55"/>
      <c r="T20" s="54"/>
      <c r="X20" s="55"/>
      <c r="Y20" s="55"/>
      <c r="AA20" s="55"/>
      <c r="AD20"/>
      <c r="AE20"/>
      <c r="AF20"/>
      <c r="AG20"/>
    </row>
    <row r="21" spans="1:33" ht="12" thickBot="1">
      <c r="A21" s="67" t="str">
        <f t="shared" si="1"/>
        <v>Sources</v>
      </c>
      <c r="B21" s="61"/>
      <c r="C21" s="61">
        <f t="shared" si="2"/>
        <v>0</v>
      </c>
      <c r="D21" s="62"/>
      <c r="E21" s="67" t="str">
        <f>B363</f>
        <v>Uses</v>
      </c>
      <c r="F21" s="61"/>
      <c r="G21" s="61"/>
      <c r="H21" s="62">
        <f>E363</f>
        <v>0</v>
      </c>
      <c r="J21" s="5" t="s">
        <v>610</v>
      </c>
      <c r="K21" s="722" t="e">
        <f ca="1">(N27/I27)^(1/5-1)</f>
        <v>#NUM!</v>
      </c>
      <c r="T21" s="54"/>
      <c r="X21" s="55"/>
      <c r="Y21" s="55"/>
      <c r="AA21" s="55"/>
      <c r="AD21"/>
      <c r="AE21"/>
      <c r="AF21"/>
      <c r="AG21"/>
    </row>
    <row r="22" spans="1:33" ht="9" customHeight="1" thickTop="1" thickBot="1">
      <c r="A22" s="68" t="s">
        <v>611</v>
      </c>
      <c r="B22" s="69"/>
      <c r="C22" s="69"/>
      <c r="D22"/>
      <c r="T22" s="54"/>
      <c r="X22" s="55"/>
      <c r="Y22" s="55"/>
      <c r="AA22" s="55"/>
      <c r="AD22"/>
      <c r="AE22"/>
      <c r="AF22"/>
      <c r="AG22"/>
    </row>
    <row r="23" spans="1:33" ht="12.75" thickTop="1" thickBot="1">
      <c r="A23" s="70" t="s">
        <v>612</v>
      </c>
      <c r="C23"/>
      <c r="D23" s="71" t="str">
        <f>A580</f>
        <v>FYE:</v>
      </c>
      <c r="E23" s="72">
        <f>B580</f>
        <v>36525</v>
      </c>
      <c r="F23" s="73">
        <f>E580</f>
        <v>1996</v>
      </c>
      <c r="G23" s="73">
        <f>F580</f>
        <v>1997</v>
      </c>
      <c r="H23" s="73">
        <f>G580</f>
        <v>1998</v>
      </c>
      <c r="I23" s="73">
        <f>H580</f>
        <v>1999</v>
      </c>
      <c r="J23" s="73">
        <f t="shared" ref="J23:AC23" si="4">J580</f>
        <v>2000</v>
      </c>
      <c r="K23" s="73">
        <f t="shared" si="4"/>
        <v>2001</v>
      </c>
      <c r="L23" s="73">
        <f t="shared" si="4"/>
        <v>2002</v>
      </c>
      <c r="M23" s="73">
        <f t="shared" si="4"/>
        <v>2003</v>
      </c>
      <c r="N23" s="73">
        <f t="shared" si="4"/>
        <v>2004</v>
      </c>
      <c r="O23" s="73">
        <f t="shared" si="4"/>
        <v>2005</v>
      </c>
      <c r="P23" s="73">
        <f t="shared" si="4"/>
        <v>2006</v>
      </c>
      <c r="Q23" s="73">
        <f t="shared" si="4"/>
        <v>2007</v>
      </c>
      <c r="R23" s="73">
        <f t="shared" si="4"/>
        <v>2008</v>
      </c>
      <c r="S23" s="73">
        <f t="shared" si="4"/>
        <v>2009</v>
      </c>
      <c r="T23" s="73">
        <f t="shared" si="4"/>
        <v>2010</v>
      </c>
      <c r="U23" s="73">
        <f t="shared" si="4"/>
        <v>2011</v>
      </c>
      <c r="V23" s="73">
        <f t="shared" si="4"/>
        <v>2012</v>
      </c>
      <c r="W23" s="73">
        <f t="shared" si="4"/>
        <v>2013</v>
      </c>
      <c r="X23" s="73">
        <f t="shared" si="4"/>
        <v>2014</v>
      </c>
      <c r="Y23" s="73">
        <f t="shared" si="4"/>
        <v>2015</v>
      </c>
      <c r="Z23" s="73">
        <f t="shared" si="4"/>
        <v>2016</v>
      </c>
      <c r="AA23" s="73">
        <f t="shared" si="4"/>
        <v>2017</v>
      </c>
      <c r="AB23" s="73">
        <f t="shared" si="4"/>
        <v>2018</v>
      </c>
      <c r="AC23" s="73">
        <f t="shared" si="4"/>
        <v>2019</v>
      </c>
      <c r="AD23"/>
      <c r="AE23"/>
      <c r="AF23"/>
      <c r="AG23"/>
    </row>
    <row r="24" spans="1:33" ht="12" thickTop="1">
      <c r="A24" s="74" t="s">
        <v>613</v>
      </c>
      <c r="B24"/>
      <c r="F24" s="5">
        <f>E69</f>
        <v>0</v>
      </c>
      <c r="G24" s="5">
        <f>F69</f>
        <v>0</v>
      </c>
      <c r="H24" s="69">
        <f>G69</f>
        <v>0</v>
      </c>
      <c r="I24" s="75">
        <f>I69+H69</f>
        <v>-515.87756577331356</v>
      </c>
      <c r="J24" s="5">
        <f t="shared" ref="J24:AC24" ca="1" si="5">J69</f>
        <v>6790.5296238597939</v>
      </c>
      <c r="K24" s="5">
        <f t="shared" ca="1" si="5"/>
        <v>5417.5924313748037</v>
      </c>
      <c r="L24" s="5">
        <f t="shared" ca="1" si="5"/>
        <v>4984.6004151312054</v>
      </c>
      <c r="M24" s="5">
        <f t="shared" ca="1" si="5"/>
        <v>4628.8143001151384</v>
      </c>
      <c r="N24" s="5">
        <f t="shared" ca="1" si="5"/>
        <v>4178.0147730888311</v>
      </c>
      <c r="O24" s="5">
        <f t="shared" ca="1" si="5"/>
        <v>3639.3785476709422</v>
      </c>
      <c r="P24" s="5">
        <f t="shared" ca="1" si="5"/>
        <v>3122.9489386656724</v>
      </c>
      <c r="Q24" s="5">
        <f t="shared" ca="1" si="5"/>
        <v>2732.3324514220212</v>
      </c>
      <c r="R24" s="5">
        <f t="shared" ca="1" si="5"/>
        <v>2374.1924905099418</v>
      </c>
      <c r="S24" s="5">
        <f t="shared" ca="1" si="5"/>
        <v>2069.4848242550606</v>
      </c>
      <c r="T24" s="5">
        <f t="shared" ca="1" si="5"/>
        <v>1805.7362655736702</v>
      </c>
      <c r="U24" s="5">
        <f t="shared" ca="1" si="5"/>
        <v>1585.0876602653127</v>
      </c>
      <c r="V24" s="5">
        <f t="shared" ca="1" si="5"/>
        <v>1369.8736788234223</v>
      </c>
      <c r="W24" s="5">
        <f t="shared" ca="1" si="5"/>
        <v>1184.6961665649494</v>
      </c>
      <c r="X24" s="5">
        <f t="shared" ca="1" si="5"/>
        <v>1016.5665713882831</v>
      </c>
      <c r="Y24" s="5">
        <f t="shared" ca="1" si="5"/>
        <v>848.49570511276215</v>
      </c>
      <c r="Z24" s="5">
        <f t="shared" ca="1" si="5"/>
        <v>659.69668918480602</v>
      </c>
      <c r="AA24" s="5">
        <f t="shared" ca="1" si="5"/>
        <v>534.30737633167575</v>
      </c>
      <c r="AB24" s="5">
        <f t="shared" ca="1" si="5"/>
        <v>435.24692068599745</v>
      </c>
      <c r="AC24" s="5">
        <f t="shared" ca="1" si="5"/>
        <v>380.6115233955872</v>
      </c>
      <c r="AD24"/>
      <c r="AE24"/>
      <c r="AF24"/>
      <c r="AG24"/>
    </row>
    <row r="25" spans="1:33">
      <c r="A25" s="74" t="s">
        <v>614</v>
      </c>
      <c r="B25"/>
      <c r="D25"/>
      <c r="F25" s="76" t="str">
        <f>E585</f>
        <v>NA</v>
      </c>
      <c r="G25" s="76" t="str">
        <f t="shared" ref="G25:P25" si="6">IF(F24&lt;1,"NA",(G24-F24)/F24)</f>
        <v>NA</v>
      </c>
      <c r="H25" s="264" t="str">
        <f t="shared" si="6"/>
        <v>NA</v>
      </c>
      <c r="I25" s="369" t="str">
        <f t="shared" si="6"/>
        <v>NA</v>
      </c>
      <c r="J25" s="76" t="str">
        <f t="shared" si="6"/>
        <v>NA</v>
      </c>
      <c r="K25" s="76">
        <f t="shared" ca="1" si="6"/>
        <v>-0.20218411059734118</v>
      </c>
      <c r="L25" s="76">
        <f t="shared" ca="1" si="6"/>
        <v>-7.9923327885652595E-2</v>
      </c>
      <c r="M25" s="76">
        <f t="shared" ca="1" si="6"/>
        <v>-7.1377058416968814E-2</v>
      </c>
      <c r="N25" s="76">
        <f t="shared" ca="1" si="6"/>
        <v>-9.7389849278484542E-2</v>
      </c>
      <c r="O25" s="76">
        <f t="shared" ca="1" si="6"/>
        <v>-0.12892157033223509</v>
      </c>
      <c r="P25" s="76">
        <f t="shared" ca="1" si="6"/>
        <v>-0.14190049269146907</v>
      </c>
      <c r="Q25" s="76">
        <f t="shared" ref="Q25:AB25" ca="1" si="7">IF(P24&lt;1,"NA",(Q24-P24)/P24)</f>
        <v>-0.12507937046532308</v>
      </c>
      <c r="R25" s="76">
        <f t="shared" ca="1" si="7"/>
        <v>-0.13107481145849886</v>
      </c>
      <c r="S25" s="76">
        <f t="shared" ca="1" si="7"/>
        <v>-0.12834160139620118</v>
      </c>
      <c r="T25" s="76">
        <f t="shared" ca="1" si="7"/>
        <v>-0.12744648116776133</v>
      </c>
      <c r="U25" s="76">
        <f t="shared" ca="1" si="7"/>
        <v>-0.12219315163294839</v>
      </c>
      <c r="V25" s="76">
        <f t="shared" ca="1" si="7"/>
        <v>-0.13577418261263088</v>
      </c>
      <c r="W25" s="76">
        <f t="shared" ca="1" si="7"/>
        <v>-0.13517853151067255</v>
      </c>
      <c r="X25" s="76">
        <f t="shared" ca="1" si="7"/>
        <v>-0.14191790259958503</v>
      </c>
      <c r="Y25" s="76">
        <f t="shared" ca="1" si="7"/>
        <v>-0.16533188381946645</v>
      </c>
      <c r="Z25" s="76">
        <f t="shared" ca="1" si="7"/>
        <v>-0.22251027882676835</v>
      </c>
      <c r="AA25" s="76">
        <f t="shared" ca="1" si="7"/>
        <v>-0.1900711568040081</v>
      </c>
      <c r="AB25" s="76">
        <f t="shared" ca="1" si="7"/>
        <v>-0.18539975308928863</v>
      </c>
      <c r="AC25" s="76">
        <f ca="1">IF(AB24&lt;1,"NA",(AC24-AB24)/AB24)</f>
        <v>-0.1255273608927521</v>
      </c>
      <c r="AD25"/>
      <c r="AE25"/>
      <c r="AF25"/>
      <c r="AG25"/>
    </row>
    <row r="26" spans="1:33">
      <c r="A26" s="74" t="s">
        <v>615</v>
      </c>
      <c r="B26"/>
      <c r="F26" s="76" t="str">
        <f>IF(E69&lt;1,"NA",E71/E69)</f>
        <v>NA</v>
      </c>
      <c r="G26" s="76" t="str">
        <f>IF(F69&lt;1,"NA",F71/F69)</f>
        <v>NA</v>
      </c>
      <c r="H26" s="264" t="str">
        <f>IF(G69&lt;1,"NA",G71/G69)</f>
        <v>NA</v>
      </c>
      <c r="I26" s="369" t="str">
        <f ca="1">IF(H69+I69&lt;1,"NA",(H71+I71)/(H69+I69))</f>
        <v>NA</v>
      </c>
      <c r="J26" s="76">
        <f t="shared" ref="J26:S26" ca="1" si="8">IF(J69&lt;1,"NA",J71/J69)</f>
        <v>0.90157958768829904</v>
      </c>
      <c r="K26" s="76">
        <f t="shared" ca="1" si="8"/>
        <v>0.8999525138606751</v>
      </c>
      <c r="L26" s="76">
        <f t="shared" ca="1" si="8"/>
        <v>0.89925346138726503</v>
      </c>
      <c r="M26" s="76">
        <f t="shared" ca="1" si="8"/>
        <v>0.89858117323935083</v>
      </c>
      <c r="N26" s="76">
        <f t="shared" ca="1" si="8"/>
        <v>0.89756490046880144</v>
      </c>
      <c r="O26" s="76">
        <f t="shared" ca="1" si="8"/>
        <v>0.89602048222548847</v>
      </c>
      <c r="P26" s="76">
        <f t="shared" ca="1" si="8"/>
        <v>0.8940394771556438</v>
      </c>
      <c r="Q26" s="76">
        <f t="shared" ca="1" si="8"/>
        <v>0.88756324825299415</v>
      </c>
      <c r="R26" s="76">
        <f t="shared" ca="1" si="8"/>
        <v>0.88344638851608903</v>
      </c>
      <c r="S26" s="76">
        <f t="shared" ca="1" si="8"/>
        <v>0.88873143637844565</v>
      </c>
      <c r="T26" s="76">
        <f t="shared" ref="T26:AC26" ca="1" si="9">IF(T69&lt;1,"NA",T71/T69)</f>
        <v>0.88591704095429924</v>
      </c>
      <c r="U26" s="76">
        <f t="shared" ca="1" si="9"/>
        <v>0.88284303171388923</v>
      </c>
      <c r="V26" s="76">
        <f t="shared" ca="1" si="9"/>
        <v>0.87889074663128841</v>
      </c>
      <c r="W26" s="76">
        <f t="shared" ca="1" si="9"/>
        <v>0.89149196988059309</v>
      </c>
      <c r="X26" s="76">
        <f t="shared" ca="1" si="9"/>
        <v>0.88876171246385582</v>
      </c>
      <c r="Y26" s="76">
        <f t="shared" ca="1" si="9"/>
        <v>0.90227221614592124</v>
      </c>
      <c r="Z26" s="76">
        <f t="shared" ca="1" si="9"/>
        <v>0.90799999999999992</v>
      </c>
      <c r="AA26" s="76">
        <f t="shared" ca="1" si="9"/>
        <v>0.90800000000000003</v>
      </c>
      <c r="AB26" s="76">
        <f t="shared" ca="1" si="9"/>
        <v>0.90800000000000003</v>
      </c>
      <c r="AC26" s="76">
        <f t="shared" ca="1" si="9"/>
        <v>0.90800000000000003</v>
      </c>
      <c r="AD26"/>
      <c r="AE26"/>
      <c r="AF26"/>
      <c r="AG26"/>
    </row>
    <row r="27" spans="1:33">
      <c r="A27" s="74" t="s">
        <v>616</v>
      </c>
      <c r="B27"/>
      <c r="F27" s="5">
        <f>E74</f>
        <v>0</v>
      </c>
      <c r="G27" s="5">
        <f>F74</f>
        <v>0</v>
      </c>
      <c r="H27" s="69">
        <f>G74</f>
        <v>0</v>
      </c>
      <c r="I27" s="75">
        <f ca="1">I74+H74</f>
        <v>-478.40582972216873</v>
      </c>
      <c r="J27" s="5">
        <f t="shared" ref="J27:AC27" ca="1" si="10">J74</f>
        <v>6122.2028984646931</v>
      </c>
      <c r="K27" s="5">
        <f t="shared" ca="1" si="10"/>
        <v>4875.5759276883218</v>
      </c>
      <c r="L27" s="5">
        <f t="shared" ca="1" si="10"/>
        <v>4482.4191769391346</v>
      </c>
      <c r="M27" s="5">
        <f t="shared" ca="1" si="10"/>
        <v>4159.3653845045455</v>
      </c>
      <c r="N27" s="5">
        <f t="shared" ca="1" si="10"/>
        <v>3750.0394139646587</v>
      </c>
      <c r="O27" s="5">
        <f t="shared" ca="1" si="10"/>
        <v>3260.9577212852155</v>
      </c>
      <c r="P27" s="5">
        <f t="shared" ca="1" si="10"/>
        <v>2792.0396363084305</v>
      </c>
      <c r="Q27" s="5">
        <f t="shared" ca="1" si="10"/>
        <v>2425.1178658911954</v>
      </c>
      <c r="R27" s="5">
        <f t="shared" ca="1" si="10"/>
        <v>2097.4717813830271</v>
      </c>
      <c r="S27" s="5">
        <f t="shared" ca="1" si="10"/>
        <v>1839.2162204235951</v>
      </c>
      <c r="T27" s="5">
        <f t="shared" ca="1" si="10"/>
        <v>1599.7325291408924</v>
      </c>
      <c r="U27" s="5">
        <f t="shared" ca="1" si="10"/>
        <v>1399.383595520904</v>
      </c>
      <c r="V27" s="5">
        <f t="shared" ca="1" si="10"/>
        <v>1203.9693003716675</v>
      </c>
      <c r="W27" s="5">
        <f t="shared" ca="1" si="10"/>
        <v>1056.147119240974</v>
      </c>
      <c r="X27" s="5">
        <f t="shared" ca="1" si="10"/>
        <v>903.48544682056104</v>
      </c>
      <c r="Y27" s="5">
        <f t="shared" ca="1" si="10"/>
        <v>765.574100242388</v>
      </c>
      <c r="Z27" s="5">
        <f t="shared" ca="1" si="10"/>
        <v>599.00459377980383</v>
      </c>
      <c r="AA27" s="5">
        <f t="shared" ca="1" si="10"/>
        <v>485.1510977091616</v>
      </c>
      <c r="AB27" s="5">
        <f t="shared" ca="1" si="10"/>
        <v>395.2042039828857</v>
      </c>
      <c r="AC27" s="5">
        <f t="shared" ca="1" si="10"/>
        <v>345.59526324319319</v>
      </c>
      <c r="AD27"/>
      <c r="AE27"/>
      <c r="AF27"/>
      <c r="AG27"/>
    </row>
    <row r="28" spans="1:33">
      <c r="A28" s="74" t="s">
        <v>617</v>
      </c>
      <c r="B28"/>
      <c r="F28" s="76" t="str">
        <f>E982</f>
        <v>NA</v>
      </c>
      <c r="G28" s="76" t="str">
        <f>F982</f>
        <v>NA</v>
      </c>
      <c r="H28" s="264" t="str">
        <f>G982</f>
        <v>NA</v>
      </c>
      <c r="I28" s="369">
        <f ca="1">IF(I24=0,"NA",I27/I24)</f>
        <v>0.92736312152870271</v>
      </c>
      <c r="J28" s="76">
        <f t="shared" ref="J28:AC28" ca="1" si="11">J982</f>
        <v>0.90157958768829904</v>
      </c>
      <c r="K28" s="76">
        <f t="shared" ca="1" si="11"/>
        <v>0.8999525138606751</v>
      </c>
      <c r="L28" s="76">
        <f t="shared" ca="1" si="11"/>
        <v>0.89925346138726503</v>
      </c>
      <c r="M28" s="76">
        <f t="shared" ca="1" si="11"/>
        <v>0.89858117323935083</v>
      </c>
      <c r="N28" s="76">
        <f t="shared" ca="1" si="11"/>
        <v>0.89756490046880144</v>
      </c>
      <c r="O28" s="76">
        <f t="shared" ca="1" si="11"/>
        <v>0.89602048222548847</v>
      </c>
      <c r="P28" s="76">
        <f t="shared" ca="1" si="11"/>
        <v>0.8940394771556438</v>
      </c>
      <c r="Q28" s="76">
        <f t="shared" ca="1" si="11"/>
        <v>0.88756324825299415</v>
      </c>
      <c r="R28" s="76">
        <f t="shared" ca="1" si="11"/>
        <v>0.88344638851608903</v>
      </c>
      <c r="S28" s="76">
        <f t="shared" ca="1" si="11"/>
        <v>0.88873143637844565</v>
      </c>
      <c r="T28" s="76">
        <f t="shared" ca="1" si="11"/>
        <v>0.88591704095429924</v>
      </c>
      <c r="U28" s="76">
        <f t="shared" ca="1" si="11"/>
        <v>0.88284303171388923</v>
      </c>
      <c r="V28" s="76">
        <f t="shared" ca="1" si="11"/>
        <v>0.87889074663128841</v>
      </c>
      <c r="W28" s="76">
        <f t="shared" ca="1" si="11"/>
        <v>0.89149196988059309</v>
      </c>
      <c r="X28" s="76">
        <f t="shared" ca="1" si="11"/>
        <v>0.88876171246385582</v>
      </c>
      <c r="Y28" s="76">
        <f t="shared" ca="1" si="11"/>
        <v>0.90227221614592124</v>
      </c>
      <c r="Z28" s="76">
        <f t="shared" ca="1" si="11"/>
        <v>0.90799999999999992</v>
      </c>
      <c r="AA28" s="76">
        <f t="shared" ca="1" si="11"/>
        <v>0.90800000000000003</v>
      </c>
      <c r="AB28" s="76">
        <f t="shared" ca="1" si="11"/>
        <v>0.90800000000000003</v>
      </c>
      <c r="AC28" s="76">
        <f t="shared" ca="1" si="11"/>
        <v>0.90800000000000003</v>
      </c>
      <c r="AD28"/>
      <c r="AE28"/>
      <c r="AF28"/>
      <c r="AG28"/>
    </row>
    <row r="29" spans="1:33" customFormat="1">
      <c r="A29" t="s">
        <v>618</v>
      </c>
      <c r="H29" s="208"/>
      <c r="I29" s="370">
        <f t="shared" ref="I29:R29" ca="1" si="12">I27+I664+I688</f>
        <v>14022.718516003906</v>
      </c>
      <c r="J29" s="79">
        <f t="shared" ca="1" si="12"/>
        <v>14380.390849646319</v>
      </c>
      <c r="K29" s="79">
        <f t="shared" ca="1" si="12"/>
        <v>7859.9905038043653</v>
      </c>
      <c r="L29" s="79">
        <f t="shared" ca="1" si="12"/>
        <v>4482.4191769391346</v>
      </c>
      <c r="M29" s="79">
        <f t="shared" ca="1" si="12"/>
        <v>4159.3653845045455</v>
      </c>
      <c r="N29" s="79">
        <f t="shared" ca="1" si="12"/>
        <v>3750.0394139646587</v>
      </c>
      <c r="O29" s="79">
        <f t="shared" ca="1" si="12"/>
        <v>3260.9577212852155</v>
      </c>
      <c r="P29" s="79">
        <f t="shared" ca="1" si="12"/>
        <v>2792.0396363084305</v>
      </c>
      <c r="Q29" s="79">
        <f t="shared" ca="1" si="12"/>
        <v>2425.1178658911954</v>
      </c>
      <c r="R29" s="79">
        <f t="shared" ca="1" si="12"/>
        <v>2097.4717813830271</v>
      </c>
      <c r="S29" s="79">
        <f t="shared" ref="S29:AC29" ca="1" si="13">S27+S664+S688</f>
        <v>1839.2162204235951</v>
      </c>
      <c r="T29" s="79">
        <f t="shared" ca="1" si="13"/>
        <v>1599.7325291408924</v>
      </c>
      <c r="U29" s="79">
        <f t="shared" ca="1" si="13"/>
        <v>1399.383595520904</v>
      </c>
      <c r="V29" s="79">
        <f t="shared" ca="1" si="13"/>
        <v>1203.9693003716675</v>
      </c>
      <c r="W29" s="79">
        <f t="shared" ca="1" si="13"/>
        <v>1056.147119240974</v>
      </c>
      <c r="X29" s="79">
        <f t="shared" ca="1" si="13"/>
        <v>903.48544682056104</v>
      </c>
      <c r="Y29" s="79">
        <f t="shared" ca="1" si="13"/>
        <v>765.574100242388</v>
      </c>
      <c r="Z29" s="79">
        <f t="shared" ca="1" si="13"/>
        <v>599.00459377980383</v>
      </c>
      <c r="AA29" s="79">
        <f t="shared" ca="1" si="13"/>
        <v>485.1510977091616</v>
      </c>
      <c r="AB29" s="79">
        <f t="shared" ca="1" si="13"/>
        <v>395.2042039828857</v>
      </c>
      <c r="AC29" s="79">
        <f t="shared" ca="1" si="13"/>
        <v>345.59526324319319</v>
      </c>
    </row>
    <row r="30" spans="1:33">
      <c r="A30" s="74" t="s">
        <v>619</v>
      </c>
      <c r="B30"/>
      <c r="F30" s="5">
        <f>E83</f>
        <v>0</v>
      </c>
      <c r="G30" s="5">
        <f>F83</f>
        <v>0</v>
      </c>
      <c r="H30" s="69">
        <f>G83</f>
        <v>0</v>
      </c>
      <c r="I30" s="75">
        <f ca="1">I83+H83</f>
        <v>-478.40582972216873</v>
      </c>
      <c r="J30" s="5">
        <f t="shared" ref="J30:AC30" ca="1" si="14">J83</f>
        <v>6122.2028984646931</v>
      </c>
      <c r="K30" s="5">
        <f t="shared" ca="1" si="14"/>
        <v>4875.5759276883218</v>
      </c>
      <c r="L30" s="5">
        <f t="shared" ca="1" si="14"/>
        <v>4482.4191769391346</v>
      </c>
      <c r="M30" s="5">
        <f t="shared" ca="1" si="14"/>
        <v>4159.3653845045455</v>
      </c>
      <c r="N30" s="5">
        <f t="shared" ca="1" si="14"/>
        <v>3750.0394139646587</v>
      </c>
      <c r="O30" s="5">
        <f t="shared" ca="1" si="14"/>
        <v>3256.5783151782944</v>
      </c>
      <c r="P30" s="5">
        <f t="shared" ca="1" si="14"/>
        <v>2787.3048450071051</v>
      </c>
      <c r="Q30" s="5">
        <f t="shared" ca="1" si="14"/>
        <v>2418.0160318305366</v>
      </c>
      <c r="R30" s="5">
        <f t="shared" ca="1" si="14"/>
        <v>2091.411487879373</v>
      </c>
      <c r="S30" s="5">
        <f t="shared" ca="1" si="14"/>
        <v>1834.0815988219317</v>
      </c>
      <c r="T30" s="5">
        <f t="shared" ca="1" si="14"/>
        <v>1595.4188357404355</v>
      </c>
      <c r="U30" s="5">
        <f t="shared" ca="1" si="14"/>
        <v>1395.7675484349588</v>
      </c>
      <c r="V30" s="5">
        <f t="shared" ca="1" si="14"/>
        <v>1201.0002727152746</v>
      </c>
      <c r="W30" s="5">
        <f t="shared" ca="1" si="14"/>
        <v>1053.7122748844217</v>
      </c>
      <c r="X30" s="5">
        <f t="shared" ca="1" si="14"/>
        <v>901.51024369318623</v>
      </c>
      <c r="Y30" s="5">
        <f t="shared" ca="1" si="14"/>
        <v>764.01746093342479</v>
      </c>
      <c r="Z30" s="5">
        <f t="shared" ca="1" si="14"/>
        <v>597.86108012877241</v>
      </c>
      <c r="AA30" s="5">
        <f t="shared" ca="1" si="14"/>
        <v>484.27667042900197</v>
      </c>
      <c r="AB30" s="5">
        <f t="shared" ca="1" si="14"/>
        <v>394.53153198441407</v>
      </c>
      <c r="AC30" s="5">
        <f t="shared" ca="1" si="14"/>
        <v>345.03927768276378</v>
      </c>
      <c r="AD30"/>
      <c r="AE30"/>
      <c r="AF30"/>
      <c r="AG30"/>
    </row>
    <row r="31" spans="1:33">
      <c r="A31" s="74" t="s">
        <v>620</v>
      </c>
      <c r="B31"/>
      <c r="H31" s="69"/>
      <c r="I31" s="75">
        <f t="shared" ref="I31:R31" ca="1" si="15">I30+I664+I688</f>
        <v>14022.718516003906</v>
      </c>
      <c r="J31" s="5">
        <f t="shared" ca="1" si="15"/>
        <v>14380.390849646319</v>
      </c>
      <c r="K31" s="5">
        <f t="shared" ca="1" si="15"/>
        <v>7859.9905038043653</v>
      </c>
      <c r="L31" s="5">
        <f t="shared" ca="1" si="15"/>
        <v>4482.4191769391346</v>
      </c>
      <c r="M31" s="5">
        <f t="shared" ca="1" si="15"/>
        <v>4159.3653845045455</v>
      </c>
      <c r="N31" s="5">
        <f t="shared" ca="1" si="15"/>
        <v>3750.0394139646587</v>
      </c>
      <c r="O31" s="5">
        <f t="shared" ca="1" si="15"/>
        <v>3256.5783151782944</v>
      </c>
      <c r="P31" s="5">
        <f t="shared" ca="1" si="15"/>
        <v>2787.3048450071051</v>
      </c>
      <c r="Q31" s="5">
        <f t="shared" ca="1" si="15"/>
        <v>2418.0160318305366</v>
      </c>
      <c r="R31" s="5">
        <f t="shared" ca="1" si="15"/>
        <v>2091.411487879373</v>
      </c>
      <c r="S31" s="5">
        <f t="shared" ref="S31:AC31" ca="1" si="16">S30+S664+S688</f>
        <v>1834.0815988219317</v>
      </c>
      <c r="T31" s="5">
        <f t="shared" ca="1" si="16"/>
        <v>1595.4188357404355</v>
      </c>
      <c r="U31" s="5">
        <f t="shared" ca="1" si="16"/>
        <v>1395.7675484349588</v>
      </c>
      <c r="V31" s="5">
        <f t="shared" ca="1" si="16"/>
        <v>1201.0002727152746</v>
      </c>
      <c r="W31" s="5">
        <f t="shared" ca="1" si="16"/>
        <v>1053.7122748844217</v>
      </c>
      <c r="X31" s="5">
        <f t="shared" ca="1" si="16"/>
        <v>901.51024369318623</v>
      </c>
      <c r="Y31" s="5">
        <f t="shared" ca="1" si="16"/>
        <v>764.01746093342479</v>
      </c>
      <c r="Z31" s="5">
        <f t="shared" ca="1" si="16"/>
        <v>597.86108012877241</v>
      </c>
      <c r="AA31" s="5">
        <f t="shared" ca="1" si="16"/>
        <v>484.27667042900197</v>
      </c>
      <c r="AB31" s="5">
        <f t="shared" ca="1" si="16"/>
        <v>394.53153198441407</v>
      </c>
      <c r="AC31" s="5">
        <f t="shared" ca="1" si="16"/>
        <v>345.03927768276378</v>
      </c>
      <c r="AD31"/>
      <c r="AE31"/>
      <c r="AF31"/>
      <c r="AG31"/>
    </row>
    <row r="32" spans="1:33">
      <c r="A32" s="74" t="s">
        <v>621</v>
      </c>
      <c r="B32"/>
      <c r="F32" s="5">
        <f>E941</f>
        <v>0</v>
      </c>
      <c r="G32" s="5">
        <f>F941</f>
        <v>0</v>
      </c>
      <c r="H32" s="69">
        <f>G941</f>
        <v>0</v>
      </c>
      <c r="I32" s="75">
        <f>H941+I941</f>
        <v>0</v>
      </c>
      <c r="J32" s="5">
        <f t="shared" ref="J32:AC32" si="17">J941</f>
        <v>0</v>
      </c>
      <c r="K32" s="5">
        <f t="shared" si="17"/>
        <v>0</v>
      </c>
      <c r="L32" s="5">
        <f t="shared" si="17"/>
        <v>0</v>
      </c>
      <c r="M32" s="5">
        <f t="shared" si="17"/>
        <v>0</v>
      </c>
      <c r="N32" s="5">
        <f t="shared" si="17"/>
        <v>0</v>
      </c>
      <c r="O32" s="5">
        <f t="shared" si="17"/>
        <v>25.811</v>
      </c>
      <c r="P32" s="5">
        <f t="shared" si="17"/>
        <v>5.5119999999999996</v>
      </c>
      <c r="Q32" s="5">
        <f t="shared" si="17"/>
        <v>16.2</v>
      </c>
      <c r="R32" s="5">
        <f t="shared" si="17"/>
        <v>0</v>
      </c>
      <c r="S32" s="5">
        <f t="shared" si="17"/>
        <v>0</v>
      </c>
      <c r="T32" s="5">
        <f t="shared" si="17"/>
        <v>0</v>
      </c>
      <c r="U32" s="5">
        <f t="shared" si="17"/>
        <v>0</v>
      </c>
      <c r="V32" s="5">
        <f t="shared" si="17"/>
        <v>0</v>
      </c>
      <c r="W32" s="5">
        <f t="shared" si="17"/>
        <v>0</v>
      </c>
      <c r="X32" s="5">
        <f t="shared" si="17"/>
        <v>0</v>
      </c>
      <c r="Y32" s="5">
        <f t="shared" si="17"/>
        <v>0</v>
      </c>
      <c r="Z32" s="5">
        <f t="shared" si="17"/>
        <v>0</v>
      </c>
      <c r="AA32" s="5">
        <f t="shared" si="17"/>
        <v>0</v>
      </c>
      <c r="AB32" s="5">
        <f t="shared" si="17"/>
        <v>0</v>
      </c>
      <c r="AC32" s="5">
        <f t="shared" si="17"/>
        <v>0</v>
      </c>
      <c r="AD32"/>
      <c r="AE32"/>
      <c r="AF32"/>
      <c r="AG32"/>
    </row>
    <row r="33" spans="1:33" ht="4.5" customHeight="1">
      <c r="A33" s="77"/>
      <c r="H33" s="69"/>
      <c r="I33" s="370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>
      <c r="A34" s="77" t="s">
        <v>622</v>
      </c>
      <c r="B34" s="74" t="s">
        <v>623</v>
      </c>
      <c r="F34" s="78" t="str">
        <f>IF(E69=0,"NA",IF(OR(E450=0,365*E450/E69&gt;1000),"NA",365*E450/E69))</f>
        <v>NA</v>
      </c>
      <c r="G34" s="78" t="str">
        <f>IF(F69=0,"NA",IF(OR(F450=0,365*F450/F69&gt;1000),"NA",365*F450/F69))</f>
        <v>NA</v>
      </c>
      <c r="H34" s="265" t="str">
        <f>IF(G69=0,"NA",IF(OR(G450=0,365*G450/G69&gt;1000),"NA",365*G450/G69))</f>
        <v>NA</v>
      </c>
      <c r="I34" s="371" t="str">
        <f ca="1">IF(H69+I69=0,"NA",IF(OR(I450=0,365*I450/(H69+I69)&gt;1000),"NA",365*I450/(H69+I69)))</f>
        <v>NA</v>
      </c>
      <c r="J34" s="78" t="str">
        <f t="shared" ref="J34:S34" ca="1" si="18">IF(J69=0,"NA",IF(OR(J450=0,365*J450/J69&gt;1000),"NA",365*J450/J69))</f>
        <v>NA</v>
      </c>
      <c r="K34" s="78" t="str">
        <f t="shared" ca="1" si="18"/>
        <v>NA</v>
      </c>
      <c r="L34" s="78" t="str">
        <f t="shared" ca="1" si="18"/>
        <v>NA</v>
      </c>
      <c r="M34" s="78" t="str">
        <f t="shared" ca="1" si="18"/>
        <v>NA</v>
      </c>
      <c r="N34" s="78" t="str">
        <f t="shared" ca="1" si="18"/>
        <v>NA</v>
      </c>
      <c r="O34" s="78" t="str">
        <f t="shared" ca="1" si="18"/>
        <v>NA</v>
      </c>
      <c r="P34" s="78" t="str">
        <f t="shared" ca="1" si="18"/>
        <v>NA</v>
      </c>
      <c r="Q34" s="78" t="str">
        <f t="shared" ca="1" si="18"/>
        <v>NA</v>
      </c>
      <c r="R34" s="78" t="str">
        <f t="shared" ca="1" si="18"/>
        <v>NA</v>
      </c>
      <c r="S34" s="78" t="str">
        <f t="shared" ca="1" si="18"/>
        <v>NA</v>
      </c>
      <c r="T34" s="78" t="str">
        <f t="shared" ref="T34:AC34" ca="1" si="19">IF(T69=0,"NA",IF(OR(T450=0,365*T450/T69&gt;1000),"NA",365*T450/T69))</f>
        <v>NA</v>
      </c>
      <c r="U34" s="78" t="str">
        <f t="shared" ca="1" si="19"/>
        <v>NA</v>
      </c>
      <c r="V34" s="78" t="str">
        <f t="shared" ca="1" si="19"/>
        <v>NA</v>
      </c>
      <c r="W34" s="78" t="str">
        <f t="shared" ca="1" si="19"/>
        <v>NA</v>
      </c>
      <c r="X34" s="78" t="str">
        <f t="shared" ca="1" si="19"/>
        <v>NA</v>
      </c>
      <c r="Y34" s="78" t="str">
        <f t="shared" ca="1" si="19"/>
        <v>NA</v>
      </c>
      <c r="Z34" s="78" t="str">
        <f t="shared" ca="1" si="19"/>
        <v>NA</v>
      </c>
      <c r="AA34" s="78" t="str">
        <f t="shared" ca="1" si="19"/>
        <v>NA</v>
      </c>
      <c r="AB34" s="78" t="str">
        <f t="shared" ca="1" si="19"/>
        <v>NA</v>
      </c>
      <c r="AC34" s="78" t="str">
        <f t="shared" ca="1" si="19"/>
        <v>NA</v>
      </c>
      <c r="AD34"/>
      <c r="AE34"/>
      <c r="AF34"/>
      <c r="AG34"/>
    </row>
    <row r="35" spans="1:33">
      <c r="A35" s="77" t="s">
        <v>624</v>
      </c>
      <c r="B35" s="74" t="s">
        <v>625</v>
      </c>
      <c r="F35" s="78" t="str">
        <f>IF(E69=0,"NA",IF(OR(E451=0,365*E451/E69&gt;1000),"NA",365*E451/E69))</f>
        <v>NA</v>
      </c>
      <c r="G35" s="78" t="str">
        <f>IF(F69=0,"NA",IF(OR(F451=0,365*F451/F69&gt;1000),"NA",365*F451/F69))</f>
        <v>NA</v>
      </c>
      <c r="H35" s="265" t="str">
        <f>IF(G69=0,"NA",IF(OR(G451=0,365*G451/G69&gt;1000),"NA",365*G451/G69))</f>
        <v>NA</v>
      </c>
      <c r="I35" s="371" t="str">
        <f ca="1">IF(H69+I69=0,"NA",IF(OR(I451=0,365*I451/(H69+I69)&gt;1000),"NA",365*I451/(H69+I69)))</f>
        <v>NA</v>
      </c>
      <c r="J35" s="78" t="str">
        <f t="shared" ref="J35:S35" ca="1" si="20">IF(J69=0,"NA",IF(OR(J451=0,365*J451/J69&gt;1000),"NA",365*J451/J69))</f>
        <v>NA</v>
      </c>
      <c r="K35" s="78" t="str">
        <f t="shared" ca="1" si="20"/>
        <v>NA</v>
      </c>
      <c r="L35" s="78" t="str">
        <f t="shared" ca="1" si="20"/>
        <v>NA</v>
      </c>
      <c r="M35" s="78" t="str">
        <f t="shared" ca="1" si="20"/>
        <v>NA</v>
      </c>
      <c r="N35" s="78" t="str">
        <f t="shared" ca="1" si="20"/>
        <v>NA</v>
      </c>
      <c r="O35" s="78" t="str">
        <f t="shared" ca="1" si="20"/>
        <v>NA</v>
      </c>
      <c r="P35" s="78" t="str">
        <f t="shared" ca="1" si="20"/>
        <v>NA</v>
      </c>
      <c r="Q35" s="78" t="str">
        <f t="shared" ca="1" si="20"/>
        <v>NA</v>
      </c>
      <c r="R35" s="78" t="str">
        <f t="shared" ca="1" si="20"/>
        <v>NA</v>
      </c>
      <c r="S35" s="78" t="str">
        <f t="shared" ca="1" si="20"/>
        <v>NA</v>
      </c>
      <c r="T35" s="78" t="str">
        <f t="shared" ref="T35:AC35" ca="1" si="21">IF(T69=0,"NA",IF(OR(T451=0,365*T451/T69&gt;1000),"NA",365*T451/T69))</f>
        <v>NA</v>
      </c>
      <c r="U35" s="78" t="str">
        <f t="shared" ca="1" si="21"/>
        <v>NA</v>
      </c>
      <c r="V35" s="78" t="str">
        <f t="shared" ca="1" si="21"/>
        <v>NA</v>
      </c>
      <c r="W35" s="78" t="str">
        <f t="shared" ca="1" si="21"/>
        <v>NA</v>
      </c>
      <c r="X35" s="78" t="str">
        <f t="shared" ca="1" si="21"/>
        <v>NA</v>
      </c>
      <c r="Y35" s="78" t="str">
        <f t="shared" ca="1" si="21"/>
        <v>NA</v>
      </c>
      <c r="Z35" s="78" t="str">
        <f t="shared" ca="1" si="21"/>
        <v>NA</v>
      </c>
      <c r="AA35" s="78" t="str">
        <f t="shared" ca="1" si="21"/>
        <v>NA</v>
      </c>
      <c r="AB35" s="78" t="str">
        <f t="shared" ca="1" si="21"/>
        <v>NA</v>
      </c>
      <c r="AC35" s="78" t="str">
        <f t="shared" ca="1" si="21"/>
        <v>NA</v>
      </c>
      <c r="AD35"/>
      <c r="AE35"/>
      <c r="AF35"/>
      <c r="AG35"/>
    </row>
    <row r="36" spans="1:33">
      <c r="A36"/>
      <c r="B36" s="74" t="s">
        <v>626</v>
      </c>
      <c r="F36" s="78" t="str">
        <f>IF(E452=0,"NA",E70/E452)</f>
        <v>NA</v>
      </c>
      <c r="G36" s="78" t="str">
        <f>IF(F452=0,"NA",F70/F452)</f>
        <v>NA</v>
      </c>
      <c r="H36" s="265" t="str">
        <f>IF(G452=0,"NA",G70/G452)</f>
        <v>NA</v>
      </c>
      <c r="I36" s="371" t="str">
        <f ca="1">IF(I452=0,"NA",(H70+I70)/I452)</f>
        <v>NA</v>
      </c>
      <c r="J36" s="78" t="str">
        <f t="shared" ref="J36:S36" ca="1" si="22">IF(J452=0,"NA",J70/J452)</f>
        <v>NA</v>
      </c>
      <c r="K36" s="78" t="str">
        <f t="shared" ca="1" si="22"/>
        <v>NA</v>
      </c>
      <c r="L36" s="78" t="str">
        <f t="shared" ca="1" si="22"/>
        <v>NA</v>
      </c>
      <c r="M36" s="78" t="str">
        <f t="shared" ca="1" si="22"/>
        <v>NA</v>
      </c>
      <c r="N36" s="78" t="str">
        <f t="shared" ca="1" si="22"/>
        <v>NA</v>
      </c>
      <c r="O36" s="78" t="str">
        <f t="shared" ca="1" si="22"/>
        <v>NA</v>
      </c>
      <c r="P36" s="78" t="str">
        <f t="shared" ca="1" si="22"/>
        <v>NA</v>
      </c>
      <c r="Q36" s="78" t="str">
        <f t="shared" ca="1" si="22"/>
        <v>NA</v>
      </c>
      <c r="R36" s="78" t="str">
        <f t="shared" ca="1" si="22"/>
        <v>NA</v>
      </c>
      <c r="S36" s="78" t="str">
        <f t="shared" ca="1" si="22"/>
        <v>NA</v>
      </c>
      <c r="T36" s="78" t="str">
        <f t="shared" ref="T36:AC36" ca="1" si="23">IF(T452=0,"NA",T70/T452)</f>
        <v>NA</v>
      </c>
      <c r="U36" s="78" t="str">
        <f t="shared" ca="1" si="23"/>
        <v>NA</v>
      </c>
      <c r="V36" s="78" t="str">
        <f t="shared" ca="1" si="23"/>
        <v>NA</v>
      </c>
      <c r="W36" s="78" t="str">
        <f t="shared" ca="1" si="23"/>
        <v>NA</v>
      </c>
      <c r="X36" s="78" t="str">
        <f t="shared" ca="1" si="23"/>
        <v>NA</v>
      </c>
      <c r="Y36" s="78" t="str">
        <f t="shared" ca="1" si="23"/>
        <v>NA</v>
      </c>
      <c r="Z36" s="78" t="str">
        <f t="shared" ca="1" si="23"/>
        <v>NA</v>
      </c>
      <c r="AA36" s="78" t="str">
        <f t="shared" ca="1" si="23"/>
        <v>NA</v>
      </c>
      <c r="AB36" s="78" t="str">
        <f t="shared" ca="1" si="23"/>
        <v>NA</v>
      </c>
      <c r="AC36" s="78" t="str">
        <f t="shared" ca="1" si="23"/>
        <v>NA</v>
      </c>
      <c r="AD36"/>
      <c r="AE36"/>
      <c r="AF36"/>
      <c r="AG36"/>
    </row>
    <row r="37" spans="1:33">
      <c r="A37"/>
      <c r="B37" s="74" t="s">
        <v>627</v>
      </c>
      <c r="F37" s="78" t="str">
        <f>IF(E70=0,"NA",365*E454/E70)</f>
        <v>NA</v>
      </c>
      <c r="G37" s="78" t="str">
        <f>IF(F70=0,"NA",365*F454/F70)</f>
        <v>NA</v>
      </c>
      <c r="H37" s="265" t="str">
        <f>IF(G70=0,"NA",365*G454/G70)</f>
        <v>NA</v>
      </c>
      <c r="I37" s="371" t="str">
        <f ca="1">IF(I454=0,"NA",365*I454/(H70+I70))</f>
        <v>NA</v>
      </c>
      <c r="J37" s="78" t="str">
        <f t="shared" ref="J37:S37" ca="1" si="24">IF(J454=0,"NA",365*J454/J70)</f>
        <v>NA</v>
      </c>
      <c r="K37" s="78" t="str">
        <f t="shared" ca="1" si="24"/>
        <v>NA</v>
      </c>
      <c r="L37" s="78" t="str">
        <f t="shared" ca="1" si="24"/>
        <v>NA</v>
      </c>
      <c r="M37" s="78" t="str">
        <f t="shared" ca="1" si="24"/>
        <v>NA</v>
      </c>
      <c r="N37" s="78" t="str">
        <f t="shared" ca="1" si="24"/>
        <v>NA</v>
      </c>
      <c r="O37" s="78" t="str">
        <f t="shared" ca="1" si="24"/>
        <v>NA</v>
      </c>
      <c r="P37" s="78" t="str">
        <f t="shared" ca="1" si="24"/>
        <v>NA</v>
      </c>
      <c r="Q37" s="78" t="str">
        <f t="shared" ca="1" si="24"/>
        <v>NA</v>
      </c>
      <c r="R37" s="78" t="str">
        <f t="shared" ca="1" si="24"/>
        <v>NA</v>
      </c>
      <c r="S37" s="78" t="str">
        <f t="shared" ca="1" si="24"/>
        <v>NA</v>
      </c>
      <c r="T37" s="78" t="str">
        <f t="shared" ref="T37:AC37" ca="1" si="25">IF(T454=0,"NA",365*T454/T70)</f>
        <v>NA</v>
      </c>
      <c r="U37" s="78" t="str">
        <f t="shared" ca="1" si="25"/>
        <v>NA</v>
      </c>
      <c r="V37" s="78" t="str">
        <f t="shared" ca="1" si="25"/>
        <v>NA</v>
      </c>
      <c r="W37" s="78" t="str">
        <f t="shared" ca="1" si="25"/>
        <v>NA</v>
      </c>
      <c r="X37" s="78" t="str">
        <f t="shared" ca="1" si="25"/>
        <v>NA</v>
      </c>
      <c r="Y37" s="78" t="str">
        <f t="shared" ca="1" si="25"/>
        <v>NA</v>
      </c>
      <c r="Z37" s="78" t="str">
        <f t="shared" ca="1" si="25"/>
        <v>NA</v>
      </c>
      <c r="AA37" s="78" t="str">
        <f t="shared" ca="1" si="25"/>
        <v>NA</v>
      </c>
      <c r="AB37" s="78" t="str">
        <f t="shared" ca="1" si="25"/>
        <v>NA</v>
      </c>
      <c r="AC37" s="78" t="str">
        <f t="shared" ca="1" si="25"/>
        <v>NA</v>
      </c>
      <c r="AD37"/>
      <c r="AE37"/>
      <c r="AF37"/>
      <c r="AG37"/>
    </row>
    <row r="38" spans="1:33" ht="3.75" customHeight="1">
      <c r="H38" s="69"/>
      <c r="I38" s="75"/>
      <c r="AD38"/>
      <c r="AE38"/>
      <c r="AF38"/>
      <c r="AG38"/>
    </row>
    <row r="39" spans="1:33">
      <c r="A39" s="70" t="s">
        <v>628</v>
      </c>
      <c r="H39" s="69"/>
      <c r="I39" s="75"/>
      <c r="AD39"/>
      <c r="AE39"/>
      <c r="AF39"/>
      <c r="AG39"/>
    </row>
    <row r="40" spans="1:33">
      <c r="A40" s="74" t="s">
        <v>629</v>
      </c>
      <c r="F40" s="5">
        <f>E99</f>
        <v>0</v>
      </c>
      <c r="G40" s="5">
        <f>F99</f>
        <v>0</v>
      </c>
      <c r="H40" s="69">
        <f>G99</f>
        <v>0</v>
      </c>
      <c r="I40" s="75">
        <f ca="1">I99+H99+I527+I519+I692</f>
        <v>22.718516003905837</v>
      </c>
      <c r="J40" s="5">
        <f t="shared" ref="J40:S40" ca="1" si="26">J99+J527+J519+J692</f>
        <v>22.718516003905837</v>
      </c>
      <c r="K40" s="5">
        <f t="shared" ca="1" si="26"/>
        <v>0</v>
      </c>
      <c r="L40" s="5">
        <f t="shared" ca="1" si="26"/>
        <v>0</v>
      </c>
      <c r="M40" s="5">
        <f t="shared" ca="1" si="26"/>
        <v>0</v>
      </c>
      <c r="N40" s="5">
        <f t="shared" ca="1" si="26"/>
        <v>0</v>
      </c>
      <c r="O40" s="5">
        <f t="shared" ca="1" si="26"/>
        <v>0</v>
      </c>
      <c r="P40" s="5">
        <f t="shared" ca="1" si="26"/>
        <v>0</v>
      </c>
      <c r="Q40" s="5">
        <f t="shared" ca="1" si="26"/>
        <v>0</v>
      </c>
      <c r="R40" s="5">
        <f t="shared" ca="1" si="26"/>
        <v>0</v>
      </c>
      <c r="S40" s="5">
        <f t="shared" ca="1" si="26"/>
        <v>0</v>
      </c>
      <c r="T40" s="5">
        <f t="shared" ref="T40:AC40" ca="1" si="27">T99+T527+T519+T692</f>
        <v>0</v>
      </c>
      <c r="U40" s="5">
        <f t="shared" ca="1" si="27"/>
        <v>0</v>
      </c>
      <c r="V40" s="5">
        <f t="shared" ca="1" si="27"/>
        <v>0</v>
      </c>
      <c r="W40" s="5">
        <f t="shared" ca="1" si="27"/>
        <v>0</v>
      </c>
      <c r="X40" s="5">
        <f t="shared" ca="1" si="27"/>
        <v>0</v>
      </c>
      <c r="Y40" s="5">
        <f t="shared" ca="1" si="27"/>
        <v>0</v>
      </c>
      <c r="Z40" s="5">
        <f t="shared" ca="1" si="27"/>
        <v>0</v>
      </c>
      <c r="AA40" s="5">
        <f t="shared" ca="1" si="27"/>
        <v>0</v>
      </c>
      <c r="AB40" s="5">
        <f t="shared" ca="1" si="27"/>
        <v>0</v>
      </c>
      <c r="AC40" s="5">
        <f t="shared" ca="1" si="27"/>
        <v>0</v>
      </c>
      <c r="AD40"/>
      <c r="AE40"/>
      <c r="AF40"/>
      <c r="AG40"/>
    </row>
    <row r="41" spans="1:33">
      <c r="A41" s="74" t="s">
        <v>630</v>
      </c>
      <c r="F41" s="5">
        <v>0</v>
      </c>
      <c r="G41" s="5">
        <v>0</v>
      </c>
      <c r="H41" s="69">
        <v>0</v>
      </c>
      <c r="I41" s="75">
        <f t="shared" ref="I41:R41" ca="1" si="28">I270+I243+(I303+I297)+I264+I258+H538+I233+MAX(I693,0)</f>
        <v>0</v>
      </c>
      <c r="J41" s="69">
        <f t="shared" ca="1" si="28"/>
        <v>0</v>
      </c>
      <c r="K41" s="69">
        <f t="shared" ca="1" si="28"/>
        <v>0</v>
      </c>
      <c r="L41" s="69">
        <f t="shared" ca="1" si="28"/>
        <v>716.8723789116633</v>
      </c>
      <c r="M41" s="69">
        <f t="shared" ca="1" si="28"/>
        <v>1689.6421510990449</v>
      </c>
      <c r="N41" s="69">
        <f t="shared" ca="1" si="28"/>
        <v>1616.0064589369322</v>
      </c>
      <c r="O41" s="69">
        <f t="shared" ca="1" si="28"/>
        <v>1509.6609592048412</v>
      </c>
      <c r="P41" s="69">
        <f t="shared" ca="1" si="28"/>
        <v>1407.2127091425839</v>
      </c>
      <c r="Q41" s="69">
        <f t="shared" ca="1" si="28"/>
        <v>1335.5554065281588</v>
      </c>
      <c r="R41" s="69">
        <f t="shared" ca="1" si="28"/>
        <v>1276.0605992347796</v>
      </c>
      <c r="S41" s="69">
        <f t="shared" ref="S41:AC41" ca="1" si="29">S270+S243+(S303+S297)+S264+S258+R538+S233+MAX(S693,0)</f>
        <v>1234.2524978971769</v>
      </c>
      <c r="T41" s="69">
        <f t="shared" ca="1" si="29"/>
        <v>1193.2411137186471</v>
      </c>
      <c r="U41" s="69">
        <f t="shared" ca="1" si="29"/>
        <v>1164.3269519118221</v>
      </c>
      <c r="V41" s="69">
        <f t="shared" ca="1" si="29"/>
        <v>1136.119416379242</v>
      </c>
      <c r="W41" s="69">
        <f t="shared" ca="1" si="29"/>
        <v>1123.3689887128821</v>
      </c>
      <c r="X41" s="69">
        <f t="shared" ca="1" si="29"/>
        <v>1108.4833470515889</v>
      </c>
      <c r="Y41" s="69">
        <f t="shared" ca="1" si="29"/>
        <v>1098.1756957807122</v>
      </c>
      <c r="Z41" s="69">
        <f t="shared" ca="1" si="29"/>
        <v>1077.605873500429</v>
      </c>
      <c r="AA41" s="69">
        <f t="shared" ca="1" si="29"/>
        <v>1074.5143097236191</v>
      </c>
      <c r="AB41" s="69">
        <f t="shared" ca="1" si="29"/>
        <v>1079.55627768863</v>
      </c>
      <c r="AC41" s="69">
        <f t="shared" ca="1" si="29"/>
        <v>1098.680257648381</v>
      </c>
      <c r="AD41"/>
      <c r="AE41"/>
      <c r="AF41"/>
      <c r="AG41"/>
    </row>
    <row r="42" spans="1:33">
      <c r="A42" s="74" t="s">
        <v>631</v>
      </c>
      <c r="F42" s="5">
        <v>0</v>
      </c>
      <c r="G42" s="5">
        <v>0</v>
      </c>
      <c r="H42" s="69">
        <v>0</v>
      </c>
      <c r="I42" s="75">
        <f t="shared" ref="I42:R42" ca="1" si="30">I41+I278+I285+I309+H543</f>
        <v>0</v>
      </c>
      <c r="J42" s="69">
        <f t="shared" ca="1" si="30"/>
        <v>0</v>
      </c>
      <c r="K42" s="69">
        <f t="shared" ca="1" si="30"/>
        <v>0</v>
      </c>
      <c r="L42" s="69">
        <f t="shared" ca="1" si="30"/>
        <v>716.8723789116633</v>
      </c>
      <c r="M42" s="69">
        <f t="shared" ca="1" si="30"/>
        <v>1689.6421510990449</v>
      </c>
      <c r="N42" s="69">
        <f t="shared" ca="1" si="30"/>
        <v>1616.0064589369322</v>
      </c>
      <c r="O42" s="69">
        <f t="shared" ca="1" si="30"/>
        <v>1509.6609592048412</v>
      </c>
      <c r="P42" s="69">
        <f t="shared" ca="1" si="30"/>
        <v>1407.2127091425839</v>
      </c>
      <c r="Q42" s="69">
        <f t="shared" ca="1" si="30"/>
        <v>1335.5554065281588</v>
      </c>
      <c r="R42" s="69">
        <f t="shared" ca="1" si="30"/>
        <v>1276.0605992347796</v>
      </c>
      <c r="S42" s="69">
        <f t="shared" ref="S42:AC42" ca="1" si="31">S41+S278+S285+S309+R543</f>
        <v>1234.2524978971769</v>
      </c>
      <c r="T42" s="69">
        <f t="shared" ca="1" si="31"/>
        <v>1193.2411137186471</v>
      </c>
      <c r="U42" s="69">
        <f t="shared" ca="1" si="31"/>
        <v>1164.3269519118221</v>
      </c>
      <c r="V42" s="69">
        <f t="shared" ca="1" si="31"/>
        <v>1136.119416379242</v>
      </c>
      <c r="W42" s="69">
        <f t="shared" ca="1" si="31"/>
        <v>1123.3689887128821</v>
      </c>
      <c r="X42" s="69">
        <f t="shared" ca="1" si="31"/>
        <v>1108.4833470515889</v>
      </c>
      <c r="Y42" s="69">
        <f t="shared" ca="1" si="31"/>
        <v>1098.1756957807122</v>
      </c>
      <c r="Z42" s="69">
        <f t="shared" ca="1" si="31"/>
        <v>1077.605873500429</v>
      </c>
      <c r="AA42" s="69">
        <f t="shared" ca="1" si="31"/>
        <v>1074.5143097236191</v>
      </c>
      <c r="AB42" s="69">
        <f t="shared" ca="1" si="31"/>
        <v>1079.55627768863</v>
      </c>
      <c r="AC42" s="69">
        <f t="shared" ca="1" si="31"/>
        <v>1098.680257648381</v>
      </c>
      <c r="AD42"/>
      <c r="AE42"/>
      <c r="AF42"/>
      <c r="AG42"/>
    </row>
    <row r="43" spans="1:33">
      <c r="A43" s="74" t="s">
        <v>632</v>
      </c>
      <c r="H43" s="69"/>
      <c r="I43" s="75">
        <f t="shared" ref="I43:AC43" ca="1" si="32">I239</f>
        <v>24227.661288862102</v>
      </c>
      <c r="J43" s="5">
        <f t="shared" ca="1" si="32"/>
        <v>41011.225319889047</v>
      </c>
      <c r="K43" s="5">
        <f t="shared" ca="1" si="32"/>
        <v>48807.187448386539</v>
      </c>
      <c r="L43" s="5">
        <f t="shared" ca="1" si="32"/>
        <v>56448.809835081222</v>
      </c>
      <c r="M43" s="5">
        <f t="shared" ca="1" si="32"/>
        <v>62978.208219352557</v>
      </c>
      <c r="N43" s="5">
        <f t="shared" ca="1" si="32"/>
        <v>68028.975167083277</v>
      </c>
      <c r="O43" s="5">
        <f t="shared" ca="1" si="32"/>
        <v>70955.892113116046</v>
      </c>
      <c r="P43" s="5">
        <f t="shared" ca="1" si="32"/>
        <v>75631.803354725111</v>
      </c>
      <c r="Q43" s="5">
        <f t="shared" ca="1" si="32"/>
        <v>71589.215046717407</v>
      </c>
      <c r="R43" s="5">
        <f t="shared" ca="1" si="32"/>
        <v>60130.430636780089</v>
      </c>
      <c r="S43" s="5">
        <f t="shared" ca="1" si="32"/>
        <v>49539.268007623767</v>
      </c>
      <c r="T43" s="5">
        <f t="shared" ca="1" si="32"/>
        <v>40030.083489593773</v>
      </c>
      <c r="U43" s="5">
        <f t="shared" ca="1" si="32"/>
        <v>31859.537119863649</v>
      </c>
      <c r="V43" s="5">
        <f t="shared" ca="1" si="32"/>
        <v>25173.014345118198</v>
      </c>
      <c r="W43" s="5">
        <f t="shared" ca="1" si="32"/>
        <v>19722.773889256194</v>
      </c>
      <c r="X43" s="5">
        <f t="shared" ca="1" si="32"/>
        <v>15241.822789045931</v>
      </c>
      <c r="Y43" s="5">
        <f t="shared" ca="1" si="32"/>
        <v>11492.92493907427</v>
      </c>
      <c r="Z43" s="5">
        <f t="shared" ca="1" si="32"/>
        <v>8341.6256325552258</v>
      </c>
      <c r="AA43" s="5">
        <f t="shared" ca="1" si="32"/>
        <v>5730.6336326460178</v>
      </c>
      <c r="AB43" s="5">
        <f t="shared" ca="1" si="32"/>
        <v>3529.885851015028</v>
      </c>
      <c r="AC43" s="5">
        <f t="shared" ca="1" si="32"/>
        <v>1647.0566654537877</v>
      </c>
      <c r="AD43"/>
      <c r="AE43"/>
      <c r="AF43"/>
      <c r="AG43"/>
    </row>
    <row r="44" spans="1:33" customFormat="1" ht="3" customHeight="1">
      <c r="H44" s="208"/>
      <c r="I44" s="207"/>
    </row>
    <row r="45" spans="1:33" customFormat="1">
      <c r="A45" s="74" t="s">
        <v>633</v>
      </c>
      <c r="F45" s="79">
        <f>E172</f>
        <v>0</v>
      </c>
      <c r="G45" s="79">
        <f>F172</f>
        <v>0</v>
      </c>
      <c r="H45" s="80">
        <f>G172</f>
        <v>0</v>
      </c>
      <c r="I45" s="370">
        <f t="shared" ref="I45:AC45" ca="1" si="33">I172</f>
        <v>0</v>
      </c>
      <c r="J45" s="80">
        <f t="shared" ca="1" si="33"/>
        <v>5738.0804833465427</v>
      </c>
      <c r="K45" s="80">
        <f t="shared" ca="1" si="33"/>
        <v>10189.817411743868</v>
      </c>
      <c r="L45" s="80">
        <f t="shared" ca="1" si="33"/>
        <v>14227.925486116394</v>
      </c>
      <c r="M45" s="80">
        <f t="shared" ca="1" si="33"/>
        <v>18178.888674765869</v>
      </c>
      <c r="N45" s="80">
        <f t="shared" ca="1" si="33"/>
        <v>21937.941700404466</v>
      </c>
      <c r="O45" s="80">
        <f t="shared" ca="1" si="33"/>
        <v>25406.097363621549</v>
      </c>
      <c r="P45" s="80">
        <f t="shared" ca="1" si="33"/>
        <v>28656.145205809979</v>
      </c>
      <c r="Q45" s="80">
        <f t="shared" ca="1" si="33"/>
        <v>31747.378994869585</v>
      </c>
      <c r="R45" s="80">
        <f t="shared" ca="1" si="33"/>
        <v>34720.937870517788</v>
      </c>
      <c r="S45" s="80">
        <f t="shared" ca="1" si="33"/>
        <v>37121.974399802202</v>
      </c>
      <c r="T45" s="80">
        <f t="shared" ca="1" si="33"/>
        <v>39442.579666891797</v>
      </c>
      <c r="U45" s="80">
        <f t="shared" ca="1" si="33"/>
        <v>41706.359797100689</v>
      </c>
      <c r="V45" s="80">
        <f t="shared" ca="1" si="33"/>
        <v>43914.737103610903</v>
      </c>
      <c r="W45" s="80">
        <f t="shared" ca="1" si="33"/>
        <v>46097.8293966454</v>
      </c>
      <c r="X45" s="80">
        <f t="shared" ca="1" si="33"/>
        <v>48251.566391108208</v>
      </c>
      <c r="Y45" s="80">
        <f t="shared" ca="1" si="33"/>
        <v>50384.875851638557</v>
      </c>
      <c r="Z45" s="80">
        <f t="shared" ca="1" si="33"/>
        <v>52477.842531496302</v>
      </c>
      <c r="AA45" s="80">
        <f t="shared" ca="1" si="33"/>
        <v>54564.538854122307</v>
      </c>
      <c r="AB45" s="80">
        <f t="shared" ca="1" si="33"/>
        <v>56660.820771045765</v>
      </c>
      <c r="AC45" s="80">
        <f t="shared" ca="1" si="33"/>
        <v>58794.10902145307</v>
      </c>
    </row>
    <row r="46" spans="1:33" customFormat="1">
      <c r="A46" t="s">
        <v>634</v>
      </c>
      <c r="H46" s="208"/>
      <c r="I46" s="370">
        <f t="shared" ref="I46:AC46" ca="1" si="34">I227</f>
        <v>0</v>
      </c>
      <c r="J46" s="80">
        <f t="shared" ca="1" si="34"/>
        <v>0</v>
      </c>
      <c r="K46" s="80">
        <f t="shared" ca="1" si="34"/>
        <v>0</v>
      </c>
      <c r="L46" s="80">
        <f t="shared" ca="1" si="34"/>
        <v>0</v>
      </c>
      <c r="M46" s="80">
        <f t="shared" ca="1" si="34"/>
        <v>0</v>
      </c>
      <c r="N46" s="80">
        <f t="shared" ca="1" si="34"/>
        <v>0</v>
      </c>
      <c r="O46" s="80">
        <f t="shared" ca="1" si="34"/>
        <v>0</v>
      </c>
      <c r="P46" s="80">
        <f t="shared" ca="1" si="34"/>
        <v>0</v>
      </c>
      <c r="Q46" s="80">
        <f t="shared" ca="1" si="34"/>
        <v>0</v>
      </c>
      <c r="R46" s="80">
        <f t="shared" ca="1" si="34"/>
        <v>0</v>
      </c>
      <c r="S46" s="80">
        <f t="shared" ca="1" si="34"/>
        <v>0</v>
      </c>
      <c r="T46" s="80">
        <f t="shared" ca="1" si="34"/>
        <v>0</v>
      </c>
      <c r="U46" s="80">
        <f t="shared" ca="1" si="34"/>
        <v>0</v>
      </c>
      <c r="V46" s="80">
        <f t="shared" ca="1" si="34"/>
        <v>0</v>
      </c>
      <c r="W46" s="80">
        <f t="shared" ca="1" si="34"/>
        <v>0</v>
      </c>
      <c r="X46" s="80">
        <f t="shared" ca="1" si="34"/>
        <v>0</v>
      </c>
      <c r="Y46" s="80">
        <f t="shared" ca="1" si="34"/>
        <v>0</v>
      </c>
      <c r="Z46" s="80">
        <f t="shared" ca="1" si="34"/>
        <v>0</v>
      </c>
      <c r="AA46" s="80">
        <f t="shared" ca="1" si="34"/>
        <v>0</v>
      </c>
      <c r="AB46" s="80">
        <f t="shared" ca="1" si="34"/>
        <v>0</v>
      </c>
      <c r="AC46" s="80">
        <f t="shared" ca="1" si="34"/>
        <v>0</v>
      </c>
    </row>
    <row r="47" spans="1:33">
      <c r="A47" s="74" t="s">
        <v>635</v>
      </c>
      <c r="F47" s="5">
        <f>E195+E196+E199+E202</f>
        <v>0</v>
      </c>
      <c r="G47" s="5">
        <f>F195+F196+F199+F202</f>
        <v>0</v>
      </c>
      <c r="H47" s="69">
        <f>G195+G196+G199+G202</f>
        <v>0</v>
      </c>
      <c r="I47" s="75">
        <f t="shared" ref="I47:R47" ca="1" si="35">I195+I196+I199+I202</f>
        <v>504.85591119790752</v>
      </c>
      <c r="J47" s="5">
        <f t="shared" ca="1" si="35"/>
        <v>0</v>
      </c>
      <c r="K47" s="5">
        <f t="shared" ca="1" si="35"/>
        <v>0</v>
      </c>
      <c r="L47" s="5">
        <f t="shared" ca="1" si="35"/>
        <v>0</v>
      </c>
      <c r="M47" s="5">
        <f t="shared" ca="1" si="35"/>
        <v>0</v>
      </c>
      <c r="N47" s="5">
        <f t="shared" ca="1" si="35"/>
        <v>0</v>
      </c>
      <c r="O47" s="5">
        <f t="shared" ca="1" si="35"/>
        <v>0</v>
      </c>
      <c r="P47" s="5">
        <f t="shared" ca="1" si="35"/>
        <v>0</v>
      </c>
      <c r="Q47" s="5">
        <f t="shared" ca="1" si="35"/>
        <v>0</v>
      </c>
      <c r="R47" s="5">
        <f t="shared" ca="1" si="35"/>
        <v>0</v>
      </c>
      <c r="S47" s="5">
        <f t="shared" ref="S47:AC47" ca="1" si="36">S195+S196+S199+S202</f>
        <v>0</v>
      </c>
      <c r="T47" s="5">
        <f t="shared" ca="1" si="36"/>
        <v>0</v>
      </c>
      <c r="U47" s="5">
        <f t="shared" ca="1" si="36"/>
        <v>0</v>
      </c>
      <c r="V47" s="5">
        <f t="shared" ca="1" si="36"/>
        <v>0</v>
      </c>
      <c r="W47" s="5">
        <f t="shared" ca="1" si="36"/>
        <v>0</v>
      </c>
      <c r="X47" s="5">
        <f t="shared" ca="1" si="36"/>
        <v>0</v>
      </c>
      <c r="Y47" s="5">
        <f t="shared" ca="1" si="36"/>
        <v>0</v>
      </c>
      <c r="Z47" s="5">
        <f t="shared" ca="1" si="36"/>
        <v>0</v>
      </c>
      <c r="AA47" s="5">
        <f t="shared" ca="1" si="36"/>
        <v>0</v>
      </c>
      <c r="AB47" s="5">
        <f t="shared" ca="1" si="36"/>
        <v>0</v>
      </c>
      <c r="AC47" s="5">
        <f t="shared" ca="1" si="36"/>
        <v>0</v>
      </c>
      <c r="AD47"/>
      <c r="AE47"/>
      <c r="AF47"/>
      <c r="AG47"/>
    </row>
    <row r="48" spans="1:33">
      <c r="A48" s="74" t="s">
        <v>636</v>
      </c>
      <c r="F48" s="5">
        <f>E200</f>
        <v>0</v>
      </c>
      <c r="G48" s="5">
        <f>F200</f>
        <v>0</v>
      </c>
      <c r="H48" s="69">
        <f>G200</f>
        <v>0</v>
      </c>
      <c r="I48" s="75">
        <f t="shared" ref="I48:AC48" ca="1" si="37">I200</f>
        <v>0</v>
      </c>
      <c r="J48" s="5">
        <f t="shared" ca="1" si="37"/>
        <v>0</v>
      </c>
      <c r="K48" s="5">
        <f t="shared" ca="1" si="37"/>
        <v>0</v>
      </c>
      <c r="L48" s="5">
        <f t="shared" ca="1" si="37"/>
        <v>0</v>
      </c>
      <c r="M48" s="5">
        <f t="shared" ca="1" si="37"/>
        <v>0</v>
      </c>
      <c r="N48" s="5">
        <f t="shared" ca="1" si="37"/>
        <v>0</v>
      </c>
      <c r="O48" s="5">
        <f t="shared" ca="1" si="37"/>
        <v>0</v>
      </c>
      <c r="P48" s="5">
        <f t="shared" ca="1" si="37"/>
        <v>0</v>
      </c>
      <c r="Q48" s="5">
        <f t="shared" ca="1" si="37"/>
        <v>0</v>
      </c>
      <c r="R48" s="5">
        <f t="shared" ca="1" si="37"/>
        <v>0</v>
      </c>
      <c r="S48" s="5">
        <f t="shared" ca="1" si="37"/>
        <v>0</v>
      </c>
      <c r="T48" s="5">
        <f t="shared" ca="1" si="37"/>
        <v>0</v>
      </c>
      <c r="U48" s="5">
        <f t="shared" ca="1" si="37"/>
        <v>0</v>
      </c>
      <c r="V48" s="5">
        <f t="shared" ca="1" si="37"/>
        <v>0</v>
      </c>
      <c r="W48" s="5">
        <f t="shared" ca="1" si="37"/>
        <v>0</v>
      </c>
      <c r="X48" s="5">
        <f t="shared" ca="1" si="37"/>
        <v>0</v>
      </c>
      <c r="Y48" s="5">
        <f t="shared" ca="1" si="37"/>
        <v>0</v>
      </c>
      <c r="Z48" s="5">
        <f t="shared" ca="1" si="37"/>
        <v>0</v>
      </c>
      <c r="AA48" s="5">
        <f t="shared" ca="1" si="37"/>
        <v>0</v>
      </c>
      <c r="AB48" s="5">
        <f t="shared" ca="1" si="37"/>
        <v>0</v>
      </c>
      <c r="AC48" s="5">
        <f t="shared" ca="1" si="37"/>
        <v>0</v>
      </c>
      <c r="AD48"/>
      <c r="AE48"/>
      <c r="AF48"/>
      <c r="AG48"/>
    </row>
    <row r="49" spans="1:33">
      <c r="A49" s="74" t="s">
        <v>637</v>
      </c>
      <c r="F49" s="5">
        <f>E208</f>
        <v>0</v>
      </c>
      <c r="G49" s="5">
        <f>F208</f>
        <v>0</v>
      </c>
      <c r="H49" s="69">
        <f>G208</f>
        <v>0</v>
      </c>
      <c r="I49" s="75">
        <f t="shared" ref="I49:AC49" ca="1" si="38">I208</f>
        <v>0</v>
      </c>
      <c r="J49" s="5">
        <f t="shared" ca="1" si="38"/>
        <v>0</v>
      </c>
      <c r="K49" s="5">
        <f t="shared" ca="1" si="38"/>
        <v>0</v>
      </c>
      <c r="L49" s="5">
        <f t="shared" ca="1" si="38"/>
        <v>0</v>
      </c>
      <c r="M49" s="5">
        <f t="shared" ca="1" si="38"/>
        <v>0</v>
      </c>
      <c r="N49" s="5">
        <f t="shared" ca="1" si="38"/>
        <v>0</v>
      </c>
      <c r="O49" s="5">
        <f t="shared" ca="1" si="38"/>
        <v>0</v>
      </c>
      <c r="P49" s="5">
        <f t="shared" ca="1" si="38"/>
        <v>0</v>
      </c>
      <c r="Q49" s="5">
        <f t="shared" ca="1" si="38"/>
        <v>0</v>
      </c>
      <c r="R49" s="5">
        <f t="shared" ca="1" si="38"/>
        <v>0</v>
      </c>
      <c r="S49" s="5">
        <f t="shared" ca="1" si="38"/>
        <v>0</v>
      </c>
      <c r="T49" s="5">
        <f t="shared" ca="1" si="38"/>
        <v>0</v>
      </c>
      <c r="U49" s="5">
        <f t="shared" ca="1" si="38"/>
        <v>0</v>
      </c>
      <c r="V49" s="5">
        <f t="shared" ca="1" si="38"/>
        <v>0</v>
      </c>
      <c r="W49" s="5">
        <f t="shared" ca="1" si="38"/>
        <v>0</v>
      </c>
      <c r="X49" s="5">
        <f t="shared" ca="1" si="38"/>
        <v>0</v>
      </c>
      <c r="Y49" s="5">
        <f t="shared" ca="1" si="38"/>
        <v>0</v>
      </c>
      <c r="Z49" s="5">
        <f t="shared" ca="1" si="38"/>
        <v>0</v>
      </c>
      <c r="AA49" s="5">
        <f t="shared" ca="1" si="38"/>
        <v>0</v>
      </c>
      <c r="AB49" s="5">
        <f t="shared" ca="1" si="38"/>
        <v>0</v>
      </c>
      <c r="AC49" s="5">
        <f t="shared" ca="1" si="38"/>
        <v>0</v>
      </c>
      <c r="AD49"/>
      <c r="AE49"/>
      <c r="AF49"/>
      <c r="AG49"/>
    </row>
    <row r="50" spans="1:33">
      <c r="A50" s="74" t="s">
        <v>607</v>
      </c>
      <c r="F50" s="5">
        <f>SUM(E209:E215)</f>
        <v>0</v>
      </c>
      <c r="G50" s="5">
        <f>SUM(F209:F215)</f>
        <v>0</v>
      </c>
      <c r="H50" s="69">
        <f>SUM(G209:G215)</f>
        <v>0</v>
      </c>
      <c r="I50" s="75">
        <f t="shared" ref="I50:R50" ca="1" si="39">SUM(I209:I215)</f>
        <v>-501.12434572607458</v>
      </c>
      <c r="J50" s="5">
        <f t="shared" ca="1" si="39"/>
        <v>5741.8120488183758</v>
      </c>
      <c r="K50" s="5">
        <f t="shared" ca="1" si="39"/>
        <v>11015.585423883958</v>
      </c>
      <c r="L50" s="5">
        <f t="shared" ca="1" si="39"/>
        <v>15391.575794357937</v>
      </c>
      <c r="M50" s="5">
        <f t="shared" ca="1" si="39"/>
        <v>18671.469381785493</v>
      </c>
      <c r="N50" s="5">
        <f t="shared" ca="1" si="39"/>
        <v>21808.423096192477</v>
      </c>
      <c r="O50" s="5">
        <f t="shared" ca="1" si="39"/>
        <v>24738.941428766579</v>
      </c>
      <c r="P50" s="5">
        <f t="shared" ca="1" si="39"/>
        <v>27470.589628866888</v>
      </c>
      <c r="Q50" s="5">
        <f t="shared" ca="1" si="39"/>
        <v>30063.138359186254</v>
      </c>
      <c r="R50" s="5">
        <f t="shared" ca="1" si="39"/>
        <v>32540.197169465533</v>
      </c>
      <c r="S50" s="5">
        <f t="shared" ref="S50:AC50" ca="1" si="40">SUM(S209:S215)</f>
        <v>34936.09907714829</v>
      </c>
      <c r="T50" s="5">
        <f t="shared" ca="1" si="40"/>
        <v>37252.390650837428</v>
      </c>
      <c r="U50" s="5">
        <f t="shared" ca="1" si="40"/>
        <v>39512.55473396038</v>
      </c>
      <c r="V50" s="5">
        <f t="shared" ca="1" si="40"/>
        <v>41717.963012814202</v>
      </c>
      <c r="W50" s="5">
        <f t="shared" ca="1" si="40"/>
        <v>43898.620461492152</v>
      </c>
      <c r="X50" s="5">
        <f t="shared" ca="1" si="40"/>
        <v>46050.382252827592</v>
      </c>
      <c r="Y50" s="5">
        <f t="shared" ca="1" si="40"/>
        <v>48182.135074048972</v>
      </c>
      <c r="Z50" s="5">
        <f t="shared" ca="1" si="40"/>
        <v>50273.958240255684</v>
      </c>
      <c r="AA50" s="5">
        <f t="shared" ca="1" si="40"/>
        <v>52359.780135601533</v>
      </c>
      <c r="AB50" s="5">
        <f t="shared" ca="1" si="40"/>
        <v>54455.389380526518</v>
      </c>
      <c r="AC50" s="5">
        <f t="shared" ca="1" si="40"/>
        <v>56588.12164537338</v>
      </c>
      <c r="AD50"/>
      <c r="AE50"/>
      <c r="AF50"/>
      <c r="AG50"/>
    </row>
    <row r="51" spans="1:33" ht="3.75" customHeight="1">
      <c r="H51" s="69"/>
      <c r="I51" s="75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/>
      <c r="AE51"/>
      <c r="AF51"/>
      <c r="AG51"/>
    </row>
    <row r="52" spans="1:33">
      <c r="A52" s="70" t="s">
        <v>638</v>
      </c>
      <c r="H52" s="69"/>
      <c r="I52" s="75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/>
      <c r="AE52"/>
      <c r="AF52"/>
      <c r="AG52"/>
    </row>
    <row r="53" spans="1:33">
      <c r="A53" s="74" t="s">
        <v>639</v>
      </c>
      <c r="F53" s="81" t="str">
        <f>IF(ISERR(F27/(F40+F32+F42+E109)),"NA",F27/(F40+F32+F42+E109))</f>
        <v>NA</v>
      </c>
      <c r="G53" s="81" t="str">
        <f>IF(ISERR(G27/(G40+G32+G42+F109)),"NA",G27/(G40+G32+G42+F109))</f>
        <v>NA</v>
      </c>
      <c r="H53" s="82" t="str">
        <f>IF(ISERR(H27/(H40+H32+H42+G109)),"NA",H27/(H40+H32+H42+G109))</f>
        <v>NA</v>
      </c>
      <c r="I53" s="372">
        <f ca="1">IF(ISERR(I29/(I40+I32+I42+(H109+I109-I533))),"NA",I29/(I40+I32+I42+(H109+I109-I533)))</f>
        <v>617.23743371235503</v>
      </c>
      <c r="J53" s="82">
        <f t="shared" ref="J53:S53" ca="1" si="41">IF(ISERR(J29/(J40+J32+J42+(J109-J533))),"NA",J29/(J40+J32+J42+(J109-J533)))</f>
        <v>632.98108235476286</v>
      </c>
      <c r="K53" s="82" t="str">
        <f t="shared" ca="1" si="41"/>
        <v>NA</v>
      </c>
      <c r="L53" s="82">
        <f t="shared" ca="1" si="41"/>
        <v>6.2527435967671465</v>
      </c>
      <c r="M53" s="82">
        <f t="shared" ca="1" si="41"/>
        <v>2.4616841985144866</v>
      </c>
      <c r="N53" s="82">
        <f t="shared" ca="1" si="41"/>
        <v>2.3205596693168982</v>
      </c>
      <c r="O53" s="82">
        <f t="shared" ca="1" si="41"/>
        <v>2.1237494450722068</v>
      </c>
      <c r="P53" s="82">
        <f t="shared" ca="1" si="41"/>
        <v>1.976350819263992</v>
      </c>
      <c r="Q53" s="82">
        <f t="shared" ca="1" si="41"/>
        <v>1.7940507980802938</v>
      </c>
      <c r="R53" s="82">
        <f t="shared" ca="1" si="41"/>
        <v>1.6437086002348371</v>
      </c>
      <c r="S53" s="82">
        <f t="shared" ca="1" si="41"/>
        <v>1.4901458360887325</v>
      </c>
      <c r="T53" s="82">
        <f t="shared" ref="T53:AC53" ca="1" si="42">IF(ISERR(T29/(T40+T32+T42+(T109-T533))),"NA",T29/(T40+T32+T42+(T109-T533)))</f>
        <v>1.3406615903096442</v>
      </c>
      <c r="U53" s="82">
        <f t="shared" ca="1" si="42"/>
        <v>1.2018819913282257</v>
      </c>
      <c r="V53" s="82">
        <f t="shared" ca="1" si="42"/>
        <v>1.0597207327101756</v>
      </c>
      <c r="W53" s="82">
        <f t="shared" ca="1" si="42"/>
        <v>0.94016047251853674</v>
      </c>
      <c r="X53" s="82">
        <f t="shared" ca="1" si="42"/>
        <v>0.8150645196643741</v>
      </c>
      <c r="Y53" s="82">
        <f t="shared" ca="1" si="42"/>
        <v>0.69713262020256972</v>
      </c>
      <c r="Z53" s="82">
        <f t="shared" ca="1" si="42"/>
        <v>0.55586611813281417</v>
      </c>
      <c r="AA53" s="82">
        <f t="shared" ca="1" si="42"/>
        <v>0.45150733993849707</v>
      </c>
      <c r="AB53" s="82">
        <f t="shared" ca="1" si="42"/>
        <v>0.36608022402410789</v>
      </c>
      <c r="AC53" s="82">
        <f t="shared" ca="1" si="42"/>
        <v>0.31455490424748911</v>
      </c>
      <c r="AD53"/>
      <c r="AE53"/>
      <c r="AF53"/>
      <c r="AG53"/>
    </row>
    <row r="54" spans="1:33">
      <c r="A54" s="74" t="s">
        <v>640</v>
      </c>
      <c r="F54" s="81" t="str">
        <f>IF(F40&lt;1,"NA",F30/F40)</f>
        <v>NA</v>
      </c>
      <c r="G54" s="81" t="str">
        <f>IF(G40&lt;1,"NA",G30/G40)</f>
        <v>NA</v>
      </c>
      <c r="H54" s="82" t="str">
        <f>IF(H40&lt;1,"NA",H30/H40)</f>
        <v>NA</v>
      </c>
      <c r="I54" s="372">
        <f t="shared" ref="I54:R54" ca="1" si="43">IF(I40&lt;1,"NA",I31/I40)</f>
        <v>617.23743371235503</v>
      </c>
      <c r="J54" s="81">
        <f t="shared" ca="1" si="43"/>
        <v>632.98108235476286</v>
      </c>
      <c r="K54" s="81" t="str">
        <f t="shared" ca="1" si="43"/>
        <v>NA</v>
      </c>
      <c r="L54" s="81" t="str">
        <f t="shared" ca="1" si="43"/>
        <v>NA</v>
      </c>
      <c r="M54" s="81" t="str">
        <f t="shared" ca="1" si="43"/>
        <v>NA</v>
      </c>
      <c r="N54" s="81" t="str">
        <f t="shared" ca="1" si="43"/>
        <v>NA</v>
      </c>
      <c r="O54" s="81" t="str">
        <f t="shared" ca="1" si="43"/>
        <v>NA</v>
      </c>
      <c r="P54" s="81" t="str">
        <f t="shared" ca="1" si="43"/>
        <v>NA</v>
      </c>
      <c r="Q54" s="81" t="str">
        <f t="shared" ca="1" si="43"/>
        <v>NA</v>
      </c>
      <c r="R54" s="81" t="str">
        <f t="shared" ca="1" si="43"/>
        <v>NA</v>
      </c>
      <c r="S54" s="81" t="str">
        <f t="shared" ref="S54:AC54" ca="1" si="44">IF(S40&lt;1,"NA",S31/S40)</f>
        <v>NA</v>
      </c>
      <c r="T54" s="81" t="str">
        <f t="shared" ca="1" si="44"/>
        <v>NA</v>
      </c>
      <c r="U54" s="81" t="str">
        <f t="shared" ca="1" si="44"/>
        <v>NA</v>
      </c>
      <c r="V54" s="81" t="str">
        <f t="shared" ca="1" si="44"/>
        <v>NA</v>
      </c>
      <c r="W54" s="81" t="str">
        <f t="shared" ca="1" si="44"/>
        <v>NA</v>
      </c>
      <c r="X54" s="81" t="str">
        <f t="shared" ca="1" si="44"/>
        <v>NA</v>
      </c>
      <c r="Y54" s="81" t="str">
        <f t="shared" ca="1" si="44"/>
        <v>NA</v>
      </c>
      <c r="Z54" s="81" t="str">
        <f t="shared" ca="1" si="44"/>
        <v>NA</v>
      </c>
      <c r="AA54" s="81" t="str">
        <f t="shared" ca="1" si="44"/>
        <v>NA</v>
      </c>
      <c r="AB54" s="81" t="str">
        <f t="shared" ca="1" si="44"/>
        <v>NA</v>
      </c>
      <c r="AC54" s="81" t="str">
        <f t="shared" ca="1" si="44"/>
        <v>NA</v>
      </c>
      <c r="AD54"/>
      <c r="AE54"/>
      <c r="AF54"/>
      <c r="AG54"/>
    </row>
    <row r="55" spans="1:33">
      <c r="A55" s="74" t="s">
        <v>641</v>
      </c>
      <c r="F55" s="81" t="str">
        <f t="shared" ref="F55:O55" si="45">IF(F40&lt;1,"NA",(F27-F32)/F40)</f>
        <v>NA</v>
      </c>
      <c r="G55" s="81" t="str">
        <f t="shared" si="45"/>
        <v>NA</v>
      </c>
      <c r="H55" s="82" t="str">
        <f t="shared" si="45"/>
        <v>NA</v>
      </c>
      <c r="I55" s="372">
        <f t="shared" ca="1" si="45"/>
        <v>-21.057970055787084</v>
      </c>
      <c r="J55" s="81">
        <f t="shared" ca="1" si="45"/>
        <v>269.48075734401601</v>
      </c>
      <c r="K55" s="81" t="str">
        <f t="shared" ca="1" si="45"/>
        <v>NA</v>
      </c>
      <c r="L55" s="81" t="str">
        <f t="shared" ca="1" si="45"/>
        <v>NA</v>
      </c>
      <c r="M55" s="81" t="str">
        <f t="shared" ca="1" si="45"/>
        <v>NA</v>
      </c>
      <c r="N55" s="81" t="str">
        <f t="shared" ca="1" si="45"/>
        <v>NA</v>
      </c>
      <c r="O55" s="81" t="str">
        <f t="shared" ca="1" si="45"/>
        <v>NA</v>
      </c>
      <c r="P55" s="81" t="str">
        <f t="shared" ref="P55:AC55" ca="1" si="46">IF(P40&lt;1,"NA",(P27-P32)/P40)</f>
        <v>NA</v>
      </c>
      <c r="Q55" s="81" t="str">
        <f t="shared" ca="1" si="46"/>
        <v>NA</v>
      </c>
      <c r="R55" s="81" t="str">
        <f t="shared" ca="1" si="46"/>
        <v>NA</v>
      </c>
      <c r="S55" s="81" t="str">
        <f t="shared" ca="1" si="46"/>
        <v>NA</v>
      </c>
      <c r="T55" s="81" t="str">
        <f t="shared" ca="1" si="46"/>
        <v>NA</v>
      </c>
      <c r="U55" s="81" t="str">
        <f t="shared" ca="1" si="46"/>
        <v>NA</v>
      </c>
      <c r="V55" s="81" t="str">
        <f t="shared" ca="1" si="46"/>
        <v>NA</v>
      </c>
      <c r="W55" s="81" t="str">
        <f t="shared" ca="1" si="46"/>
        <v>NA</v>
      </c>
      <c r="X55" s="81" t="str">
        <f t="shared" ca="1" si="46"/>
        <v>NA</v>
      </c>
      <c r="Y55" s="81" t="str">
        <f t="shared" ca="1" si="46"/>
        <v>NA</v>
      </c>
      <c r="Z55" s="81" t="str">
        <f t="shared" ca="1" si="46"/>
        <v>NA</v>
      </c>
      <c r="AA55" s="81" t="str">
        <f t="shared" ca="1" si="46"/>
        <v>NA</v>
      </c>
      <c r="AB55" s="81" t="str">
        <f t="shared" ca="1" si="46"/>
        <v>NA</v>
      </c>
      <c r="AC55" s="81" t="str">
        <f t="shared" ca="1" si="46"/>
        <v>NA</v>
      </c>
      <c r="AD55"/>
      <c r="AE55"/>
      <c r="AF55"/>
      <c r="AG55"/>
    </row>
    <row r="56" spans="1:33">
      <c r="A56" s="74" t="s">
        <v>642</v>
      </c>
      <c r="F56" s="76" t="str">
        <f t="shared" ref="F56:O56" si="47">IF(F48+F49+F50=0,"NA",F47/(F48+F49+F50))</f>
        <v>NA</v>
      </c>
      <c r="G56" s="76" t="str">
        <f t="shared" si="47"/>
        <v>NA</v>
      </c>
      <c r="H56" s="264" t="str">
        <f t="shared" si="47"/>
        <v>NA</v>
      </c>
      <c r="I56" s="373">
        <f t="shared" ca="1" si="47"/>
        <v>-1.0074463863184022</v>
      </c>
      <c r="J56" s="105">
        <f t="shared" ca="1" si="47"/>
        <v>0</v>
      </c>
      <c r="K56" s="105">
        <f t="shared" ca="1" si="47"/>
        <v>0</v>
      </c>
      <c r="L56" s="105">
        <f t="shared" ca="1" si="47"/>
        <v>0</v>
      </c>
      <c r="M56" s="105">
        <f t="shared" ca="1" si="47"/>
        <v>0</v>
      </c>
      <c r="N56" s="105">
        <f t="shared" ca="1" si="47"/>
        <v>0</v>
      </c>
      <c r="O56" s="105">
        <f t="shared" ca="1" si="47"/>
        <v>0</v>
      </c>
      <c r="P56" s="105">
        <f t="shared" ref="P56:AC56" ca="1" si="48">IF(P48+P49+P50=0,"NA",P47/(P48+P49+P50))</f>
        <v>0</v>
      </c>
      <c r="Q56" s="105">
        <f t="shared" ca="1" si="48"/>
        <v>0</v>
      </c>
      <c r="R56" s="105">
        <f t="shared" ca="1" si="48"/>
        <v>0</v>
      </c>
      <c r="S56" s="105">
        <f t="shared" ca="1" si="48"/>
        <v>0</v>
      </c>
      <c r="T56" s="105">
        <f t="shared" ca="1" si="48"/>
        <v>0</v>
      </c>
      <c r="U56" s="105">
        <f t="shared" ca="1" si="48"/>
        <v>0</v>
      </c>
      <c r="V56" s="105">
        <f t="shared" ca="1" si="48"/>
        <v>0</v>
      </c>
      <c r="W56" s="105">
        <f t="shared" ca="1" si="48"/>
        <v>0</v>
      </c>
      <c r="X56" s="105">
        <f t="shared" ca="1" si="48"/>
        <v>0</v>
      </c>
      <c r="Y56" s="105">
        <f t="shared" ca="1" si="48"/>
        <v>0</v>
      </c>
      <c r="Z56" s="105">
        <f t="shared" ca="1" si="48"/>
        <v>0</v>
      </c>
      <c r="AA56" s="105">
        <f t="shared" ca="1" si="48"/>
        <v>0</v>
      </c>
      <c r="AB56" s="105">
        <f t="shared" ca="1" si="48"/>
        <v>0</v>
      </c>
      <c r="AC56" s="105">
        <f t="shared" ca="1" si="48"/>
        <v>0</v>
      </c>
      <c r="AD56"/>
      <c r="AE56"/>
      <c r="AF56"/>
      <c r="AG56"/>
    </row>
    <row r="57" spans="1:33">
      <c r="A57" s="74" t="s">
        <v>643</v>
      </c>
      <c r="E57" s="71"/>
      <c r="F57" s="76" t="str">
        <f t="shared" ref="F57:O57" si="49">IF(F50+F49=0,"NA",(F48+F47)/(F49+F50))</f>
        <v>NA</v>
      </c>
      <c r="G57" s="76" t="str">
        <f t="shared" si="49"/>
        <v>NA</v>
      </c>
      <c r="H57" s="264" t="str">
        <f t="shared" si="49"/>
        <v>NA</v>
      </c>
      <c r="I57" s="373">
        <f t="shared" ca="1" si="49"/>
        <v>-1.0074463863184022</v>
      </c>
      <c r="J57" s="105">
        <f t="shared" ca="1" si="49"/>
        <v>0</v>
      </c>
      <c r="K57" s="105">
        <f t="shared" ca="1" si="49"/>
        <v>0</v>
      </c>
      <c r="L57" s="105">
        <f t="shared" ca="1" si="49"/>
        <v>0</v>
      </c>
      <c r="M57" s="105">
        <f t="shared" ca="1" si="49"/>
        <v>0</v>
      </c>
      <c r="N57" s="105">
        <f t="shared" ca="1" si="49"/>
        <v>0</v>
      </c>
      <c r="O57" s="105">
        <f t="shared" ca="1" si="49"/>
        <v>0</v>
      </c>
      <c r="P57" s="105">
        <f t="shared" ref="P57:AC57" ca="1" si="50">IF(P50+P49=0,"NA",(P48+P47)/(P49+P50))</f>
        <v>0</v>
      </c>
      <c r="Q57" s="105">
        <f t="shared" ca="1" si="50"/>
        <v>0</v>
      </c>
      <c r="R57" s="105">
        <f t="shared" ca="1" si="50"/>
        <v>0</v>
      </c>
      <c r="S57" s="105">
        <f t="shared" ca="1" si="50"/>
        <v>0</v>
      </c>
      <c r="T57" s="105">
        <f t="shared" ca="1" si="50"/>
        <v>0</v>
      </c>
      <c r="U57" s="105">
        <f t="shared" ca="1" si="50"/>
        <v>0</v>
      </c>
      <c r="V57" s="105">
        <f t="shared" ca="1" si="50"/>
        <v>0</v>
      </c>
      <c r="W57" s="105">
        <f t="shared" ca="1" si="50"/>
        <v>0</v>
      </c>
      <c r="X57" s="105">
        <f t="shared" ca="1" si="50"/>
        <v>0</v>
      </c>
      <c r="Y57" s="105">
        <f t="shared" ca="1" si="50"/>
        <v>0</v>
      </c>
      <c r="Z57" s="105">
        <f t="shared" ca="1" si="50"/>
        <v>0</v>
      </c>
      <c r="AA57" s="105">
        <f t="shared" ca="1" si="50"/>
        <v>0</v>
      </c>
      <c r="AB57" s="105">
        <f t="shared" ca="1" si="50"/>
        <v>0</v>
      </c>
      <c r="AC57" s="105">
        <f t="shared" ca="1" si="50"/>
        <v>0</v>
      </c>
      <c r="AD57"/>
      <c r="AE57"/>
      <c r="AF57"/>
      <c r="AG57"/>
    </row>
    <row r="58" spans="1:33">
      <c r="A58" s="74" t="s">
        <v>644</v>
      </c>
      <c r="B58"/>
      <c r="C58"/>
      <c r="D58"/>
      <c r="E58"/>
      <c r="F58" s="84" t="str">
        <f t="shared" ref="F58:O58" si="51">IF(ISERR((F47)/(F47+F48+F49+F50)),"NA",(F47)/(F47+F48+F49+F50))</f>
        <v>NA</v>
      </c>
      <c r="G58" s="84" t="str">
        <f t="shared" si="51"/>
        <v>NA</v>
      </c>
      <c r="H58" s="266" t="str">
        <f t="shared" si="51"/>
        <v>NA</v>
      </c>
      <c r="I58" s="374">
        <f t="shared" ca="1" si="51"/>
        <v>135.29332796348427</v>
      </c>
      <c r="J58" s="279">
        <f t="shared" ca="1" si="51"/>
        <v>0</v>
      </c>
      <c r="K58" s="279">
        <f t="shared" ca="1" si="51"/>
        <v>0</v>
      </c>
      <c r="L58" s="279">
        <f t="shared" ca="1" si="51"/>
        <v>0</v>
      </c>
      <c r="M58" s="279">
        <f t="shared" ca="1" si="51"/>
        <v>0</v>
      </c>
      <c r="N58" s="279">
        <f t="shared" ca="1" si="51"/>
        <v>0</v>
      </c>
      <c r="O58" s="279">
        <f t="shared" ca="1" si="51"/>
        <v>0</v>
      </c>
      <c r="P58" s="279">
        <f t="shared" ref="P58:AC58" ca="1" si="52">IF(ISERR((P47)/(P47+P48+P49+P50)),"NA",(P47)/(P47+P48+P49+P50))</f>
        <v>0</v>
      </c>
      <c r="Q58" s="279">
        <f t="shared" ca="1" si="52"/>
        <v>0</v>
      </c>
      <c r="R58" s="279">
        <f t="shared" ca="1" si="52"/>
        <v>0</v>
      </c>
      <c r="S58" s="279">
        <f t="shared" ca="1" si="52"/>
        <v>0</v>
      </c>
      <c r="T58" s="279">
        <f t="shared" ca="1" si="52"/>
        <v>0</v>
      </c>
      <c r="U58" s="279">
        <f t="shared" ca="1" si="52"/>
        <v>0</v>
      </c>
      <c r="V58" s="279">
        <f t="shared" ca="1" si="52"/>
        <v>0</v>
      </c>
      <c r="W58" s="279">
        <f t="shared" ca="1" si="52"/>
        <v>0</v>
      </c>
      <c r="X58" s="279">
        <f t="shared" ca="1" si="52"/>
        <v>0</v>
      </c>
      <c r="Y58" s="279">
        <f t="shared" ca="1" si="52"/>
        <v>0</v>
      </c>
      <c r="Z58" s="279">
        <f t="shared" ca="1" si="52"/>
        <v>0</v>
      </c>
      <c r="AA58" s="279">
        <f t="shared" ca="1" si="52"/>
        <v>0</v>
      </c>
      <c r="AB58" s="279">
        <f t="shared" ca="1" si="52"/>
        <v>0</v>
      </c>
      <c r="AC58" s="279">
        <f t="shared" ca="1" si="52"/>
        <v>0</v>
      </c>
      <c r="AD58"/>
      <c r="AE58"/>
      <c r="AF58"/>
      <c r="AG58"/>
    </row>
    <row r="59" spans="1:33">
      <c r="A59" s="74" t="s">
        <v>645</v>
      </c>
      <c r="E59" s="71"/>
      <c r="F59" s="84" t="str">
        <f t="shared" ref="F59:O59" si="53">IF(ISERR((F47+F48)/(F47+F48+F49+F50)),"NA",(F47+F48)/(F47+F48+F49+F50))</f>
        <v>NA</v>
      </c>
      <c r="G59" s="84" t="str">
        <f t="shared" si="53"/>
        <v>NA</v>
      </c>
      <c r="H59" s="266" t="str">
        <f t="shared" si="53"/>
        <v>NA</v>
      </c>
      <c r="I59" s="374">
        <f t="shared" ca="1" si="53"/>
        <v>135.29332796348427</v>
      </c>
      <c r="J59" s="279">
        <f t="shared" ca="1" si="53"/>
        <v>0</v>
      </c>
      <c r="K59" s="279">
        <f t="shared" ca="1" si="53"/>
        <v>0</v>
      </c>
      <c r="L59" s="279">
        <f t="shared" ca="1" si="53"/>
        <v>0</v>
      </c>
      <c r="M59" s="279">
        <f t="shared" ca="1" si="53"/>
        <v>0</v>
      </c>
      <c r="N59" s="279">
        <f t="shared" ca="1" si="53"/>
        <v>0</v>
      </c>
      <c r="O59" s="279">
        <f t="shared" ca="1" si="53"/>
        <v>0</v>
      </c>
      <c r="P59" s="279">
        <f t="shared" ref="P59:AC59" ca="1" si="54">IF(ISERR((P47+P48)/(P47+P48+P49+P50)),"NA",(P47+P48)/(P47+P48+P49+P50))</f>
        <v>0</v>
      </c>
      <c r="Q59" s="279">
        <f t="shared" ca="1" si="54"/>
        <v>0</v>
      </c>
      <c r="R59" s="279">
        <f t="shared" ca="1" si="54"/>
        <v>0</v>
      </c>
      <c r="S59" s="279">
        <f t="shared" ca="1" si="54"/>
        <v>0</v>
      </c>
      <c r="T59" s="279">
        <f t="shared" ca="1" si="54"/>
        <v>0</v>
      </c>
      <c r="U59" s="279">
        <f t="shared" ca="1" si="54"/>
        <v>0</v>
      </c>
      <c r="V59" s="279">
        <f t="shared" ca="1" si="54"/>
        <v>0</v>
      </c>
      <c r="W59" s="279">
        <f t="shared" ca="1" si="54"/>
        <v>0</v>
      </c>
      <c r="X59" s="279">
        <f t="shared" ca="1" si="54"/>
        <v>0</v>
      </c>
      <c r="Y59" s="279">
        <f t="shared" ca="1" si="54"/>
        <v>0</v>
      </c>
      <c r="Z59" s="279">
        <f t="shared" ca="1" si="54"/>
        <v>0</v>
      </c>
      <c r="AA59" s="279">
        <f t="shared" ca="1" si="54"/>
        <v>0</v>
      </c>
      <c r="AB59" s="279">
        <f t="shared" ca="1" si="54"/>
        <v>0</v>
      </c>
      <c r="AC59" s="279">
        <f t="shared" ca="1" si="54"/>
        <v>0</v>
      </c>
      <c r="AD59"/>
      <c r="AE59"/>
      <c r="AF59"/>
      <c r="AG59"/>
    </row>
    <row r="60" spans="1:33">
      <c r="A60" s="74" t="s">
        <v>646</v>
      </c>
      <c r="F60" s="81" t="str">
        <f t="shared" ref="F60:O60" si="55">IF(F27&lt;1,"NA",(F47+F48)/(F27-F32))</f>
        <v>NA</v>
      </c>
      <c r="G60" s="81" t="str">
        <f t="shared" si="55"/>
        <v>NA</v>
      </c>
      <c r="H60" s="82" t="str">
        <f t="shared" si="55"/>
        <v>NA</v>
      </c>
      <c r="I60" s="372" t="str">
        <f t="shared" ca="1" si="55"/>
        <v>NA</v>
      </c>
      <c r="J60" s="81">
        <f t="shared" ca="1" si="55"/>
        <v>0</v>
      </c>
      <c r="K60" s="81">
        <f t="shared" ca="1" si="55"/>
        <v>0</v>
      </c>
      <c r="L60" s="81">
        <f t="shared" ca="1" si="55"/>
        <v>0</v>
      </c>
      <c r="M60" s="81">
        <f t="shared" ca="1" si="55"/>
        <v>0</v>
      </c>
      <c r="N60" s="81">
        <f t="shared" ca="1" si="55"/>
        <v>0</v>
      </c>
      <c r="O60" s="81">
        <f t="shared" ca="1" si="55"/>
        <v>0</v>
      </c>
      <c r="P60" s="81">
        <f t="shared" ref="P60:AC60" ca="1" si="56">IF(P27&lt;1,"NA",(P47+P48)/(P27-P32))</f>
        <v>0</v>
      </c>
      <c r="Q60" s="81">
        <f t="shared" ca="1" si="56"/>
        <v>0</v>
      </c>
      <c r="R60" s="81">
        <f t="shared" ca="1" si="56"/>
        <v>0</v>
      </c>
      <c r="S60" s="81">
        <f t="shared" ca="1" si="56"/>
        <v>0</v>
      </c>
      <c r="T60" s="81">
        <f t="shared" ca="1" si="56"/>
        <v>0</v>
      </c>
      <c r="U60" s="81">
        <f t="shared" ca="1" si="56"/>
        <v>0</v>
      </c>
      <c r="V60" s="81">
        <f t="shared" ca="1" si="56"/>
        <v>0</v>
      </c>
      <c r="W60" s="81">
        <f t="shared" ca="1" si="56"/>
        <v>0</v>
      </c>
      <c r="X60" s="81">
        <f t="shared" ca="1" si="56"/>
        <v>0</v>
      </c>
      <c r="Y60" s="81">
        <f t="shared" ca="1" si="56"/>
        <v>0</v>
      </c>
      <c r="Z60" s="81">
        <f t="shared" ca="1" si="56"/>
        <v>0</v>
      </c>
      <c r="AA60" s="81">
        <f t="shared" ca="1" si="56"/>
        <v>0</v>
      </c>
      <c r="AB60" s="81">
        <f t="shared" ca="1" si="56"/>
        <v>0</v>
      </c>
      <c r="AC60" s="81">
        <f t="shared" ca="1" si="56"/>
        <v>0</v>
      </c>
      <c r="AD60"/>
      <c r="AE60"/>
      <c r="AF60"/>
      <c r="AG60"/>
    </row>
    <row r="61" spans="1:33">
      <c r="A61" s="74" t="s">
        <v>647</v>
      </c>
      <c r="F61" s="81" t="str">
        <f>IF(E197=0,"NA",E176/E197)</f>
        <v>NA</v>
      </c>
      <c r="G61" s="81" t="str">
        <f>IF(F197=0,"NA",F176/F197)</f>
        <v>NA</v>
      </c>
      <c r="H61" s="82" t="str">
        <f>IF(G197=0,"NA",G176/G197)</f>
        <v>NA</v>
      </c>
      <c r="I61" s="372" t="str">
        <f t="shared" ref="I61:R61" ca="1" si="57">IF(I197=0,"NA",I176/I197)</f>
        <v>NA</v>
      </c>
      <c r="J61" s="81" t="str">
        <f t="shared" ca="1" si="57"/>
        <v>NA</v>
      </c>
      <c r="K61" s="81" t="str">
        <f t="shared" ca="1" si="57"/>
        <v>NA</v>
      </c>
      <c r="L61" s="81" t="str">
        <f t="shared" ca="1" si="57"/>
        <v>NA</v>
      </c>
      <c r="M61" s="81" t="str">
        <f t="shared" ca="1" si="57"/>
        <v>NA</v>
      </c>
      <c r="N61" s="81" t="str">
        <f t="shared" ca="1" si="57"/>
        <v>NA</v>
      </c>
      <c r="O61" s="81" t="str">
        <f t="shared" ca="1" si="57"/>
        <v>NA</v>
      </c>
      <c r="P61" s="81" t="str">
        <f t="shared" ca="1" si="57"/>
        <v>NA</v>
      </c>
      <c r="Q61" s="81" t="str">
        <f t="shared" ca="1" si="57"/>
        <v>NA</v>
      </c>
      <c r="R61" s="81" t="str">
        <f t="shared" ca="1" si="57"/>
        <v>NA</v>
      </c>
      <c r="S61" s="81" t="str">
        <f t="shared" ref="S61:AC61" ca="1" si="58">IF(S197=0,"NA",S176/S197)</f>
        <v>NA</v>
      </c>
      <c r="T61" s="81" t="str">
        <f t="shared" ca="1" si="58"/>
        <v>NA</v>
      </c>
      <c r="U61" s="81" t="str">
        <f t="shared" ca="1" si="58"/>
        <v>NA</v>
      </c>
      <c r="V61" s="81" t="str">
        <f t="shared" ca="1" si="58"/>
        <v>NA</v>
      </c>
      <c r="W61" s="81" t="str">
        <f t="shared" ca="1" si="58"/>
        <v>NA</v>
      </c>
      <c r="X61" s="81" t="str">
        <f t="shared" ca="1" si="58"/>
        <v>NA</v>
      </c>
      <c r="Y61" s="81" t="str">
        <f t="shared" ca="1" si="58"/>
        <v>NA</v>
      </c>
      <c r="Z61" s="81" t="str">
        <f t="shared" ca="1" si="58"/>
        <v>NA</v>
      </c>
      <c r="AA61" s="81" t="str">
        <f t="shared" ca="1" si="58"/>
        <v>NA</v>
      </c>
      <c r="AB61" s="81" t="str">
        <f t="shared" ca="1" si="58"/>
        <v>NA</v>
      </c>
      <c r="AC61" s="81" t="str">
        <f t="shared" ca="1" si="58"/>
        <v>NA</v>
      </c>
      <c r="AD61"/>
      <c r="AE61"/>
      <c r="AF61"/>
      <c r="AG61"/>
    </row>
    <row r="62" spans="1:33" ht="4.5" customHeight="1">
      <c r="A62" s="74"/>
      <c r="F62" s="81"/>
      <c r="G62" s="81"/>
      <c r="H62" s="82"/>
      <c r="I62" s="372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/>
      <c r="AE62"/>
      <c r="AF62"/>
      <c r="AG62"/>
    </row>
    <row r="63" spans="1:33">
      <c r="A63" s="70" t="s">
        <v>648</v>
      </c>
      <c r="F63" s="81"/>
      <c r="G63" s="81"/>
      <c r="H63" s="82"/>
      <c r="I63" s="626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/>
      <c r="AE63"/>
      <c r="AF63"/>
      <c r="AG63"/>
    </row>
    <row r="64" spans="1:33">
      <c r="A64" s="74" t="s">
        <v>649</v>
      </c>
      <c r="F64" s="265">
        <f t="shared" ref="F64:AC64" si="59">$K$788</f>
        <v>0</v>
      </c>
      <c r="G64" s="265">
        <f t="shared" si="59"/>
        <v>0</v>
      </c>
      <c r="H64" s="265">
        <f t="shared" si="59"/>
        <v>0</v>
      </c>
      <c r="I64" s="371">
        <f t="shared" si="59"/>
        <v>0</v>
      </c>
      <c r="J64" s="265">
        <f t="shared" si="59"/>
        <v>0</v>
      </c>
      <c r="K64" s="265">
        <f t="shared" si="59"/>
        <v>0</v>
      </c>
      <c r="L64" s="265">
        <f t="shared" si="59"/>
        <v>0</v>
      </c>
      <c r="M64" s="265">
        <f t="shared" si="59"/>
        <v>0</v>
      </c>
      <c r="N64" s="265">
        <f t="shared" si="59"/>
        <v>0</v>
      </c>
      <c r="O64" s="265">
        <f t="shared" si="59"/>
        <v>0</v>
      </c>
      <c r="P64" s="265">
        <f t="shared" si="59"/>
        <v>0</v>
      </c>
      <c r="Q64" s="265">
        <f t="shared" si="59"/>
        <v>0</v>
      </c>
      <c r="R64" s="265">
        <f t="shared" si="59"/>
        <v>0</v>
      </c>
      <c r="S64" s="265">
        <f t="shared" si="59"/>
        <v>0</v>
      </c>
      <c r="T64" s="265">
        <f t="shared" si="59"/>
        <v>0</v>
      </c>
      <c r="U64" s="265">
        <f t="shared" si="59"/>
        <v>0</v>
      </c>
      <c r="V64" s="265">
        <f t="shared" si="59"/>
        <v>0</v>
      </c>
      <c r="W64" s="265">
        <f t="shared" si="59"/>
        <v>0</v>
      </c>
      <c r="X64" s="265">
        <f t="shared" si="59"/>
        <v>0</v>
      </c>
      <c r="Y64" s="265">
        <f t="shared" si="59"/>
        <v>0</v>
      </c>
      <c r="Z64" s="265">
        <f t="shared" si="59"/>
        <v>0</v>
      </c>
      <c r="AA64" s="265">
        <f t="shared" si="59"/>
        <v>0</v>
      </c>
      <c r="AB64" s="265">
        <f t="shared" si="59"/>
        <v>0</v>
      </c>
      <c r="AC64" s="265">
        <f t="shared" si="59"/>
        <v>0</v>
      </c>
      <c r="AD64"/>
      <c r="AE64"/>
      <c r="AF64"/>
      <c r="AG64"/>
    </row>
    <row r="65" spans="1:33">
      <c r="A65" s="74" t="s">
        <v>650</v>
      </c>
      <c r="E65"/>
      <c r="F65" s="616">
        <f>F27*F64</f>
        <v>0</v>
      </c>
      <c r="G65" s="616">
        <f>G27*G64</f>
        <v>0</v>
      </c>
      <c r="H65" s="616">
        <f>H27*H64</f>
        <v>0</v>
      </c>
      <c r="I65" s="626">
        <f t="shared" ref="I65:R65" ca="1" si="60">I64*I29</f>
        <v>0</v>
      </c>
      <c r="J65" s="616">
        <f t="shared" ca="1" si="60"/>
        <v>0</v>
      </c>
      <c r="K65" s="616">
        <f t="shared" ca="1" si="60"/>
        <v>0</v>
      </c>
      <c r="L65" s="616">
        <f t="shared" ca="1" si="60"/>
        <v>0</v>
      </c>
      <c r="M65" s="616">
        <f t="shared" ca="1" si="60"/>
        <v>0</v>
      </c>
      <c r="N65" s="616">
        <f t="shared" ca="1" si="60"/>
        <v>0</v>
      </c>
      <c r="O65" s="616">
        <f t="shared" ca="1" si="60"/>
        <v>0</v>
      </c>
      <c r="P65" s="616">
        <f t="shared" ca="1" si="60"/>
        <v>0</v>
      </c>
      <c r="Q65" s="616">
        <f t="shared" ca="1" si="60"/>
        <v>0</v>
      </c>
      <c r="R65" s="616">
        <f t="shared" ca="1" si="60"/>
        <v>0</v>
      </c>
      <c r="S65" s="616">
        <f t="shared" ref="S65:AC65" ca="1" si="61">S64*S29</f>
        <v>0</v>
      </c>
      <c r="T65" s="616">
        <f t="shared" ca="1" si="61"/>
        <v>0</v>
      </c>
      <c r="U65" s="616">
        <f t="shared" ca="1" si="61"/>
        <v>0</v>
      </c>
      <c r="V65" s="616">
        <f t="shared" ca="1" si="61"/>
        <v>0</v>
      </c>
      <c r="W65" s="616">
        <f t="shared" ca="1" si="61"/>
        <v>0</v>
      </c>
      <c r="X65" s="616">
        <f t="shared" ca="1" si="61"/>
        <v>0</v>
      </c>
      <c r="Y65" s="616">
        <f t="shared" ca="1" si="61"/>
        <v>0</v>
      </c>
      <c r="Z65" s="616">
        <f t="shared" ca="1" si="61"/>
        <v>0</v>
      </c>
      <c r="AA65" s="616">
        <f t="shared" ca="1" si="61"/>
        <v>0</v>
      </c>
      <c r="AB65" s="616">
        <f t="shared" ca="1" si="61"/>
        <v>0</v>
      </c>
      <c r="AC65" s="616">
        <f t="shared" ca="1" si="61"/>
        <v>0</v>
      </c>
      <c r="AD65"/>
      <c r="AE65"/>
      <c r="AF65"/>
      <c r="AG65"/>
    </row>
    <row r="66" spans="1:33" ht="12" thickBot="1">
      <c r="A66" s="74" t="s">
        <v>651</v>
      </c>
      <c r="F66" s="616">
        <f>F65-(E195+E196+E199+E200+E202+E208)+E172</f>
        <v>0</v>
      </c>
      <c r="G66" s="616">
        <f>G65-(F195+F196+F199+F200+F202+F208)+F172</f>
        <v>0</v>
      </c>
      <c r="H66" s="616">
        <f>H65-(G195+G196+G199+G200+G202+G208)+G172</f>
        <v>0</v>
      </c>
      <c r="I66" s="626">
        <f t="shared" ref="I66:R66" ca="1" si="62">I65-(I195+I196+I199+I200+I202+I208)+(I172-I450)</f>
        <v>-504.85591119790752</v>
      </c>
      <c r="J66" s="616">
        <f t="shared" ca="1" si="62"/>
        <v>5738.0804833465427</v>
      </c>
      <c r="K66" s="616">
        <f t="shared" ca="1" si="62"/>
        <v>10189.817411743868</v>
      </c>
      <c r="L66" s="616">
        <f t="shared" ca="1" si="62"/>
        <v>14227.925486116394</v>
      </c>
      <c r="M66" s="616">
        <f t="shared" ca="1" si="62"/>
        <v>18178.888674765869</v>
      </c>
      <c r="N66" s="616">
        <f t="shared" ca="1" si="62"/>
        <v>21937.941700404466</v>
      </c>
      <c r="O66" s="616">
        <f t="shared" ca="1" si="62"/>
        <v>25406.097363621549</v>
      </c>
      <c r="P66" s="616">
        <f t="shared" ca="1" si="62"/>
        <v>28656.145205809979</v>
      </c>
      <c r="Q66" s="616">
        <f t="shared" ca="1" si="62"/>
        <v>31747.378994869585</v>
      </c>
      <c r="R66" s="616">
        <f t="shared" ca="1" si="62"/>
        <v>34720.937870517788</v>
      </c>
      <c r="S66" s="616">
        <f t="shared" ref="S66:AC66" ca="1" si="63">S65-(S195+S196+S199+S200+S202+S208)+(S172-S450)</f>
        <v>37121.974399802202</v>
      </c>
      <c r="T66" s="616">
        <f t="shared" ca="1" si="63"/>
        <v>39442.579666891797</v>
      </c>
      <c r="U66" s="616">
        <f t="shared" ca="1" si="63"/>
        <v>41706.359797100689</v>
      </c>
      <c r="V66" s="616">
        <f t="shared" ca="1" si="63"/>
        <v>43914.737103610903</v>
      </c>
      <c r="W66" s="616">
        <f t="shared" ca="1" si="63"/>
        <v>46097.8293966454</v>
      </c>
      <c r="X66" s="616">
        <f t="shared" ca="1" si="63"/>
        <v>48251.566391108208</v>
      </c>
      <c r="Y66" s="616">
        <f t="shared" ca="1" si="63"/>
        <v>50384.875851638557</v>
      </c>
      <c r="Z66" s="616">
        <f t="shared" ca="1" si="63"/>
        <v>52477.842531496302</v>
      </c>
      <c r="AA66" s="616">
        <f t="shared" ca="1" si="63"/>
        <v>54564.538854122307</v>
      </c>
      <c r="AB66" s="616">
        <f t="shared" ca="1" si="63"/>
        <v>56660.820771045765</v>
      </c>
      <c r="AC66" s="616">
        <f t="shared" ca="1" si="63"/>
        <v>58794.10902145307</v>
      </c>
      <c r="AD66"/>
      <c r="AE66"/>
      <c r="AF66"/>
      <c r="AG66"/>
    </row>
    <row r="67" spans="1:33" ht="12.75" thickTop="1" thickBot="1">
      <c r="A67" s="85"/>
      <c r="E67" s="73">
        <f>E580</f>
        <v>1996</v>
      </c>
      <c r="F67" s="73">
        <f>F580</f>
        <v>1997</v>
      </c>
      <c r="G67" s="73">
        <f>G580</f>
        <v>1998</v>
      </c>
      <c r="H67" s="238" t="str">
        <f ca="1">$H$579&amp;"/"&amp;TEXT($H$580,"0")</f>
        <v>6 M/1999</v>
      </c>
      <c r="I67" s="87" t="str">
        <f ca="1">$I$579&amp;"/"&amp;TEXT($I$580,"0")</f>
        <v>6 M/1999</v>
      </c>
      <c r="J67" s="73">
        <f t="shared" ref="J67:AC67" si="64">J580</f>
        <v>2000</v>
      </c>
      <c r="K67" s="73">
        <f t="shared" si="64"/>
        <v>2001</v>
      </c>
      <c r="L67" s="73">
        <f t="shared" si="64"/>
        <v>2002</v>
      </c>
      <c r="M67" s="73">
        <f t="shared" si="64"/>
        <v>2003</v>
      </c>
      <c r="N67" s="73">
        <f t="shared" si="64"/>
        <v>2004</v>
      </c>
      <c r="O67" s="73">
        <f t="shared" si="64"/>
        <v>2005</v>
      </c>
      <c r="P67" s="73">
        <f t="shared" si="64"/>
        <v>2006</v>
      </c>
      <c r="Q67" s="73">
        <f t="shared" si="64"/>
        <v>2007</v>
      </c>
      <c r="R67" s="73">
        <f t="shared" si="64"/>
        <v>2008</v>
      </c>
      <c r="S67" s="73">
        <f t="shared" si="64"/>
        <v>2009</v>
      </c>
      <c r="T67" s="73">
        <f t="shared" si="64"/>
        <v>2010</v>
      </c>
      <c r="U67" s="73">
        <f t="shared" si="64"/>
        <v>2011</v>
      </c>
      <c r="V67" s="73">
        <f t="shared" si="64"/>
        <v>2012</v>
      </c>
      <c r="W67" s="73">
        <f t="shared" si="64"/>
        <v>2013</v>
      </c>
      <c r="X67" s="73">
        <f t="shared" si="64"/>
        <v>2014</v>
      </c>
      <c r="Y67" s="73">
        <f t="shared" si="64"/>
        <v>2015</v>
      </c>
      <c r="Z67" s="73">
        <f t="shared" si="64"/>
        <v>2016</v>
      </c>
      <c r="AA67" s="73">
        <f t="shared" si="64"/>
        <v>2017</v>
      </c>
      <c r="AB67" s="73">
        <f t="shared" si="64"/>
        <v>2018</v>
      </c>
      <c r="AC67" s="73">
        <f t="shared" si="64"/>
        <v>2019</v>
      </c>
      <c r="AG67" s="5" t="b">
        <v>0</v>
      </c>
    </row>
    <row r="68" spans="1:33" ht="12" thickTop="1">
      <c r="A68" s="19" t="s">
        <v>652</v>
      </c>
      <c r="D68" s="22"/>
      <c r="E68" s="79"/>
      <c r="F68"/>
      <c r="G68"/>
      <c r="H68" s="8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33">
      <c r="A69" s="83" t="s">
        <v>613</v>
      </c>
      <c r="C69" s="89"/>
      <c r="D69" s="90"/>
      <c r="E69" s="90">
        <f>+E938</f>
        <v>0</v>
      </c>
      <c r="F69" s="90">
        <f>+F938</f>
        <v>0</v>
      </c>
      <c r="G69" s="90">
        <f>+G938</f>
        <v>0</v>
      </c>
      <c r="H69" s="91">
        <f>+H938</f>
        <v>0</v>
      </c>
      <c r="I69" s="90">
        <f t="shared" ref="I69:AC69" si="65">+I938+I493</f>
        <v>-515.87756577331356</v>
      </c>
      <c r="J69" s="90">
        <f t="shared" ca="1" si="65"/>
        <v>6790.5296238597939</v>
      </c>
      <c r="K69" s="90">
        <f t="shared" ca="1" si="65"/>
        <v>5417.5924313748037</v>
      </c>
      <c r="L69" s="90">
        <f t="shared" ca="1" si="65"/>
        <v>4984.6004151312054</v>
      </c>
      <c r="M69" s="90">
        <f t="shared" ca="1" si="65"/>
        <v>4628.8143001151384</v>
      </c>
      <c r="N69" s="90">
        <f t="shared" ca="1" si="65"/>
        <v>4178.0147730888311</v>
      </c>
      <c r="O69" s="90">
        <f t="shared" ca="1" si="65"/>
        <v>3639.3785476709422</v>
      </c>
      <c r="P69" s="90">
        <f t="shared" ca="1" si="65"/>
        <v>3122.9489386656724</v>
      </c>
      <c r="Q69" s="90">
        <f t="shared" ca="1" si="65"/>
        <v>2732.3324514220212</v>
      </c>
      <c r="R69" s="90">
        <f t="shared" ca="1" si="65"/>
        <v>2374.1924905099418</v>
      </c>
      <c r="S69" s="90">
        <f t="shared" ca="1" si="65"/>
        <v>2069.4848242550606</v>
      </c>
      <c r="T69" s="90">
        <f t="shared" ca="1" si="65"/>
        <v>1805.7362655736702</v>
      </c>
      <c r="U69" s="90">
        <f t="shared" ca="1" si="65"/>
        <v>1585.0876602653127</v>
      </c>
      <c r="V69" s="90">
        <f t="shared" ca="1" si="65"/>
        <v>1369.8736788234223</v>
      </c>
      <c r="W69" s="90">
        <f t="shared" ca="1" si="65"/>
        <v>1184.6961665649494</v>
      </c>
      <c r="X69" s="90">
        <f t="shared" ca="1" si="65"/>
        <v>1016.5665713882831</v>
      </c>
      <c r="Y69" s="90">
        <f t="shared" ca="1" si="65"/>
        <v>848.49570511276215</v>
      </c>
      <c r="Z69" s="90">
        <f t="shared" ca="1" si="65"/>
        <v>659.69668918480602</v>
      </c>
      <c r="AA69" s="90">
        <f t="shared" ca="1" si="65"/>
        <v>534.30737633167575</v>
      </c>
      <c r="AB69" s="90">
        <f t="shared" ca="1" si="65"/>
        <v>435.24692068599745</v>
      </c>
      <c r="AC69" s="90">
        <f t="shared" ca="1" si="65"/>
        <v>380.6115233955872</v>
      </c>
    </row>
    <row r="70" spans="1:33">
      <c r="A70" s="74" t="s">
        <v>653</v>
      </c>
      <c r="C70" s="89"/>
      <c r="D70" s="90"/>
      <c r="E70" s="90">
        <f t="shared" ref="E70:AC70" si="66">E939</f>
        <v>0</v>
      </c>
      <c r="F70" s="90">
        <f t="shared" si="66"/>
        <v>0</v>
      </c>
      <c r="G70" s="90">
        <f t="shared" si="66"/>
        <v>0</v>
      </c>
      <c r="H70" s="91">
        <f t="shared" si="66"/>
        <v>0</v>
      </c>
      <c r="I70" s="90">
        <f t="shared" ca="1" si="66"/>
        <v>-37.471736051144838</v>
      </c>
      <c r="J70" s="90">
        <f t="shared" ca="1" si="66"/>
        <v>668.32672539510099</v>
      </c>
      <c r="K70" s="90">
        <f t="shared" ca="1" si="66"/>
        <v>542.016503686482</v>
      </c>
      <c r="L70" s="90">
        <f t="shared" ca="1" si="66"/>
        <v>502.18123819207096</v>
      </c>
      <c r="M70" s="90">
        <f t="shared" ca="1" si="66"/>
        <v>469.44891561059273</v>
      </c>
      <c r="N70" s="90">
        <f t="shared" ca="1" si="66"/>
        <v>427.97535912417243</v>
      </c>
      <c r="O70" s="90">
        <f t="shared" ca="1" si="66"/>
        <v>378.42082638572674</v>
      </c>
      <c r="P70" s="90">
        <f t="shared" ca="1" si="66"/>
        <v>330.90930235724181</v>
      </c>
      <c r="Q70" s="90">
        <f t="shared" ca="1" si="66"/>
        <v>307.21458553082596</v>
      </c>
      <c r="R70" s="90">
        <f t="shared" ca="1" si="66"/>
        <v>276.72070912691458</v>
      </c>
      <c r="S70" s="90">
        <f t="shared" ca="1" si="66"/>
        <v>230.26860383146555</v>
      </c>
      <c r="T70" s="90">
        <f t="shared" ca="1" si="66"/>
        <v>206.00373643277769</v>
      </c>
      <c r="U70" s="90">
        <f t="shared" ca="1" si="66"/>
        <v>185.70406474440875</v>
      </c>
      <c r="V70" s="90">
        <f t="shared" ca="1" si="66"/>
        <v>165.90437845175484</v>
      </c>
      <c r="W70" s="90">
        <f t="shared" ca="1" si="66"/>
        <v>128.54904732397534</v>
      </c>
      <c r="X70" s="90">
        <f t="shared" ca="1" si="66"/>
        <v>113.08112456772207</v>
      </c>
      <c r="Y70" s="90">
        <f t="shared" ca="1" si="66"/>
        <v>82.921604870374111</v>
      </c>
      <c r="Z70" s="90">
        <f t="shared" ca="1" si="66"/>
        <v>60.692095405002149</v>
      </c>
      <c r="AA70" s="90">
        <f t="shared" ca="1" si="66"/>
        <v>49.156278622514172</v>
      </c>
      <c r="AB70" s="90">
        <f t="shared" ca="1" si="66"/>
        <v>40.042716703111765</v>
      </c>
      <c r="AC70" s="90">
        <f t="shared" ca="1" si="66"/>
        <v>35.016260152394025</v>
      </c>
    </row>
    <row r="71" spans="1:33">
      <c r="A71" s="70" t="s">
        <v>654</v>
      </c>
      <c r="C71" s="89"/>
      <c r="D71" s="90"/>
      <c r="E71" s="92">
        <f t="shared" ref="E71:N71" si="67">E69-E70</f>
        <v>0</v>
      </c>
      <c r="F71" s="92">
        <f t="shared" si="67"/>
        <v>0</v>
      </c>
      <c r="G71" s="92">
        <f t="shared" si="67"/>
        <v>0</v>
      </c>
      <c r="H71" s="93">
        <f t="shared" si="67"/>
        <v>0</v>
      </c>
      <c r="I71" s="92">
        <f t="shared" ca="1" si="67"/>
        <v>-478.40582972216873</v>
      </c>
      <c r="J71" s="92">
        <f t="shared" ca="1" si="67"/>
        <v>6122.2028984646931</v>
      </c>
      <c r="K71" s="92">
        <f t="shared" ca="1" si="67"/>
        <v>4875.5759276883218</v>
      </c>
      <c r="L71" s="92">
        <f t="shared" ca="1" si="67"/>
        <v>4482.4191769391346</v>
      </c>
      <c r="M71" s="92">
        <f t="shared" ca="1" si="67"/>
        <v>4159.3653845045455</v>
      </c>
      <c r="N71" s="92">
        <f t="shared" ca="1" si="67"/>
        <v>3750.0394139646587</v>
      </c>
      <c r="O71" s="92">
        <f t="shared" ref="O71:AC71" ca="1" si="68">O69-O70</f>
        <v>3260.9577212852155</v>
      </c>
      <c r="P71" s="92">
        <f t="shared" ca="1" si="68"/>
        <v>2792.0396363084305</v>
      </c>
      <c r="Q71" s="92">
        <f t="shared" ca="1" si="68"/>
        <v>2425.1178658911954</v>
      </c>
      <c r="R71" s="92">
        <f t="shared" ca="1" si="68"/>
        <v>2097.4717813830271</v>
      </c>
      <c r="S71" s="92">
        <f t="shared" ca="1" si="68"/>
        <v>1839.2162204235951</v>
      </c>
      <c r="T71" s="92">
        <f t="shared" ca="1" si="68"/>
        <v>1599.7325291408924</v>
      </c>
      <c r="U71" s="92">
        <f t="shared" ca="1" si="68"/>
        <v>1399.383595520904</v>
      </c>
      <c r="V71" s="92">
        <f t="shared" ca="1" si="68"/>
        <v>1203.9693003716675</v>
      </c>
      <c r="W71" s="92">
        <f t="shared" ca="1" si="68"/>
        <v>1056.147119240974</v>
      </c>
      <c r="X71" s="92">
        <f t="shared" ca="1" si="68"/>
        <v>903.48544682056104</v>
      </c>
      <c r="Y71" s="92">
        <f t="shared" ca="1" si="68"/>
        <v>765.574100242388</v>
      </c>
      <c r="Z71" s="92">
        <f t="shared" ca="1" si="68"/>
        <v>599.00459377980383</v>
      </c>
      <c r="AA71" s="92">
        <f t="shared" ca="1" si="68"/>
        <v>485.1510977091616</v>
      </c>
      <c r="AB71" s="92">
        <f t="shared" ca="1" si="68"/>
        <v>395.2042039828857</v>
      </c>
      <c r="AC71" s="92">
        <f t="shared" ca="1" si="68"/>
        <v>345.59526324319319</v>
      </c>
    </row>
    <row r="72" spans="1:33">
      <c r="C72" s="89"/>
      <c r="D72" s="90"/>
      <c r="E72" s="90"/>
      <c r="F72" s="90"/>
      <c r="G72" s="90"/>
      <c r="H72" s="91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G72" s="5" t="b">
        <v>0</v>
      </c>
    </row>
    <row r="73" spans="1:33">
      <c r="A73" s="74" t="s">
        <v>655</v>
      </c>
      <c r="C73" s="89"/>
      <c r="D73" s="90"/>
      <c r="E73" s="90">
        <f t="shared" ref="E73:AC73" si="69">E940</f>
        <v>0</v>
      </c>
      <c r="F73" s="90">
        <f t="shared" si="69"/>
        <v>0</v>
      </c>
      <c r="G73" s="90">
        <f t="shared" si="69"/>
        <v>0</v>
      </c>
      <c r="H73" s="91">
        <f t="shared" si="69"/>
        <v>0</v>
      </c>
      <c r="I73" s="90">
        <f t="shared" ca="1" si="69"/>
        <v>0</v>
      </c>
      <c r="J73" s="90">
        <f t="shared" ca="1" si="69"/>
        <v>0</v>
      </c>
      <c r="K73" s="90">
        <f t="shared" ca="1" si="69"/>
        <v>0</v>
      </c>
      <c r="L73" s="90">
        <f t="shared" ca="1" si="69"/>
        <v>0</v>
      </c>
      <c r="M73" s="90">
        <f t="shared" ca="1" si="69"/>
        <v>0</v>
      </c>
      <c r="N73" s="90">
        <f t="shared" ca="1" si="69"/>
        <v>0</v>
      </c>
      <c r="O73" s="90">
        <f t="shared" ca="1" si="69"/>
        <v>0</v>
      </c>
      <c r="P73" s="90">
        <f t="shared" ca="1" si="69"/>
        <v>0</v>
      </c>
      <c r="Q73" s="90">
        <f t="shared" ca="1" si="69"/>
        <v>0</v>
      </c>
      <c r="R73" s="90">
        <f t="shared" ca="1" si="69"/>
        <v>0</v>
      </c>
      <c r="S73" s="90">
        <f t="shared" ca="1" si="69"/>
        <v>0</v>
      </c>
      <c r="T73" s="90">
        <f t="shared" ca="1" si="69"/>
        <v>0</v>
      </c>
      <c r="U73" s="90">
        <f t="shared" ca="1" si="69"/>
        <v>0</v>
      </c>
      <c r="V73" s="90">
        <f t="shared" ca="1" si="69"/>
        <v>0</v>
      </c>
      <c r="W73" s="90">
        <f t="shared" ca="1" si="69"/>
        <v>0</v>
      </c>
      <c r="X73" s="90">
        <f t="shared" ca="1" si="69"/>
        <v>0</v>
      </c>
      <c r="Y73" s="90">
        <f t="shared" ca="1" si="69"/>
        <v>0</v>
      </c>
      <c r="Z73" s="90">
        <f t="shared" ca="1" si="69"/>
        <v>0</v>
      </c>
      <c r="AA73" s="90">
        <f t="shared" ca="1" si="69"/>
        <v>0</v>
      </c>
      <c r="AB73" s="90">
        <f t="shared" ca="1" si="69"/>
        <v>0</v>
      </c>
      <c r="AC73" s="90">
        <f t="shared" ca="1" si="69"/>
        <v>0</v>
      </c>
      <c r="AG73" s="5" t="b">
        <v>0</v>
      </c>
    </row>
    <row r="74" spans="1:33">
      <c r="A74" s="70" t="s">
        <v>616</v>
      </c>
      <c r="C74" s="89"/>
      <c r="D74" s="90"/>
      <c r="E74" s="92">
        <f t="shared" ref="E74:N74" si="70">E71-E73</f>
        <v>0</v>
      </c>
      <c r="F74" s="92">
        <f t="shared" si="70"/>
        <v>0</v>
      </c>
      <c r="G74" s="92">
        <f t="shared" si="70"/>
        <v>0</v>
      </c>
      <c r="H74" s="93">
        <f t="shared" si="70"/>
        <v>0</v>
      </c>
      <c r="I74" s="92">
        <f t="shared" ca="1" si="70"/>
        <v>-478.40582972216873</v>
      </c>
      <c r="J74" s="92">
        <f t="shared" ca="1" si="70"/>
        <v>6122.2028984646931</v>
      </c>
      <c r="K74" s="92">
        <f t="shared" ca="1" si="70"/>
        <v>4875.5759276883218</v>
      </c>
      <c r="L74" s="92">
        <f t="shared" ca="1" si="70"/>
        <v>4482.4191769391346</v>
      </c>
      <c r="M74" s="92">
        <f t="shared" ca="1" si="70"/>
        <v>4159.3653845045455</v>
      </c>
      <c r="N74" s="92">
        <f t="shared" ca="1" si="70"/>
        <v>3750.0394139646587</v>
      </c>
      <c r="O74" s="92">
        <f t="shared" ref="O74:AC74" ca="1" si="71">O71-O73</f>
        <v>3260.9577212852155</v>
      </c>
      <c r="P74" s="92">
        <f t="shared" ca="1" si="71"/>
        <v>2792.0396363084305</v>
      </c>
      <c r="Q74" s="92">
        <f t="shared" ca="1" si="71"/>
        <v>2425.1178658911954</v>
      </c>
      <c r="R74" s="92">
        <f t="shared" ca="1" si="71"/>
        <v>2097.4717813830271</v>
      </c>
      <c r="S74" s="92">
        <f t="shared" ca="1" si="71"/>
        <v>1839.2162204235951</v>
      </c>
      <c r="T74" s="92">
        <f t="shared" ca="1" si="71"/>
        <v>1599.7325291408924</v>
      </c>
      <c r="U74" s="92">
        <f t="shared" ca="1" si="71"/>
        <v>1399.383595520904</v>
      </c>
      <c r="V74" s="92">
        <f t="shared" ca="1" si="71"/>
        <v>1203.9693003716675</v>
      </c>
      <c r="W74" s="92">
        <f t="shared" ca="1" si="71"/>
        <v>1056.147119240974</v>
      </c>
      <c r="X74" s="92">
        <f t="shared" ca="1" si="71"/>
        <v>903.48544682056104</v>
      </c>
      <c r="Y74" s="92">
        <f t="shared" ca="1" si="71"/>
        <v>765.574100242388</v>
      </c>
      <c r="Z74" s="92">
        <f t="shared" ca="1" si="71"/>
        <v>599.00459377980383</v>
      </c>
      <c r="AA74" s="92">
        <f t="shared" ca="1" si="71"/>
        <v>485.1510977091616</v>
      </c>
      <c r="AB74" s="92">
        <f t="shared" ca="1" si="71"/>
        <v>395.2042039828857</v>
      </c>
      <c r="AC74" s="92">
        <f t="shared" ca="1" si="71"/>
        <v>345.59526324319319</v>
      </c>
      <c r="AG74" s="5" t="b">
        <v>0</v>
      </c>
    </row>
    <row r="75" spans="1:33">
      <c r="C75" s="89"/>
      <c r="D75" s="90"/>
      <c r="E75" s="90"/>
      <c r="F75" s="90"/>
      <c r="G75" s="90"/>
      <c r="H75" s="91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G75" s="5" t="b">
        <v>0</v>
      </c>
    </row>
    <row r="76" spans="1:33">
      <c r="A76" s="5" t="s">
        <v>656</v>
      </c>
      <c r="C76" s="89"/>
      <c r="D76" s="90"/>
      <c r="E76" s="90">
        <f>E945+E954</f>
        <v>0</v>
      </c>
      <c r="F76" s="90">
        <f>F945+F954</f>
        <v>0</v>
      </c>
      <c r="G76" s="90">
        <f>G945+G954</f>
        <v>0</v>
      </c>
      <c r="H76" s="91">
        <f>H945+H954</f>
        <v>0</v>
      </c>
      <c r="I76" s="90">
        <f t="shared" ref="I76:AC76" si="72">I945+I954+I607</f>
        <v>0</v>
      </c>
      <c r="J76" s="90">
        <f t="shared" si="72"/>
        <v>0</v>
      </c>
      <c r="K76" s="90">
        <f t="shared" si="72"/>
        <v>0</v>
      </c>
      <c r="L76" s="90">
        <f t="shared" si="72"/>
        <v>0</v>
      </c>
      <c r="M76" s="90">
        <f t="shared" si="72"/>
        <v>0</v>
      </c>
      <c r="N76" s="90">
        <f t="shared" si="72"/>
        <v>0</v>
      </c>
      <c r="O76" s="90">
        <f t="shared" si="72"/>
        <v>4.3794061069212393</v>
      </c>
      <c r="P76" s="90">
        <f t="shared" si="72"/>
        <v>4.7347913013252478</v>
      </c>
      <c r="Q76" s="90">
        <f t="shared" si="72"/>
        <v>7.1018340606587129</v>
      </c>
      <c r="R76" s="90">
        <f t="shared" si="72"/>
        <v>6.0602935036541092</v>
      </c>
      <c r="S76" s="90">
        <f t="shared" si="72"/>
        <v>5.134621601663329</v>
      </c>
      <c r="T76" s="90">
        <f t="shared" si="72"/>
        <v>4.3136934004570406</v>
      </c>
      <c r="U76" s="90">
        <f t="shared" si="72"/>
        <v>3.6160470859451221</v>
      </c>
      <c r="V76" s="90">
        <f t="shared" si="72"/>
        <v>2.9690276563928304</v>
      </c>
      <c r="W76" s="90">
        <f t="shared" si="72"/>
        <v>2.4348443565521936</v>
      </c>
      <c r="X76" s="90">
        <f t="shared" si="72"/>
        <v>1.9752031273747968</v>
      </c>
      <c r="Y76" s="90">
        <f t="shared" si="72"/>
        <v>1.556639308963266</v>
      </c>
      <c r="Z76" s="90">
        <f t="shared" si="72"/>
        <v>1.1435136510314272</v>
      </c>
      <c r="AA76" s="90">
        <f t="shared" si="72"/>
        <v>0.87442728015961602</v>
      </c>
      <c r="AB76" s="90">
        <f t="shared" si="72"/>
        <v>0.67267199847163439</v>
      </c>
      <c r="AC76" s="90">
        <f t="shared" si="72"/>
        <v>0.5559855604294327</v>
      </c>
      <c r="AG76" s="5" t="b">
        <v>0</v>
      </c>
    </row>
    <row r="77" spans="1:33">
      <c r="A77" s="5" t="str">
        <f>A590</f>
        <v>Amortization   -  Transaction Fees</v>
      </c>
      <c r="C77" s="89"/>
      <c r="D77" s="90"/>
      <c r="E77" s="90">
        <f t="shared" ref="E77:AC77" si="73">E590</f>
        <v>0</v>
      </c>
      <c r="F77" s="90">
        <f t="shared" si="73"/>
        <v>0</v>
      </c>
      <c r="G77" s="90">
        <f t="shared" si="73"/>
        <v>0</v>
      </c>
      <c r="H77" s="91">
        <f t="shared" si="73"/>
        <v>0</v>
      </c>
      <c r="I77" s="90">
        <f t="shared" ca="1" si="73"/>
        <v>0</v>
      </c>
      <c r="J77" s="90">
        <f t="shared" ca="1" si="73"/>
        <v>0</v>
      </c>
      <c r="K77" s="90">
        <f t="shared" si="73"/>
        <v>0</v>
      </c>
      <c r="L77" s="90">
        <f t="shared" si="73"/>
        <v>0</v>
      </c>
      <c r="M77" s="90">
        <f t="shared" si="73"/>
        <v>0</v>
      </c>
      <c r="N77" s="90">
        <f t="shared" si="73"/>
        <v>0</v>
      </c>
      <c r="O77" s="90">
        <f t="shared" si="73"/>
        <v>0</v>
      </c>
      <c r="P77" s="90">
        <f t="shared" ca="1" si="73"/>
        <v>0</v>
      </c>
      <c r="Q77" s="90">
        <f t="shared" ca="1" si="73"/>
        <v>0</v>
      </c>
      <c r="R77" s="90">
        <f t="shared" si="73"/>
        <v>0</v>
      </c>
      <c r="S77" s="90">
        <f t="shared" ca="1" si="73"/>
        <v>0</v>
      </c>
      <c r="T77" s="90">
        <f t="shared" si="73"/>
        <v>0</v>
      </c>
      <c r="U77" s="90">
        <f t="shared" si="73"/>
        <v>0</v>
      </c>
      <c r="V77" s="90">
        <f t="shared" si="73"/>
        <v>0</v>
      </c>
      <c r="W77" s="90">
        <f t="shared" si="73"/>
        <v>0</v>
      </c>
      <c r="X77" s="90">
        <f t="shared" si="73"/>
        <v>0</v>
      </c>
      <c r="Y77" s="90">
        <f t="shared" si="73"/>
        <v>0</v>
      </c>
      <c r="Z77" s="90">
        <f t="shared" si="73"/>
        <v>0</v>
      </c>
      <c r="AA77" s="90">
        <f t="shared" si="73"/>
        <v>0</v>
      </c>
      <c r="AB77" s="90">
        <f t="shared" si="73"/>
        <v>0</v>
      </c>
      <c r="AC77" s="90">
        <f t="shared" si="73"/>
        <v>0</v>
      </c>
      <c r="AG77" s="5" t="b">
        <v>0</v>
      </c>
    </row>
    <row r="78" spans="1:33">
      <c r="A78" s="5" t="s">
        <v>657</v>
      </c>
      <c r="C78" s="89"/>
      <c r="D78" s="90"/>
      <c r="E78" s="90">
        <f>E589+E588</f>
        <v>0</v>
      </c>
      <c r="F78" s="90">
        <f>F589+F588</f>
        <v>0</v>
      </c>
      <c r="G78" s="90">
        <f>G587+G588</f>
        <v>0</v>
      </c>
      <c r="H78" s="91">
        <f t="shared" ref="H78:Q78" si="74">H589+H588</f>
        <v>0</v>
      </c>
      <c r="I78" s="90">
        <f t="shared" ca="1" si="74"/>
        <v>0</v>
      </c>
      <c r="J78" s="90">
        <f t="shared" si="74"/>
        <v>0</v>
      </c>
      <c r="K78" s="90">
        <f t="shared" si="74"/>
        <v>0</v>
      </c>
      <c r="L78" s="90">
        <f t="shared" si="74"/>
        <v>0</v>
      </c>
      <c r="M78" s="90">
        <f t="shared" si="74"/>
        <v>0</v>
      </c>
      <c r="N78" s="90">
        <f t="shared" si="74"/>
        <v>0</v>
      </c>
      <c r="O78" s="90">
        <f t="shared" si="74"/>
        <v>0</v>
      </c>
      <c r="P78" s="90">
        <f t="shared" si="74"/>
        <v>0</v>
      </c>
      <c r="Q78" s="90">
        <f t="shared" si="74"/>
        <v>0</v>
      </c>
      <c r="R78" s="90">
        <f t="shared" ref="R78:AC78" si="75">R589+R588</f>
        <v>0</v>
      </c>
      <c r="S78" s="90">
        <f t="shared" si="75"/>
        <v>0</v>
      </c>
      <c r="T78" s="90">
        <f t="shared" si="75"/>
        <v>0</v>
      </c>
      <c r="U78" s="90">
        <f t="shared" si="75"/>
        <v>0</v>
      </c>
      <c r="V78" s="90">
        <f t="shared" si="75"/>
        <v>0</v>
      </c>
      <c r="W78" s="90">
        <f t="shared" si="75"/>
        <v>0</v>
      </c>
      <c r="X78" s="90">
        <f t="shared" si="75"/>
        <v>0</v>
      </c>
      <c r="Y78" s="90">
        <f t="shared" si="75"/>
        <v>0</v>
      </c>
      <c r="Z78" s="90">
        <f t="shared" si="75"/>
        <v>0</v>
      </c>
      <c r="AA78" s="90">
        <f t="shared" si="75"/>
        <v>0</v>
      </c>
      <c r="AB78" s="90">
        <f t="shared" si="75"/>
        <v>0</v>
      </c>
      <c r="AC78" s="90">
        <f t="shared" si="75"/>
        <v>0</v>
      </c>
      <c r="AG78" s="5" t="b">
        <v>0</v>
      </c>
    </row>
    <row r="79" spans="1:33">
      <c r="A79" s="5" t="str">
        <f>A591</f>
        <v>Amortization   -  Intangibles (from operating sheet)</v>
      </c>
      <c r="C79" s="89"/>
      <c r="D79" s="90"/>
      <c r="E79" s="90">
        <f t="shared" ref="E79:AC79" si="76">E948</f>
        <v>0</v>
      </c>
      <c r="F79" s="90">
        <f t="shared" si="76"/>
        <v>0</v>
      </c>
      <c r="G79" s="90">
        <f t="shared" si="76"/>
        <v>0</v>
      </c>
      <c r="H79" s="91">
        <f t="shared" si="76"/>
        <v>0</v>
      </c>
      <c r="I79" s="90">
        <f t="shared" si="76"/>
        <v>0</v>
      </c>
      <c r="J79" s="90">
        <f t="shared" si="76"/>
        <v>0</v>
      </c>
      <c r="K79" s="90">
        <f t="shared" si="76"/>
        <v>0</v>
      </c>
      <c r="L79" s="90">
        <f t="shared" si="76"/>
        <v>0</v>
      </c>
      <c r="M79" s="90">
        <f t="shared" si="76"/>
        <v>0</v>
      </c>
      <c r="N79" s="90">
        <f t="shared" si="76"/>
        <v>0</v>
      </c>
      <c r="O79" s="90">
        <f t="shared" si="76"/>
        <v>0</v>
      </c>
      <c r="P79" s="90">
        <f t="shared" si="76"/>
        <v>0</v>
      </c>
      <c r="Q79" s="90">
        <f t="shared" si="76"/>
        <v>0</v>
      </c>
      <c r="R79" s="90">
        <f t="shared" si="76"/>
        <v>0</v>
      </c>
      <c r="S79" s="90">
        <f t="shared" si="76"/>
        <v>0</v>
      </c>
      <c r="T79" s="90">
        <f t="shared" si="76"/>
        <v>0</v>
      </c>
      <c r="U79" s="90">
        <f t="shared" si="76"/>
        <v>0</v>
      </c>
      <c r="V79" s="90">
        <f t="shared" si="76"/>
        <v>0</v>
      </c>
      <c r="W79" s="90">
        <f t="shared" si="76"/>
        <v>0</v>
      </c>
      <c r="X79" s="90">
        <f t="shared" si="76"/>
        <v>0</v>
      </c>
      <c r="Y79" s="90">
        <f t="shared" si="76"/>
        <v>0</v>
      </c>
      <c r="Z79" s="90">
        <f t="shared" si="76"/>
        <v>0</v>
      </c>
      <c r="AA79" s="90">
        <f t="shared" si="76"/>
        <v>0</v>
      </c>
      <c r="AB79" s="90">
        <f t="shared" si="76"/>
        <v>0</v>
      </c>
      <c r="AC79" s="90">
        <f t="shared" si="76"/>
        <v>0</v>
      </c>
      <c r="AG79" s="5" t="b">
        <v>0</v>
      </c>
    </row>
    <row r="80" spans="1:33">
      <c r="A80" s="74" t="s">
        <v>658</v>
      </c>
      <c r="B80" s="74"/>
      <c r="C80" s="89"/>
      <c r="H80" s="95"/>
      <c r="I80" s="5">
        <f t="shared" ref="I80:R80" si="77">I501+I632</f>
        <v>0</v>
      </c>
      <c r="J80" s="5">
        <f t="shared" si="77"/>
        <v>0</v>
      </c>
      <c r="K80" s="5">
        <f t="shared" si="77"/>
        <v>0</v>
      </c>
      <c r="L80" s="5">
        <f t="shared" si="77"/>
        <v>0</v>
      </c>
      <c r="M80" s="5">
        <f t="shared" si="77"/>
        <v>0</v>
      </c>
      <c r="N80" s="5">
        <f t="shared" si="77"/>
        <v>0</v>
      </c>
      <c r="O80" s="5">
        <f t="shared" si="77"/>
        <v>0</v>
      </c>
      <c r="P80" s="5">
        <f t="shared" si="77"/>
        <v>0</v>
      </c>
      <c r="Q80" s="5">
        <f t="shared" si="77"/>
        <v>0</v>
      </c>
      <c r="R80" s="5">
        <f t="shared" si="77"/>
        <v>0</v>
      </c>
      <c r="S80" s="5">
        <f t="shared" ref="S80:AC80" si="78">S501+S632</f>
        <v>0</v>
      </c>
      <c r="T80" s="5">
        <f t="shared" si="78"/>
        <v>0</v>
      </c>
      <c r="U80" s="5">
        <f t="shared" si="78"/>
        <v>0</v>
      </c>
      <c r="V80" s="5">
        <f t="shared" si="78"/>
        <v>0</v>
      </c>
      <c r="W80" s="5">
        <f t="shared" si="78"/>
        <v>0</v>
      </c>
      <c r="X80" s="5">
        <f t="shared" si="78"/>
        <v>0</v>
      </c>
      <c r="Y80" s="5">
        <f t="shared" si="78"/>
        <v>0</v>
      </c>
      <c r="Z80" s="5">
        <f t="shared" si="78"/>
        <v>0</v>
      </c>
      <c r="AA80" s="5">
        <f t="shared" si="78"/>
        <v>0</v>
      </c>
      <c r="AB80" s="5">
        <f t="shared" si="78"/>
        <v>0</v>
      </c>
      <c r="AC80" s="5">
        <f t="shared" si="78"/>
        <v>0</v>
      </c>
    </row>
    <row r="81" spans="1:33">
      <c r="A81" s="83" t="s">
        <v>659</v>
      </c>
      <c r="B81" s="74"/>
      <c r="C81" s="89"/>
      <c r="E81" s="168">
        <f t="shared" ref="E81:N81" si="79">SUM(E76:E80)</f>
        <v>0</v>
      </c>
      <c r="F81" s="168">
        <f t="shared" si="79"/>
        <v>0</v>
      </c>
      <c r="G81" s="168">
        <f t="shared" si="79"/>
        <v>0</v>
      </c>
      <c r="H81" s="385">
        <f t="shared" si="79"/>
        <v>0</v>
      </c>
      <c r="I81" s="168">
        <f t="shared" ca="1" si="79"/>
        <v>0</v>
      </c>
      <c r="J81" s="168">
        <f t="shared" ca="1" si="79"/>
        <v>0</v>
      </c>
      <c r="K81" s="168">
        <f t="shared" si="79"/>
        <v>0</v>
      </c>
      <c r="L81" s="168">
        <f t="shared" si="79"/>
        <v>0</v>
      </c>
      <c r="M81" s="168">
        <f t="shared" si="79"/>
        <v>0</v>
      </c>
      <c r="N81" s="168">
        <f t="shared" si="79"/>
        <v>0</v>
      </c>
      <c r="O81" s="168">
        <f t="shared" ref="O81:AC81" si="80">SUM(O76:O80)</f>
        <v>4.3794061069212393</v>
      </c>
      <c r="P81" s="168">
        <f t="shared" ca="1" si="80"/>
        <v>4.7347913013252478</v>
      </c>
      <c r="Q81" s="168">
        <f t="shared" ca="1" si="80"/>
        <v>7.1018340606587129</v>
      </c>
      <c r="R81" s="168">
        <f t="shared" si="80"/>
        <v>6.0602935036541092</v>
      </c>
      <c r="S81" s="168">
        <f t="shared" ca="1" si="80"/>
        <v>5.134621601663329</v>
      </c>
      <c r="T81" s="168">
        <f t="shared" si="80"/>
        <v>4.3136934004570406</v>
      </c>
      <c r="U81" s="168">
        <f t="shared" si="80"/>
        <v>3.6160470859451221</v>
      </c>
      <c r="V81" s="168">
        <f t="shared" si="80"/>
        <v>2.9690276563928304</v>
      </c>
      <c r="W81" s="168">
        <f t="shared" si="80"/>
        <v>2.4348443565521936</v>
      </c>
      <c r="X81" s="168">
        <f t="shared" si="80"/>
        <v>1.9752031273747968</v>
      </c>
      <c r="Y81" s="168">
        <f t="shared" si="80"/>
        <v>1.556639308963266</v>
      </c>
      <c r="Z81" s="168">
        <f t="shared" si="80"/>
        <v>1.1435136510314272</v>
      </c>
      <c r="AA81" s="168">
        <f t="shared" si="80"/>
        <v>0.87442728015961602</v>
      </c>
      <c r="AB81" s="168">
        <f t="shared" si="80"/>
        <v>0.67267199847163439</v>
      </c>
      <c r="AC81" s="168">
        <f t="shared" si="80"/>
        <v>0.5559855604294327</v>
      </c>
    </row>
    <row r="82" spans="1:33">
      <c r="A82" s="83"/>
      <c r="B82" s="74"/>
      <c r="C82" s="89"/>
      <c r="E82" s="69"/>
      <c r="F82" s="69"/>
      <c r="G82" s="69"/>
      <c r="H82" s="9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G82" s="5" t="b">
        <v>0</v>
      </c>
    </row>
    <row r="83" spans="1:33">
      <c r="A83" s="70" t="s">
        <v>619</v>
      </c>
      <c r="C83" s="89"/>
      <c r="D83" s="90"/>
      <c r="E83" s="92">
        <f t="shared" ref="E83:N83" si="81">E74-E81</f>
        <v>0</v>
      </c>
      <c r="F83" s="92">
        <f t="shared" si="81"/>
        <v>0</v>
      </c>
      <c r="G83" s="92">
        <f t="shared" si="81"/>
        <v>0</v>
      </c>
      <c r="H83" s="93">
        <f t="shared" si="81"/>
        <v>0</v>
      </c>
      <c r="I83" s="92">
        <f t="shared" ca="1" si="81"/>
        <v>-478.40582972216873</v>
      </c>
      <c r="J83" s="92">
        <f t="shared" ca="1" si="81"/>
        <v>6122.2028984646931</v>
      </c>
      <c r="K83" s="92">
        <f t="shared" ca="1" si="81"/>
        <v>4875.5759276883218</v>
      </c>
      <c r="L83" s="92">
        <f t="shared" ca="1" si="81"/>
        <v>4482.4191769391346</v>
      </c>
      <c r="M83" s="92">
        <f t="shared" ca="1" si="81"/>
        <v>4159.3653845045455</v>
      </c>
      <c r="N83" s="92">
        <f t="shared" ca="1" si="81"/>
        <v>3750.0394139646587</v>
      </c>
      <c r="O83" s="92">
        <f t="shared" ref="O83:AC83" ca="1" si="82">O74-O81</f>
        <v>3256.5783151782944</v>
      </c>
      <c r="P83" s="92">
        <f t="shared" ca="1" si="82"/>
        <v>2787.3048450071051</v>
      </c>
      <c r="Q83" s="92">
        <f t="shared" ca="1" si="82"/>
        <v>2418.0160318305366</v>
      </c>
      <c r="R83" s="92">
        <f t="shared" ca="1" si="82"/>
        <v>2091.411487879373</v>
      </c>
      <c r="S83" s="92">
        <f t="shared" ca="1" si="82"/>
        <v>1834.0815988219317</v>
      </c>
      <c r="T83" s="92">
        <f t="shared" ca="1" si="82"/>
        <v>1595.4188357404355</v>
      </c>
      <c r="U83" s="92">
        <f t="shared" ca="1" si="82"/>
        <v>1395.7675484349588</v>
      </c>
      <c r="V83" s="92">
        <f t="shared" ca="1" si="82"/>
        <v>1201.0002727152746</v>
      </c>
      <c r="W83" s="92">
        <f t="shared" ca="1" si="82"/>
        <v>1053.7122748844217</v>
      </c>
      <c r="X83" s="92">
        <f t="shared" ca="1" si="82"/>
        <v>901.51024369318623</v>
      </c>
      <c r="Y83" s="92">
        <f t="shared" ca="1" si="82"/>
        <v>764.01746093342479</v>
      </c>
      <c r="Z83" s="92">
        <f t="shared" ca="1" si="82"/>
        <v>597.86108012877241</v>
      </c>
      <c r="AA83" s="92">
        <f t="shared" ca="1" si="82"/>
        <v>484.27667042900197</v>
      </c>
      <c r="AB83" s="92">
        <f t="shared" ca="1" si="82"/>
        <v>394.53153198441407</v>
      </c>
      <c r="AC83" s="92">
        <f t="shared" ca="1" si="82"/>
        <v>345.03927768276378</v>
      </c>
      <c r="AG83" s="5" t="b">
        <v>0</v>
      </c>
    </row>
    <row r="84" spans="1:33">
      <c r="C84" s="89"/>
      <c r="D84" s="90"/>
      <c r="E84" s="90"/>
      <c r="F84" s="90"/>
      <c r="G84" s="90"/>
      <c r="H84" s="94"/>
      <c r="I84" s="90"/>
      <c r="J84" s="702"/>
      <c r="K84" s="702"/>
      <c r="L84" s="702"/>
      <c r="M84" s="702"/>
      <c r="N84" s="702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</row>
    <row r="85" spans="1:33">
      <c r="A85" s="70" t="s">
        <v>660</v>
      </c>
      <c r="C85" s="89"/>
      <c r="D85" s="90"/>
      <c r="E85" s="90"/>
      <c r="F85" s="90"/>
      <c r="G85" s="90"/>
      <c r="H85" s="94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G85" s="5" t="b">
        <v>0</v>
      </c>
    </row>
    <row r="86" spans="1:33">
      <c r="A86" s="74" t="s">
        <v>661</v>
      </c>
      <c r="C86"/>
      <c r="D86" s="89"/>
      <c r="E86" s="90">
        <f>E575</f>
        <v>0</v>
      </c>
      <c r="F86" s="90">
        <f>F575</f>
        <v>184.62299999999999</v>
      </c>
      <c r="G86" s="90">
        <f>G575</f>
        <v>134.18</v>
      </c>
      <c r="H86" s="94">
        <f>H575</f>
        <v>40.478999999999999</v>
      </c>
      <c r="I86" s="90">
        <f ca="1">IF($E$574="YES",I575*(((I162-H450)+(I168-I450))/2),0)*C328</f>
        <v>0</v>
      </c>
      <c r="J86" s="90">
        <f t="shared" ref="J86:Y86" ca="1" si="83">IF($E$574="YES",J575*(((J162-I450)+(J168-J450))/2),0)</f>
        <v>143.45201208366356</v>
      </c>
      <c r="K86" s="90">
        <f t="shared" ca="1" si="83"/>
        <v>398.19744737726029</v>
      </c>
      <c r="L86" s="90">
        <f t="shared" ca="1" si="83"/>
        <v>610.44357244650655</v>
      </c>
      <c r="M86" s="90">
        <f t="shared" ca="1" si="83"/>
        <v>810.17035402205659</v>
      </c>
      <c r="N86" s="90">
        <f t="shared" ca="1" si="83"/>
        <v>1002.9207593792585</v>
      </c>
      <c r="O86" s="90">
        <f t="shared" ca="1" si="83"/>
        <v>1183.6009766006505</v>
      </c>
      <c r="P86" s="90">
        <f t="shared" ca="1" si="83"/>
        <v>1351.5560642357884</v>
      </c>
      <c r="Q86" s="90">
        <f t="shared" ca="1" si="83"/>
        <v>1510.0881050169892</v>
      </c>
      <c r="R86" s="90">
        <f t="shared" ca="1" si="83"/>
        <v>1661.7079216346845</v>
      </c>
      <c r="S86" s="90">
        <f t="shared" ca="1" si="83"/>
        <v>1796.0728067580001</v>
      </c>
      <c r="T86" s="90">
        <f t="shared" ca="1" si="83"/>
        <v>1914.11385166735</v>
      </c>
      <c r="U86" s="90">
        <f t="shared" ca="1" si="83"/>
        <v>2028.7234865998123</v>
      </c>
      <c r="V86" s="90">
        <f t="shared" ca="1" si="83"/>
        <v>2140.52742251779</v>
      </c>
      <c r="W86" s="90">
        <f t="shared" ca="1" si="83"/>
        <v>2250.3141625064077</v>
      </c>
      <c r="X86" s="90">
        <f t="shared" ca="1" si="83"/>
        <v>2358.73489469384</v>
      </c>
      <c r="Y86" s="90">
        <f t="shared" ca="1" si="83"/>
        <v>2465.9110560686695</v>
      </c>
      <c r="Z86" s="90">
        <f ca="1">IF($E$574="YES",Z575*(((Z162-Y450)+(Z168-Z450))/2),0)</f>
        <v>2571.5679595783718</v>
      </c>
      <c r="AA86" s="90">
        <f ca="1">IF($E$574="YES",AA575*(((AA162-Z450)+(AA168-AA450))/2),0)</f>
        <v>2676.0595346404657</v>
      </c>
      <c r="AB86" s="90">
        <f ca="1">IF($E$574="YES",AB575*(((AB162-AA450)+(AB168-AB450))/2),0)</f>
        <v>2780.6339906292019</v>
      </c>
      <c r="AC86" s="90">
        <f ca="1">IF($E$574="YES",AC575*(((AC162-AB450)+(AC168-AC450))/2),0)</f>
        <v>2886.3732448124715</v>
      </c>
    </row>
    <row r="87" spans="1:33">
      <c r="A87" s="5" t="str">
        <f>A596</f>
        <v>Other Income (excluding interest income)</v>
      </c>
      <c r="C87"/>
      <c r="E87" s="5">
        <f t="shared" ref="E87:AC87" si="84">E596</f>
        <v>0</v>
      </c>
      <c r="F87" s="5">
        <f t="shared" si="84"/>
        <v>0</v>
      </c>
      <c r="G87" s="5">
        <f t="shared" si="84"/>
        <v>0</v>
      </c>
      <c r="H87" s="95">
        <f t="shared" si="84"/>
        <v>0</v>
      </c>
      <c r="I87" s="5">
        <f t="shared" si="84"/>
        <v>0</v>
      </c>
      <c r="J87" s="5">
        <f t="shared" si="84"/>
        <v>0</v>
      </c>
      <c r="K87" s="5">
        <f t="shared" si="84"/>
        <v>0</v>
      </c>
      <c r="L87" s="5">
        <f t="shared" si="84"/>
        <v>0</v>
      </c>
      <c r="M87" s="5">
        <f t="shared" si="84"/>
        <v>0</v>
      </c>
      <c r="N87" s="5">
        <f t="shared" si="84"/>
        <v>0</v>
      </c>
      <c r="O87" s="5">
        <f t="shared" si="84"/>
        <v>0</v>
      </c>
      <c r="P87" s="5">
        <f t="shared" si="84"/>
        <v>0</v>
      </c>
      <c r="Q87" s="5">
        <f t="shared" si="84"/>
        <v>0</v>
      </c>
      <c r="R87" s="5">
        <f t="shared" si="84"/>
        <v>0</v>
      </c>
      <c r="S87" s="5">
        <f t="shared" si="84"/>
        <v>0</v>
      </c>
      <c r="T87" s="5">
        <f t="shared" si="84"/>
        <v>0</v>
      </c>
      <c r="U87" s="5">
        <f t="shared" si="84"/>
        <v>0</v>
      </c>
      <c r="V87" s="5">
        <f t="shared" si="84"/>
        <v>0</v>
      </c>
      <c r="W87" s="5">
        <f t="shared" si="84"/>
        <v>0</v>
      </c>
      <c r="X87" s="5">
        <f t="shared" si="84"/>
        <v>0</v>
      </c>
      <c r="Y87" s="5">
        <f t="shared" si="84"/>
        <v>0</v>
      </c>
      <c r="Z87" s="5">
        <f t="shared" si="84"/>
        <v>0</v>
      </c>
      <c r="AA87" s="5">
        <f t="shared" si="84"/>
        <v>0</v>
      </c>
      <c r="AB87" s="5">
        <f t="shared" si="84"/>
        <v>0</v>
      </c>
      <c r="AC87" s="5">
        <f t="shared" si="84"/>
        <v>0</v>
      </c>
    </row>
    <row r="88" spans="1:33">
      <c r="A88" s="74" t="s">
        <v>662</v>
      </c>
      <c r="C88"/>
      <c r="H88" s="95"/>
      <c r="I88" s="5">
        <f ca="1">-(IF(I483-I236&lt;=0,0,I562*(I483-I236))+I563)*C328</f>
        <v>0</v>
      </c>
      <c r="J88" s="5">
        <f t="shared" ref="J88:Y88" ca="1" si="85">-(IF(J483-J236&lt;=0,0,J562*(J483-J236))+J563)</f>
        <v>0</v>
      </c>
      <c r="K88" s="5">
        <f t="shared" ca="1" si="85"/>
        <v>0</v>
      </c>
      <c r="L88" s="5">
        <f t="shared" ca="1" si="85"/>
        <v>0</v>
      </c>
      <c r="M88" s="5">
        <f t="shared" ca="1" si="85"/>
        <v>0</v>
      </c>
      <c r="N88" s="5">
        <f t="shared" ca="1" si="85"/>
        <v>0</v>
      </c>
      <c r="O88" s="5">
        <f t="shared" ca="1" si="85"/>
        <v>0</v>
      </c>
      <c r="P88" s="5">
        <f t="shared" ca="1" si="85"/>
        <v>0</v>
      </c>
      <c r="Q88" s="5">
        <f t="shared" ca="1" si="85"/>
        <v>0</v>
      </c>
      <c r="R88" s="5">
        <f t="shared" ca="1" si="85"/>
        <v>0</v>
      </c>
      <c r="S88" s="5">
        <f t="shared" ca="1" si="85"/>
        <v>0</v>
      </c>
      <c r="T88" s="5">
        <f t="shared" ca="1" si="85"/>
        <v>0</v>
      </c>
      <c r="U88" s="5">
        <f t="shared" ca="1" si="85"/>
        <v>0</v>
      </c>
      <c r="V88" s="5">
        <f t="shared" ca="1" si="85"/>
        <v>0</v>
      </c>
      <c r="W88" s="5">
        <f t="shared" ca="1" si="85"/>
        <v>0</v>
      </c>
      <c r="X88" s="5">
        <f t="shared" ca="1" si="85"/>
        <v>0</v>
      </c>
      <c r="Y88" s="5">
        <f t="shared" ca="1" si="85"/>
        <v>0</v>
      </c>
      <c r="Z88" s="5">
        <f ca="1">-(IF(Z483-Z236&lt;=0,0,Z562*(Z483-Z236))+Z563)</f>
        <v>0</v>
      </c>
      <c r="AA88" s="5">
        <f ca="1">-(IF(AA483-AA236&lt;=0,0,AA562*(AA483-AA236))+AA563)</f>
        <v>0</v>
      </c>
      <c r="AB88" s="5">
        <f ca="1">-(IF(AB483-AB236&lt;=0,0,AB562*(AB483-AB236))+AB563)</f>
        <v>0</v>
      </c>
      <c r="AC88" s="5">
        <f ca="1">-(IF(AC483-AC236&lt;=0,0,AC562*(AC483-AC236))+AC563)</f>
        <v>0</v>
      </c>
    </row>
    <row r="89" spans="1:33">
      <c r="A89" s="70" t="s">
        <v>663</v>
      </c>
      <c r="C89"/>
      <c r="E89" s="50">
        <f t="shared" ref="E89:N89" si="86">SUM(E86:E88)</f>
        <v>0</v>
      </c>
      <c r="F89" s="50">
        <f t="shared" si="86"/>
        <v>184.62299999999999</v>
      </c>
      <c r="G89" s="50">
        <f t="shared" si="86"/>
        <v>134.18</v>
      </c>
      <c r="H89" s="97">
        <f t="shared" si="86"/>
        <v>40.478999999999999</v>
      </c>
      <c r="I89" s="50">
        <f t="shared" ca="1" si="86"/>
        <v>0</v>
      </c>
      <c r="J89" s="50">
        <f t="shared" ca="1" si="86"/>
        <v>143.45201208366356</v>
      </c>
      <c r="K89" s="50">
        <f t="shared" ca="1" si="86"/>
        <v>398.19744737726029</v>
      </c>
      <c r="L89" s="50">
        <f t="shared" ca="1" si="86"/>
        <v>610.44357244650655</v>
      </c>
      <c r="M89" s="50">
        <f t="shared" ca="1" si="86"/>
        <v>810.17035402205659</v>
      </c>
      <c r="N89" s="50">
        <f t="shared" ca="1" si="86"/>
        <v>1002.9207593792585</v>
      </c>
      <c r="O89" s="50">
        <f t="shared" ref="O89:AC89" ca="1" si="87">SUM(O86:O88)</f>
        <v>1183.6009766006505</v>
      </c>
      <c r="P89" s="50">
        <f t="shared" ca="1" si="87"/>
        <v>1351.5560642357884</v>
      </c>
      <c r="Q89" s="50">
        <f t="shared" ca="1" si="87"/>
        <v>1510.0881050169892</v>
      </c>
      <c r="R89" s="50">
        <f t="shared" ca="1" si="87"/>
        <v>1661.7079216346845</v>
      </c>
      <c r="S89" s="50">
        <f t="shared" ca="1" si="87"/>
        <v>1796.0728067580001</v>
      </c>
      <c r="T89" s="50">
        <f t="shared" ca="1" si="87"/>
        <v>1914.11385166735</v>
      </c>
      <c r="U89" s="50">
        <f t="shared" ca="1" si="87"/>
        <v>2028.7234865998123</v>
      </c>
      <c r="V89" s="50">
        <f t="shared" ca="1" si="87"/>
        <v>2140.52742251779</v>
      </c>
      <c r="W89" s="50">
        <f t="shared" ca="1" si="87"/>
        <v>2250.3141625064077</v>
      </c>
      <c r="X89" s="50">
        <f t="shared" ca="1" si="87"/>
        <v>2358.73489469384</v>
      </c>
      <c r="Y89" s="50">
        <f t="shared" ca="1" si="87"/>
        <v>2465.9110560686695</v>
      </c>
      <c r="Z89" s="50">
        <f t="shared" ca="1" si="87"/>
        <v>2571.5679595783718</v>
      </c>
      <c r="AA89" s="50">
        <f t="shared" ca="1" si="87"/>
        <v>2676.0595346404657</v>
      </c>
      <c r="AB89" s="50">
        <f t="shared" ca="1" si="87"/>
        <v>2780.6339906292019</v>
      </c>
      <c r="AC89" s="50">
        <f t="shared" ca="1" si="87"/>
        <v>2886.3732448124715</v>
      </c>
    </row>
    <row r="90" spans="1:33">
      <c r="H90" s="95"/>
      <c r="AD90"/>
      <c r="AE90"/>
      <c r="AF90"/>
      <c r="AG90"/>
    </row>
    <row r="91" spans="1:33">
      <c r="A91" s="70" t="s">
        <v>664</v>
      </c>
      <c r="C91" s="55"/>
      <c r="D91" s="90"/>
      <c r="E91" s="90"/>
      <c r="F91" s="90"/>
      <c r="G91" s="90"/>
      <c r="H91" s="98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</row>
    <row r="92" spans="1:33">
      <c r="A92" s="74" t="s">
        <v>665</v>
      </c>
      <c r="D92" s="89"/>
      <c r="E92" s="90">
        <f>E555+E554</f>
        <v>0</v>
      </c>
      <c r="F92" s="90">
        <f>F555+F554</f>
        <v>0</v>
      </c>
      <c r="G92" s="90">
        <f>G555+G554</f>
        <v>0</v>
      </c>
      <c r="H92" s="94">
        <f>H555+H554</f>
        <v>0</v>
      </c>
      <c r="I92" s="90">
        <f ca="1">(I554*((I301+I304)/2)+(I554*(I295+I298)/2)+I555*((I307+I310)/2))*C328</f>
        <v>0</v>
      </c>
      <c r="J92" s="90">
        <f t="shared" ref="J92:S92" si="88">(J554*((J301+J304)/2)+(J554*(J295+J298)/2)+J555*((J307+J310)/2))</f>
        <v>0</v>
      </c>
      <c r="K92" s="90">
        <f t="shared" si="88"/>
        <v>0</v>
      </c>
      <c r="L92" s="90">
        <f t="shared" si="88"/>
        <v>0</v>
      </c>
      <c r="M92" s="90">
        <f t="shared" si="88"/>
        <v>0</v>
      </c>
      <c r="N92" s="90">
        <f t="shared" si="88"/>
        <v>0</v>
      </c>
      <c r="O92" s="90">
        <f t="shared" si="88"/>
        <v>0</v>
      </c>
      <c r="P92" s="90">
        <f t="shared" si="88"/>
        <v>0</v>
      </c>
      <c r="Q92" s="90">
        <f t="shared" si="88"/>
        <v>0</v>
      </c>
      <c r="R92" s="90">
        <f t="shared" si="88"/>
        <v>0</v>
      </c>
      <c r="S92" s="90">
        <f t="shared" si="88"/>
        <v>0</v>
      </c>
      <c r="T92" s="90">
        <f t="shared" ref="T92:AC92" si="89">(T554*((T301+T304)/2)+(T554*(T295+T298)/2)+T555*((T307+T310)/2))</f>
        <v>0</v>
      </c>
      <c r="U92" s="90">
        <f t="shared" si="89"/>
        <v>0</v>
      </c>
      <c r="V92" s="90">
        <f t="shared" si="89"/>
        <v>0</v>
      </c>
      <c r="W92" s="90">
        <f t="shared" si="89"/>
        <v>0</v>
      </c>
      <c r="X92" s="90">
        <f t="shared" si="89"/>
        <v>0</v>
      </c>
      <c r="Y92" s="90">
        <f t="shared" si="89"/>
        <v>0</v>
      </c>
      <c r="Z92" s="90">
        <f t="shared" si="89"/>
        <v>0</v>
      </c>
      <c r="AA92" s="90">
        <f t="shared" si="89"/>
        <v>0</v>
      </c>
      <c r="AB92" s="90">
        <f t="shared" si="89"/>
        <v>0</v>
      </c>
      <c r="AC92" s="90">
        <f t="shared" si="89"/>
        <v>0</v>
      </c>
    </row>
    <row r="93" spans="1:33">
      <c r="A93" s="74" t="str">
        <f>B337&amp;" and "&amp;B338</f>
        <v>Revolving Loan and Term Loan</v>
      </c>
      <c r="D93" s="89"/>
      <c r="E93" s="90"/>
      <c r="F93" s="90"/>
      <c r="G93" s="90"/>
      <c r="H93" s="94"/>
      <c r="I93" s="90">
        <f t="shared" ref="I93:X93" ca="1" si="90">((((I224+I227)/2)*I559)+(((I230+I236)/2)*I560)+(((I241+I245)/2)*I561)+(I491*I560))</f>
        <v>22.718516003905837</v>
      </c>
      <c r="J93" s="90">
        <f t="shared" ca="1" si="90"/>
        <v>22.718516003905837</v>
      </c>
      <c r="K93" s="90">
        <f t="shared" ca="1" si="90"/>
        <v>0</v>
      </c>
      <c r="L93" s="90">
        <f t="shared" ca="1" si="90"/>
        <v>0</v>
      </c>
      <c r="M93" s="90">
        <f t="shared" ca="1" si="90"/>
        <v>0</v>
      </c>
      <c r="N93" s="90">
        <f t="shared" ca="1" si="90"/>
        <v>0</v>
      </c>
      <c r="O93" s="90">
        <f t="shared" ca="1" si="90"/>
        <v>0</v>
      </c>
      <c r="P93" s="90">
        <f t="shared" ca="1" si="90"/>
        <v>0</v>
      </c>
      <c r="Q93" s="90">
        <f t="shared" ca="1" si="90"/>
        <v>0</v>
      </c>
      <c r="R93" s="90">
        <f t="shared" ca="1" si="90"/>
        <v>0</v>
      </c>
      <c r="S93" s="90">
        <f t="shared" ca="1" si="90"/>
        <v>0</v>
      </c>
      <c r="T93" s="90">
        <f t="shared" ca="1" si="90"/>
        <v>0</v>
      </c>
      <c r="U93" s="90">
        <f t="shared" ca="1" si="90"/>
        <v>0</v>
      </c>
      <c r="V93" s="90">
        <f t="shared" ca="1" si="90"/>
        <v>0</v>
      </c>
      <c r="W93" s="90">
        <f t="shared" ca="1" si="90"/>
        <v>0</v>
      </c>
      <c r="X93" s="90">
        <f t="shared" ca="1" si="90"/>
        <v>0</v>
      </c>
      <c r="Y93" s="90">
        <f ca="1">((((Y224+Y227)/2)*Y559)+(((Y230+Y236)/2)*Y560)+(((Y241+Y245)/2)*Y561)+(Y491*Y560))</f>
        <v>0</v>
      </c>
      <c r="Z93" s="90">
        <f ca="1">((((Z224+Z227)/2)*Z559)+(((Z230+Z236)/2)*Z560)+(((Z241+Z245)/2)*Z561)+(Z491*Z560))</f>
        <v>0</v>
      </c>
      <c r="AA93" s="90">
        <f ca="1">((((AA224+AA227)/2)*AA559)+(((AA230+AA236)/2)*AA560)+(((AA241+AA245)/2)*AA561)+(AA491*AA560))</f>
        <v>0</v>
      </c>
      <c r="AB93" s="90">
        <f ca="1">((((AB224+AB227)/2)*AB559)+(((AB230+AB236)/2)*AB560)+(((AB241+AB245)/2)*AB561)+(AB491*AB560))</f>
        <v>0</v>
      </c>
      <c r="AC93" s="90">
        <f ca="1">((((AC224+AC227)/2)*AC559)+(((AC230+AC236)/2)*AC560)+(((AC241+AC245)/2)*AC561)+(AC491*AC560))</f>
        <v>0</v>
      </c>
    </row>
    <row r="94" spans="1:33">
      <c r="A94" s="5" t="str">
        <f>B340</f>
        <v>ESOP Notes</v>
      </c>
      <c r="H94" s="95"/>
      <c r="I94" s="5">
        <f ca="1">(I565*(I256+I259)/2)*C328</f>
        <v>0</v>
      </c>
      <c r="J94" s="5">
        <f t="shared" ref="J94:S94" si="91">J565*(J256+J259)/2</f>
        <v>0</v>
      </c>
      <c r="K94" s="5">
        <f t="shared" si="91"/>
        <v>0</v>
      </c>
      <c r="L94" s="5">
        <f t="shared" si="91"/>
        <v>0</v>
      </c>
      <c r="M94" s="5">
        <f t="shared" si="91"/>
        <v>0</v>
      </c>
      <c r="N94" s="5">
        <f t="shared" si="91"/>
        <v>0</v>
      </c>
      <c r="O94" s="5">
        <f t="shared" si="91"/>
        <v>0</v>
      </c>
      <c r="P94" s="5">
        <f t="shared" si="91"/>
        <v>0</v>
      </c>
      <c r="Q94" s="5">
        <f t="shared" si="91"/>
        <v>0</v>
      </c>
      <c r="R94" s="5">
        <f t="shared" si="91"/>
        <v>0</v>
      </c>
      <c r="S94" s="5">
        <f t="shared" si="91"/>
        <v>0</v>
      </c>
      <c r="T94" s="5">
        <f t="shared" ref="T94:AC94" si="92">T565*(T256+T259)/2</f>
        <v>0</v>
      </c>
      <c r="U94" s="5">
        <f t="shared" si="92"/>
        <v>0</v>
      </c>
      <c r="V94" s="5">
        <f t="shared" si="92"/>
        <v>0</v>
      </c>
      <c r="W94" s="5">
        <f t="shared" si="92"/>
        <v>0</v>
      </c>
      <c r="X94" s="5">
        <f t="shared" si="92"/>
        <v>0</v>
      </c>
      <c r="Y94" s="5">
        <f t="shared" si="92"/>
        <v>0</v>
      </c>
      <c r="Z94" s="5">
        <f t="shared" si="92"/>
        <v>0</v>
      </c>
      <c r="AA94" s="5">
        <f t="shared" si="92"/>
        <v>0</v>
      </c>
      <c r="AB94" s="5">
        <f t="shared" si="92"/>
        <v>0</v>
      </c>
      <c r="AC94" s="5">
        <f t="shared" si="92"/>
        <v>0</v>
      </c>
    </row>
    <row r="95" spans="1:33">
      <c r="A95" s="5" t="str">
        <f>B341</f>
        <v>Placement 1</v>
      </c>
      <c r="D95" s="89"/>
      <c r="E95" s="90"/>
      <c r="F95" s="90"/>
      <c r="G95" s="90"/>
      <c r="H95" s="94"/>
      <c r="I95" s="90">
        <f ca="1">(I566*I262)*C328</f>
        <v>0</v>
      </c>
      <c r="J95" s="90">
        <f t="shared" ref="J95:S95" si="93">(J566*J262)</f>
        <v>0</v>
      </c>
      <c r="K95" s="90">
        <f t="shared" si="93"/>
        <v>0</v>
      </c>
      <c r="L95" s="90">
        <f t="shared" si="93"/>
        <v>0</v>
      </c>
      <c r="M95" s="90">
        <f t="shared" si="93"/>
        <v>0</v>
      </c>
      <c r="N95" s="90">
        <f t="shared" si="93"/>
        <v>0</v>
      </c>
      <c r="O95" s="90">
        <f t="shared" si="93"/>
        <v>0</v>
      </c>
      <c r="P95" s="90">
        <f t="shared" si="93"/>
        <v>0</v>
      </c>
      <c r="Q95" s="90">
        <f t="shared" si="93"/>
        <v>0</v>
      </c>
      <c r="R95" s="90">
        <f t="shared" si="93"/>
        <v>0</v>
      </c>
      <c r="S95" s="90">
        <f t="shared" si="93"/>
        <v>0</v>
      </c>
      <c r="T95" s="90">
        <f t="shared" ref="T95:AC95" si="94">(T566*T262)</f>
        <v>0</v>
      </c>
      <c r="U95" s="90">
        <f t="shared" si="94"/>
        <v>0</v>
      </c>
      <c r="V95" s="90">
        <f t="shared" si="94"/>
        <v>0</v>
      </c>
      <c r="W95" s="90">
        <f t="shared" si="94"/>
        <v>0</v>
      </c>
      <c r="X95" s="90">
        <f t="shared" si="94"/>
        <v>0</v>
      </c>
      <c r="Y95" s="90">
        <f t="shared" si="94"/>
        <v>0</v>
      </c>
      <c r="Z95" s="90">
        <f t="shared" si="94"/>
        <v>0</v>
      </c>
      <c r="AA95" s="90">
        <f t="shared" si="94"/>
        <v>0</v>
      </c>
      <c r="AB95" s="90">
        <f t="shared" si="94"/>
        <v>0</v>
      </c>
      <c r="AC95" s="90">
        <f t="shared" si="94"/>
        <v>0</v>
      </c>
    </row>
    <row r="96" spans="1:33">
      <c r="A96" s="231" t="str">
        <f>B342</f>
        <v>Placement 2</v>
      </c>
      <c r="D96" s="89"/>
      <c r="E96" s="90"/>
      <c r="F96" s="90"/>
      <c r="G96" s="90"/>
      <c r="H96" s="94"/>
      <c r="I96" s="90">
        <f ca="1">(I268+I271)/2*I567*C328</f>
        <v>0</v>
      </c>
      <c r="J96" s="90">
        <f t="shared" ref="J96:S96" ca="1" si="95">(J268+J271)/2*J567</f>
        <v>0</v>
      </c>
      <c r="K96" s="90">
        <f t="shared" ca="1" si="95"/>
        <v>0</v>
      </c>
      <c r="L96" s="90">
        <f t="shared" ca="1" si="95"/>
        <v>0</v>
      </c>
      <c r="M96" s="90">
        <f t="shared" ca="1" si="95"/>
        <v>0</v>
      </c>
      <c r="N96" s="90">
        <f t="shared" ca="1" si="95"/>
        <v>0</v>
      </c>
      <c r="O96" s="90">
        <f t="shared" ca="1" si="95"/>
        <v>0</v>
      </c>
      <c r="P96" s="90">
        <f t="shared" ca="1" si="95"/>
        <v>0</v>
      </c>
      <c r="Q96" s="90">
        <f t="shared" ca="1" si="95"/>
        <v>0</v>
      </c>
      <c r="R96" s="90">
        <f t="shared" ca="1" si="95"/>
        <v>0</v>
      </c>
      <c r="S96" s="90">
        <f t="shared" ca="1" si="95"/>
        <v>0</v>
      </c>
      <c r="T96" s="90">
        <f t="shared" ref="T96:AC96" ca="1" si="96">(T268+T271)/2*T567</f>
        <v>0</v>
      </c>
      <c r="U96" s="90">
        <f t="shared" ca="1" si="96"/>
        <v>0</v>
      </c>
      <c r="V96" s="90">
        <f t="shared" ca="1" si="96"/>
        <v>0</v>
      </c>
      <c r="W96" s="90">
        <f t="shared" ca="1" si="96"/>
        <v>0</v>
      </c>
      <c r="X96" s="90">
        <f t="shared" ca="1" si="96"/>
        <v>0</v>
      </c>
      <c r="Y96" s="90">
        <f t="shared" ca="1" si="96"/>
        <v>0</v>
      </c>
      <c r="Z96" s="90">
        <f t="shared" ca="1" si="96"/>
        <v>0</v>
      </c>
      <c r="AA96" s="90">
        <f t="shared" ca="1" si="96"/>
        <v>0</v>
      </c>
      <c r="AB96" s="90">
        <f t="shared" ca="1" si="96"/>
        <v>0</v>
      </c>
      <c r="AC96" s="90">
        <f t="shared" ca="1" si="96"/>
        <v>0</v>
      </c>
    </row>
    <row r="97" spans="1:33">
      <c r="A97" s="5" t="str">
        <f>B343</f>
        <v>Sr Sub Notes</v>
      </c>
      <c r="D97" s="89"/>
      <c r="E97" s="90"/>
      <c r="F97" s="90"/>
      <c r="G97" s="90"/>
      <c r="H97" s="94"/>
      <c r="I97" s="90">
        <f ca="1">IF(I516="YES",IF($I$517="YES",-I519+((I568-I518)*I276*C328),0),I568*I276*C328)</f>
        <v>0</v>
      </c>
      <c r="J97" s="90">
        <f t="shared" ref="J97:S97" ca="1" si="97">IF(J516="YES",IF($I$517="YES",-J519+((J568-J518)*J276),0),J568*J276)</f>
        <v>0</v>
      </c>
      <c r="K97" s="90">
        <f t="shared" ca="1" si="97"/>
        <v>0</v>
      </c>
      <c r="L97" s="90">
        <f t="shared" ca="1" si="97"/>
        <v>0</v>
      </c>
      <c r="M97" s="90">
        <f t="shared" ca="1" si="97"/>
        <v>0</v>
      </c>
      <c r="N97" s="90">
        <f t="shared" ca="1" si="97"/>
        <v>0</v>
      </c>
      <c r="O97" s="90">
        <f t="shared" ca="1" si="97"/>
        <v>0</v>
      </c>
      <c r="P97" s="90">
        <f t="shared" ca="1" si="97"/>
        <v>0</v>
      </c>
      <c r="Q97" s="90">
        <f t="shared" ca="1" si="97"/>
        <v>0</v>
      </c>
      <c r="R97" s="90">
        <f t="shared" ca="1" si="97"/>
        <v>0</v>
      </c>
      <c r="S97" s="90">
        <f t="shared" ca="1" si="97"/>
        <v>0</v>
      </c>
      <c r="T97" s="90">
        <f t="shared" ref="T97:AC97" ca="1" si="98">IF(T516="YES",IF($I$517="YES",-T519+((T568-T518)*T276),0),T568*T276)</f>
        <v>0</v>
      </c>
      <c r="U97" s="90">
        <f t="shared" ca="1" si="98"/>
        <v>0</v>
      </c>
      <c r="V97" s="90">
        <f t="shared" ca="1" si="98"/>
        <v>0</v>
      </c>
      <c r="W97" s="90">
        <f t="shared" ca="1" si="98"/>
        <v>0</v>
      </c>
      <c r="X97" s="90">
        <f t="shared" ca="1" si="98"/>
        <v>0</v>
      </c>
      <c r="Y97" s="90">
        <f t="shared" ca="1" si="98"/>
        <v>0</v>
      </c>
      <c r="Z97" s="90">
        <f t="shared" ca="1" si="98"/>
        <v>0</v>
      </c>
      <c r="AA97" s="90">
        <f t="shared" ca="1" si="98"/>
        <v>0</v>
      </c>
      <c r="AB97" s="90">
        <f t="shared" ca="1" si="98"/>
        <v>0</v>
      </c>
      <c r="AC97" s="90">
        <f t="shared" ca="1" si="98"/>
        <v>0</v>
      </c>
    </row>
    <row r="98" spans="1:33">
      <c r="A98" s="5" t="str">
        <f>B344</f>
        <v>Jr. Sub Notes</v>
      </c>
      <c r="D98" s="89"/>
      <c r="E98" s="90"/>
      <c r="F98" s="90"/>
      <c r="G98" s="90"/>
      <c r="H98" s="94"/>
      <c r="I98" s="90">
        <f ca="1">IF(I524="YES",IF($I$525="YES",-I527+((I569-I526)*I283)*C328,0),I569*I283*C328)</f>
        <v>0</v>
      </c>
      <c r="J98" s="90">
        <f t="shared" ref="J98:S98" ca="1" si="99">IF(J524="YES",IF($I$525="YES",-J527+((J569-J526)*J283),0),J569*J283)</f>
        <v>0</v>
      </c>
      <c r="K98" s="90">
        <f t="shared" ca="1" si="99"/>
        <v>0</v>
      </c>
      <c r="L98" s="90">
        <f t="shared" ca="1" si="99"/>
        <v>0</v>
      </c>
      <c r="M98" s="90">
        <f t="shared" ca="1" si="99"/>
        <v>0</v>
      </c>
      <c r="N98" s="90">
        <f t="shared" ca="1" si="99"/>
        <v>0</v>
      </c>
      <c r="O98" s="90">
        <f t="shared" ca="1" si="99"/>
        <v>0</v>
      </c>
      <c r="P98" s="90">
        <f t="shared" ca="1" si="99"/>
        <v>0</v>
      </c>
      <c r="Q98" s="90">
        <f t="shared" ca="1" si="99"/>
        <v>0</v>
      </c>
      <c r="R98" s="90">
        <f t="shared" ca="1" si="99"/>
        <v>0</v>
      </c>
      <c r="S98" s="90">
        <f t="shared" ca="1" si="99"/>
        <v>0</v>
      </c>
      <c r="T98" s="90">
        <f t="shared" ref="T98:AC98" ca="1" si="100">IF(T524="YES",IF($I$525="YES",-T527+((T569-T526)*T283),0),T569*T283)</f>
        <v>0</v>
      </c>
      <c r="U98" s="90">
        <f t="shared" ca="1" si="100"/>
        <v>0</v>
      </c>
      <c r="V98" s="90">
        <f t="shared" ca="1" si="100"/>
        <v>0</v>
      </c>
      <c r="W98" s="90">
        <f t="shared" ca="1" si="100"/>
        <v>0</v>
      </c>
      <c r="X98" s="90">
        <f t="shared" ca="1" si="100"/>
        <v>0</v>
      </c>
      <c r="Y98" s="90">
        <f t="shared" ca="1" si="100"/>
        <v>0</v>
      </c>
      <c r="Z98" s="90">
        <f t="shared" ca="1" si="100"/>
        <v>0</v>
      </c>
      <c r="AA98" s="90">
        <f t="shared" ca="1" si="100"/>
        <v>0</v>
      </c>
      <c r="AB98" s="90">
        <f t="shared" ca="1" si="100"/>
        <v>0</v>
      </c>
      <c r="AC98" s="90">
        <f t="shared" ca="1" si="100"/>
        <v>0</v>
      </c>
    </row>
    <row r="99" spans="1:33">
      <c r="A99" s="70" t="s">
        <v>666</v>
      </c>
      <c r="C99" s="55"/>
      <c r="D99" s="90"/>
      <c r="E99" s="92">
        <f t="shared" ref="E99:N99" si="101">SUM(E92:E98)</f>
        <v>0</v>
      </c>
      <c r="F99" s="92">
        <f t="shared" si="101"/>
        <v>0</v>
      </c>
      <c r="G99" s="92">
        <f t="shared" si="101"/>
        <v>0</v>
      </c>
      <c r="H99" s="96">
        <f t="shared" si="101"/>
        <v>0</v>
      </c>
      <c r="I99" s="92">
        <f t="shared" ca="1" si="101"/>
        <v>22.718516003905837</v>
      </c>
      <c r="J99" s="92">
        <f t="shared" ca="1" si="101"/>
        <v>22.718516003905837</v>
      </c>
      <c r="K99" s="92">
        <f t="shared" ca="1" si="101"/>
        <v>0</v>
      </c>
      <c r="L99" s="92">
        <f t="shared" ca="1" si="101"/>
        <v>0</v>
      </c>
      <c r="M99" s="92">
        <f t="shared" ca="1" si="101"/>
        <v>0</v>
      </c>
      <c r="N99" s="92">
        <f t="shared" ca="1" si="101"/>
        <v>0</v>
      </c>
      <c r="O99" s="92">
        <f t="shared" ref="O99:AC99" ca="1" si="102">SUM(O92:O98)</f>
        <v>0</v>
      </c>
      <c r="P99" s="92">
        <f t="shared" ca="1" si="102"/>
        <v>0</v>
      </c>
      <c r="Q99" s="92">
        <f t="shared" ca="1" si="102"/>
        <v>0</v>
      </c>
      <c r="R99" s="92">
        <f t="shared" ca="1" si="102"/>
        <v>0</v>
      </c>
      <c r="S99" s="92">
        <f t="shared" ca="1" si="102"/>
        <v>0</v>
      </c>
      <c r="T99" s="92">
        <f t="shared" ca="1" si="102"/>
        <v>0</v>
      </c>
      <c r="U99" s="92">
        <f t="shared" ca="1" si="102"/>
        <v>0</v>
      </c>
      <c r="V99" s="92">
        <f t="shared" ca="1" si="102"/>
        <v>0</v>
      </c>
      <c r="W99" s="92">
        <f t="shared" ca="1" si="102"/>
        <v>0</v>
      </c>
      <c r="X99" s="92">
        <f t="shared" ca="1" si="102"/>
        <v>0</v>
      </c>
      <c r="Y99" s="92">
        <f t="shared" ca="1" si="102"/>
        <v>0</v>
      </c>
      <c r="Z99" s="92">
        <f t="shared" ca="1" si="102"/>
        <v>0</v>
      </c>
      <c r="AA99" s="92">
        <f t="shared" ca="1" si="102"/>
        <v>0</v>
      </c>
      <c r="AB99" s="92">
        <f t="shared" ca="1" si="102"/>
        <v>0</v>
      </c>
      <c r="AC99" s="92">
        <f t="shared" ca="1" si="102"/>
        <v>0</v>
      </c>
    </row>
    <row r="100" spans="1:33">
      <c r="H100" s="95"/>
    </row>
    <row r="101" spans="1:33">
      <c r="A101" s="70" t="s">
        <v>667</v>
      </c>
      <c r="D101" s="90"/>
      <c r="E101" s="90">
        <f t="shared" ref="E101:N101" si="103">E83+E89-E99</f>
        <v>0</v>
      </c>
      <c r="F101" s="90">
        <f t="shared" si="103"/>
        <v>184.62299999999999</v>
      </c>
      <c r="G101" s="90">
        <f t="shared" si="103"/>
        <v>134.18</v>
      </c>
      <c r="H101" s="94">
        <f t="shared" si="103"/>
        <v>40.478999999999999</v>
      </c>
      <c r="I101" s="90">
        <f t="shared" ca="1" si="103"/>
        <v>-501.12434572607458</v>
      </c>
      <c r="J101" s="90">
        <f t="shared" ca="1" si="103"/>
        <v>6242.9363945444502</v>
      </c>
      <c r="K101" s="90">
        <f t="shared" ca="1" si="103"/>
        <v>5273.7733750655825</v>
      </c>
      <c r="L101" s="90">
        <f t="shared" ca="1" si="103"/>
        <v>5092.8627493856411</v>
      </c>
      <c r="M101" s="90">
        <f t="shared" ca="1" si="103"/>
        <v>4969.5357385266025</v>
      </c>
      <c r="N101" s="90">
        <f t="shared" ca="1" si="103"/>
        <v>4752.9601733439176</v>
      </c>
      <c r="O101" s="90">
        <f t="shared" ref="O101:AC101" ca="1" si="104">O83+O89-O99</f>
        <v>4440.1792917789444</v>
      </c>
      <c r="P101" s="90">
        <f t="shared" ca="1" si="104"/>
        <v>4138.8609092428933</v>
      </c>
      <c r="Q101" s="90">
        <f t="shared" ca="1" si="104"/>
        <v>3928.1041368475258</v>
      </c>
      <c r="R101" s="90">
        <f t="shared" ca="1" si="104"/>
        <v>3753.1194095140572</v>
      </c>
      <c r="S101" s="90">
        <f t="shared" ca="1" si="104"/>
        <v>3630.1544055799318</v>
      </c>
      <c r="T101" s="90">
        <f t="shared" ca="1" si="104"/>
        <v>3509.5326874077855</v>
      </c>
      <c r="U101" s="90">
        <f t="shared" ca="1" si="104"/>
        <v>3424.4910350347709</v>
      </c>
      <c r="V101" s="90">
        <f t="shared" ca="1" si="104"/>
        <v>3341.5276952330646</v>
      </c>
      <c r="W101" s="90">
        <f t="shared" ca="1" si="104"/>
        <v>3304.0264373908294</v>
      </c>
      <c r="X101" s="90">
        <f t="shared" ca="1" si="104"/>
        <v>3260.2451383870261</v>
      </c>
      <c r="Y101" s="90">
        <f t="shared" ca="1" si="104"/>
        <v>3229.9285170020944</v>
      </c>
      <c r="Z101" s="90">
        <f t="shared" ca="1" si="104"/>
        <v>3169.4290397071441</v>
      </c>
      <c r="AA101" s="90">
        <f t="shared" ca="1" si="104"/>
        <v>3160.3362050694677</v>
      </c>
      <c r="AB101" s="90">
        <f t="shared" ca="1" si="104"/>
        <v>3175.1655226136158</v>
      </c>
      <c r="AC101" s="90">
        <f t="shared" ca="1" si="104"/>
        <v>3231.4125224952354</v>
      </c>
    </row>
    <row r="102" spans="1:33">
      <c r="H102" s="99"/>
      <c r="I102" s="90"/>
    </row>
    <row r="103" spans="1:33">
      <c r="A103" s="74" t="s">
        <v>668</v>
      </c>
      <c r="E103" s="5">
        <f t="shared" ref="E103:AC103" si="105">E606</f>
        <v>0</v>
      </c>
      <c r="F103" s="5">
        <f t="shared" si="105"/>
        <v>0</v>
      </c>
      <c r="G103" s="5">
        <f t="shared" si="105"/>
        <v>0</v>
      </c>
      <c r="H103" s="99">
        <f t="shared" si="105"/>
        <v>0</v>
      </c>
      <c r="I103" s="5">
        <f t="shared" si="105"/>
        <v>0</v>
      </c>
      <c r="J103" s="5">
        <f t="shared" si="105"/>
        <v>0</v>
      </c>
      <c r="K103" s="5">
        <f t="shared" si="105"/>
        <v>0</v>
      </c>
      <c r="L103" s="5">
        <f t="shared" si="105"/>
        <v>0</v>
      </c>
      <c r="M103" s="5">
        <f t="shared" si="105"/>
        <v>0</v>
      </c>
      <c r="N103" s="5">
        <f t="shared" si="105"/>
        <v>0</v>
      </c>
      <c r="O103" s="5">
        <f t="shared" si="105"/>
        <v>0</v>
      </c>
      <c r="P103" s="5">
        <f t="shared" si="105"/>
        <v>0</v>
      </c>
      <c r="Q103" s="5">
        <f t="shared" si="105"/>
        <v>0</v>
      </c>
      <c r="R103" s="5">
        <f t="shared" si="105"/>
        <v>0</v>
      </c>
      <c r="S103" s="5">
        <f t="shared" si="105"/>
        <v>0</v>
      </c>
      <c r="T103" s="5">
        <f t="shared" si="105"/>
        <v>0</v>
      </c>
      <c r="U103" s="5">
        <f t="shared" si="105"/>
        <v>0</v>
      </c>
      <c r="V103" s="5">
        <f t="shared" si="105"/>
        <v>0</v>
      </c>
      <c r="W103" s="5">
        <f t="shared" si="105"/>
        <v>0</v>
      </c>
      <c r="X103" s="5">
        <f t="shared" si="105"/>
        <v>0</v>
      </c>
      <c r="Y103" s="5">
        <f t="shared" si="105"/>
        <v>0</v>
      </c>
      <c r="Z103" s="5">
        <f t="shared" si="105"/>
        <v>0</v>
      </c>
      <c r="AA103" s="5">
        <f t="shared" si="105"/>
        <v>0</v>
      </c>
      <c r="AB103" s="5">
        <f t="shared" si="105"/>
        <v>0</v>
      </c>
      <c r="AC103" s="5">
        <f t="shared" si="105"/>
        <v>0</v>
      </c>
    </row>
    <row r="104" spans="1:33">
      <c r="A104" s="70" t="s">
        <v>669</v>
      </c>
      <c r="C104" s="55"/>
      <c r="E104" s="50">
        <f t="shared" ref="E104:N104" si="106">E101+E103</f>
        <v>0</v>
      </c>
      <c r="F104" s="50">
        <f t="shared" si="106"/>
        <v>184.62299999999999</v>
      </c>
      <c r="G104" s="50">
        <f t="shared" si="106"/>
        <v>134.18</v>
      </c>
      <c r="H104" s="100">
        <f t="shared" si="106"/>
        <v>40.478999999999999</v>
      </c>
      <c r="I104" s="50">
        <f t="shared" ca="1" si="106"/>
        <v>-501.12434572607458</v>
      </c>
      <c r="J104" s="50">
        <f t="shared" ca="1" si="106"/>
        <v>6242.9363945444502</v>
      </c>
      <c r="K104" s="50">
        <f t="shared" ca="1" si="106"/>
        <v>5273.7733750655825</v>
      </c>
      <c r="L104" s="50">
        <f t="shared" ca="1" si="106"/>
        <v>5092.8627493856411</v>
      </c>
      <c r="M104" s="50">
        <f t="shared" ca="1" si="106"/>
        <v>4969.5357385266025</v>
      </c>
      <c r="N104" s="50">
        <f t="shared" ca="1" si="106"/>
        <v>4752.9601733439176</v>
      </c>
      <c r="O104" s="50">
        <f t="shared" ref="O104:AC104" ca="1" si="107">O101+O103</f>
        <v>4440.1792917789444</v>
      </c>
      <c r="P104" s="50">
        <f t="shared" ca="1" si="107"/>
        <v>4138.8609092428933</v>
      </c>
      <c r="Q104" s="50">
        <f t="shared" ca="1" si="107"/>
        <v>3928.1041368475258</v>
      </c>
      <c r="R104" s="50">
        <f t="shared" ca="1" si="107"/>
        <v>3753.1194095140572</v>
      </c>
      <c r="S104" s="50">
        <f t="shared" ca="1" si="107"/>
        <v>3630.1544055799318</v>
      </c>
      <c r="T104" s="50">
        <f t="shared" ca="1" si="107"/>
        <v>3509.5326874077855</v>
      </c>
      <c r="U104" s="50">
        <f t="shared" ca="1" si="107"/>
        <v>3424.4910350347709</v>
      </c>
      <c r="V104" s="50">
        <f t="shared" ca="1" si="107"/>
        <v>3341.5276952330646</v>
      </c>
      <c r="W104" s="50">
        <f t="shared" ca="1" si="107"/>
        <v>3304.0264373908294</v>
      </c>
      <c r="X104" s="50">
        <f t="shared" ca="1" si="107"/>
        <v>3260.2451383870261</v>
      </c>
      <c r="Y104" s="50">
        <f t="shared" ca="1" si="107"/>
        <v>3229.9285170020944</v>
      </c>
      <c r="Z104" s="50">
        <f t="shared" ca="1" si="107"/>
        <v>3169.4290397071441</v>
      </c>
      <c r="AA104" s="50">
        <f t="shared" ca="1" si="107"/>
        <v>3160.3362050694677</v>
      </c>
      <c r="AB104" s="50">
        <f t="shared" ca="1" si="107"/>
        <v>3175.1655226136158</v>
      </c>
      <c r="AC104" s="50">
        <f t="shared" ca="1" si="107"/>
        <v>3231.4125224952354</v>
      </c>
    </row>
    <row r="105" spans="1:33">
      <c r="H105" s="99"/>
      <c r="AD105"/>
      <c r="AE105"/>
      <c r="AF105"/>
      <c r="AG105"/>
    </row>
    <row r="106" spans="1:33">
      <c r="A106" s="74" t="s">
        <v>670</v>
      </c>
      <c r="C106" s="55"/>
      <c r="D106" s="90"/>
      <c r="E106" s="90">
        <f>E638</f>
        <v>0</v>
      </c>
      <c r="F106" s="90">
        <f>F638</f>
        <v>260</v>
      </c>
      <c r="G106" s="90">
        <f>G638</f>
        <v>0</v>
      </c>
      <c r="H106" s="94">
        <f>H638</f>
        <v>0</v>
      </c>
      <c r="I106" s="90">
        <f t="shared" ref="I106:AC106" ca="1" si="108">I694</f>
        <v>0</v>
      </c>
      <c r="J106" s="90">
        <f t="shared" ca="1" si="108"/>
        <v>0</v>
      </c>
      <c r="K106" s="90">
        <f t="shared" ca="1" si="108"/>
        <v>0</v>
      </c>
      <c r="L106" s="90">
        <f t="shared" ca="1" si="108"/>
        <v>716.8723789116633</v>
      </c>
      <c r="M106" s="90">
        <f t="shared" ca="1" si="108"/>
        <v>1689.6421510990449</v>
      </c>
      <c r="N106" s="90">
        <f t="shared" ca="1" si="108"/>
        <v>1616.0064589369322</v>
      </c>
      <c r="O106" s="90">
        <f t="shared" ca="1" si="108"/>
        <v>1509.6609592048412</v>
      </c>
      <c r="P106" s="90">
        <f t="shared" ca="1" si="108"/>
        <v>1407.2127091425839</v>
      </c>
      <c r="Q106" s="90">
        <f t="shared" ca="1" si="108"/>
        <v>1335.5554065281588</v>
      </c>
      <c r="R106" s="90">
        <f t="shared" ca="1" si="108"/>
        <v>1276.0605992347796</v>
      </c>
      <c r="S106" s="90">
        <f t="shared" ca="1" si="108"/>
        <v>1234.2524978971769</v>
      </c>
      <c r="T106" s="90">
        <f t="shared" ca="1" si="108"/>
        <v>1193.2411137186471</v>
      </c>
      <c r="U106" s="90">
        <f t="shared" ca="1" si="108"/>
        <v>1164.3269519118221</v>
      </c>
      <c r="V106" s="90">
        <f t="shared" ca="1" si="108"/>
        <v>1136.119416379242</v>
      </c>
      <c r="W106" s="90">
        <f t="shared" ca="1" si="108"/>
        <v>1123.3689887128821</v>
      </c>
      <c r="X106" s="90">
        <f t="shared" ca="1" si="108"/>
        <v>1108.4833470515889</v>
      </c>
      <c r="Y106" s="90">
        <f t="shared" ca="1" si="108"/>
        <v>1098.1756957807122</v>
      </c>
      <c r="Z106" s="90">
        <f t="shared" ca="1" si="108"/>
        <v>1077.605873500429</v>
      </c>
      <c r="AA106" s="90">
        <f t="shared" ca="1" si="108"/>
        <v>1074.5143097236191</v>
      </c>
      <c r="AB106" s="90">
        <f t="shared" ca="1" si="108"/>
        <v>1079.55627768863</v>
      </c>
      <c r="AC106" s="90">
        <f t="shared" ca="1" si="108"/>
        <v>1098.680257648381</v>
      </c>
      <c r="AD106"/>
      <c r="AE106"/>
      <c r="AF106"/>
      <c r="AG106"/>
    </row>
    <row r="107" spans="1:33" ht="12" thickBot="1">
      <c r="A107" s="70" t="s">
        <v>671</v>
      </c>
      <c r="C107" s="55"/>
      <c r="D107" s="90"/>
      <c r="E107" s="101">
        <f t="shared" ref="E107:N107" si="109">E104-E106</f>
        <v>0</v>
      </c>
      <c r="F107" s="101">
        <f t="shared" si="109"/>
        <v>-75.37700000000001</v>
      </c>
      <c r="G107" s="101">
        <f t="shared" si="109"/>
        <v>134.18</v>
      </c>
      <c r="H107" s="102">
        <f t="shared" si="109"/>
        <v>40.478999999999999</v>
      </c>
      <c r="I107" s="101">
        <f t="shared" ca="1" si="109"/>
        <v>-501.12434572607458</v>
      </c>
      <c r="J107" s="101">
        <f t="shared" ca="1" si="109"/>
        <v>6242.9363945444502</v>
      </c>
      <c r="K107" s="101">
        <f t="shared" ca="1" si="109"/>
        <v>5273.7733750655825</v>
      </c>
      <c r="L107" s="101">
        <f t="shared" ca="1" si="109"/>
        <v>4375.9903704739781</v>
      </c>
      <c r="M107" s="101">
        <f t="shared" ca="1" si="109"/>
        <v>3279.8935874275576</v>
      </c>
      <c r="N107" s="101">
        <f t="shared" ca="1" si="109"/>
        <v>3136.9537144069855</v>
      </c>
      <c r="O107" s="101">
        <f t="shared" ref="O107:AC107" ca="1" si="110">O104-O106</f>
        <v>2930.5183325741032</v>
      </c>
      <c r="P107" s="101">
        <f t="shared" ca="1" si="110"/>
        <v>2731.6482001003096</v>
      </c>
      <c r="Q107" s="101">
        <f t="shared" ca="1" si="110"/>
        <v>2592.5487303193668</v>
      </c>
      <c r="R107" s="101">
        <f t="shared" ca="1" si="110"/>
        <v>2477.0588102792776</v>
      </c>
      <c r="S107" s="101">
        <f t="shared" ca="1" si="110"/>
        <v>2395.9019076827549</v>
      </c>
      <c r="T107" s="101">
        <f t="shared" ca="1" si="110"/>
        <v>2316.2915736891382</v>
      </c>
      <c r="U107" s="101">
        <f t="shared" ca="1" si="110"/>
        <v>2260.1640831229488</v>
      </c>
      <c r="V107" s="101">
        <f t="shared" ca="1" si="110"/>
        <v>2205.4082788538226</v>
      </c>
      <c r="W107" s="101">
        <f t="shared" ca="1" si="110"/>
        <v>2180.6574486779473</v>
      </c>
      <c r="X107" s="101">
        <f t="shared" ca="1" si="110"/>
        <v>2151.761791335437</v>
      </c>
      <c r="Y107" s="101">
        <f t="shared" ca="1" si="110"/>
        <v>2131.752821221382</v>
      </c>
      <c r="Z107" s="101">
        <f t="shared" ca="1" si="110"/>
        <v>2091.8231662067151</v>
      </c>
      <c r="AA107" s="101">
        <f t="shared" ca="1" si="110"/>
        <v>2085.8218953458486</v>
      </c>
      <c r="AB107" s="101">
        <f t="shared" ca="1" si="110"/>
        <v>2095.6092449249859</v>
      </c>
      <c r="AC107" s="101">
        <f t="shared" ca="1" si="110"/>
        <v>2132.7322648468544</v>
      </c>
      <c r="AD107"/>
      <c r="AE107"/>
      <c r="AF107"/>
      <c r="AG107"/>
    </row>
    <row r="108" spans="1:33" ht="12" thickTop="1">
      <c r="H108" s="95"/>
    </row>
    <row r="109" spans="1:33">
      <c r="A109" s="74" t="s">
        <v>672</v>
      </c>
      <c r="D109" s="90"/>
      <c r="E109" s="90">
        <f>E556</f>
        <v>0</v>
      </c>
      <c r="F109" s="90">
        <f>F556</f>
        <v>0</v>
      </c>
      <c r="G109" s="90">
        <f>G556</f>
        <v>0</v>
      </c>
      <c r="H109" s="94">
        <f>H556</f>
        <v>0</v>
      </c>
      <c r="I109" s="90">
        <f ca="1">IF(I531="YES",I533+((I570-I532)*I289)*C328,I570*I289*C328)+(I556*I313*C328)</f>
        <v>0</v>
      </c>
      <c r="J109" s="90">
        <f t="shared" ref="J109:S109" ca="1" si="111">IF(J531="YES",J533+((J570-J532)*J289),J570*J289)+(J556*J313)</f>
        <v>0</v>
      </c>
      <c r="K109" s="90">
        <f t="shared" ca="1" si="111"/>
        <v>0</v>
      </c>
      <c r="L109" s="90">
        <f t="shared" ca="1" si="111"/>
        <v>0</v>
      </c>
      <c r="M109" s="90">
        <f t="shared" ca="1" si="111"/>
        <v>0</v>
      </c>
      <c r="N109" s="90">
        <f t="shared" ca="1" si="111"/>
        <v>0</v>
      </c>
      <c r="O109" s="90">
        <f t="shared" ca="1" si="111"/>
        <v>0</v>
      </c>
      <c r="P109" s="90">
        <f t="shared" ca="1" si="111"/>
        <v>0</v>
      </c>
      <c r="Q109" s="90">
        <f t="shared" ca="1" si="111"/>
        <v>0</v>
      </c>
      <c r="R109" s="90">
        <f t="shared" ca="1" si="111"/>
        <v>0</v>
      </c>
      <c r="S109" s="90">
        <f t="shared" ca="1" si="111"/>
        <v>0</v>
      </c>
      <c r="T109" s="90">
        <f t="shared" ref="T109:AC109" ca="1" si="112">IF(T531="YES",T533+((T570-T532)*T289),T570*T289)+(T556*T313)</f>
        <v>0</v>
      </c>
      <c r="U109" s="90">
        <f t="shared" ca="1" si="112"/>
        <v>0</v>
      </c>
      <c r="V109" s="90">
        <f t="shared" ca="1" si="112"/>
        <v>0</v>
      </c>
      <c r="W109" s="90">
        <f t="shared" ca="1" si="112"/>
        <v>0</v>
      </c>
      <c r="X109" s="90">
        <f t="shared" ca="1" si="112"/>
        <v>0</v>
      </c>
      <c r="Y109" s="90">
        <f t="shared" ca="1" si="112"/>
        <v>0</v>
      </c>
      <c r="Z109" s="90">
        <f t="shared" ca="1" si="112"/>
        <v>0</v>
      </c>
      <c r="AA109" s="90">
        <f t="shared" ca="1" si="112"/>
        <v>0</v>
      </c>
      <c r="AB109" s="90">
        <f t="shared" ca="1" si="112"/>
        <v>0</v>
      </c>
      <c r="AC109" s="90">
        <f t="shared" ca="1" si="112"/>
        <v>0</v>
      </c>
    </row>
    <row r="110" spans="1:33" ht="12" thickBot="1">
      <c r="A110" s="70" t="s">
        <v>673</v>
      </c>
      <c r="E110" s="61">
        <f t="shared" ref="E110:N110" si="113">E107-E109</f>
        <v>0</v>
      </c>
      <c r="F110" s="61">
        <f t="shared" si="113"/>
        <v>-75.37700000000001</v>
      </c>
      <c r="G110" s="61">
        <f t="shared" si="113"/>
        <v>134.18</v>
      </c>
      <c r="H110" s="103">
        <f t="shared" si="113"/>
        <v>40.478999999999999</v>
      </c>
      <c r="I110" s="61">
        <f t="shared" ca="1" si="113"/>
        <v>-501.12434572607458</v>
      </c>
      <c r="J110" s="61">
        <f t="shared" ca="1" si="113"/>
        <v>6242.9363945444502</v>
      </c>
      <c r="K110" s="61">
        <f t="shared" ca="1" si="113"/>
        <v>5273.7733750655825</v>
      </c>
      <c r="L110" s="61">
        <f t="shared" ca="1" si="113"/>
        <v>4375.9903704739781</v>
      </c>
      <c r="M110" s="61">
        <f t="shared" ca="1" si="113"/>
        <v>3279.8935874275576</v>
      </c>
      <c r="N110" s="61">
        <f t="shared" ca="1" si="113"/>
        <v>3136.9537144069855</v>
      </c>
      <c r="O110" s="61">
        <f t="shared" ref="O110:AC110" ca="1" si="114">O107-O109</f>
        <v>2930.5183325741032</v>
      </c>
      <c r="P110" s="61">
        <f t="shared" ca="1" si="114"/>
        <v>2731.6482001003096</v>
      </c>
      <c r="Q110" s="61">
        <f t="shared" ca="1" si="114"/>
        <v>2592.5487303193668</v>
      </c>
      <c r="R110" s="61">
        <f t="shared" ca="1" si="114"/>
        <v>2477.0588102792776</v>
      </c>
      <c r="S110" s="61">
        <f t="shared" ca="1" si="114"/>
        <v>2395.9019076827549</v>
      </c>
      <c r="T110" s="61">
        <f t="shared" ca="1" si="114"/>
        <v>2316.2915736891382</v>
      </c>
      <c r="U110" s="61">
        <f t="shared" ca="1" si="114"/>
        <v>2260.1640831229488</v>
      </c>
      <c r="V110" s="61">
        <f t="shared" ca="1" si="114"/>
        <v>2205.4082788538226</v>
      </c>
      <c r="W110" s="61">
        <f t="shared" ca="1" si="114"/>
        <v>2180.6574486779473</v>
      </c>
      <c r="X110" s="61">
        <f t="shared" ca="1" si="114"/>
        <v>2151.761791335437</v>
      </c>
      <c r="Y110" s="61">
        <f t="shared" ca="1" si="114"/>
        <v>2131.752821221382</v>
      </c>
      <c r="Z110" s="61">
        <f t="shared" ca="1" si="114"/>
        <v>2091.8231662067151</v>
      </c>
      <c r="AA110" s="61">
        <f t="shared" ca="1" si="114"/>
        <v>2085.8218953458486</v>
      </c>
      <c r="AB110" s="61">
        <f t="shared" ca="1" si="114"/>
        <v>2095.6092449249859</v>
      </c>
      <c r="AC110" s="61">
        <f t="shared" ca="1" si="114"/>
        <v>2132.7322648468544</v>
      </c>
    </row>
    <row r="111" spans="1:33" ht="12" thickTop="1">
      <c r="H111" s="95"/>
    </row>
    <row r="112" spans="1:33">
      <c r="A112" s="74" t="s">
        <v>674</v>
      </c>
      <c r="E112" s="5">
        <f>E557</f>
        <v>0</v>
      </c>
      <c r="F112" s="5">
        <f>F557</f>
        <v>0</v>
      </c>
      <c r="G112" s="5">
        <f>G557</f>
        <v>0</v>
      </c>
      <c r="H112" s="95">
        <f>H557</f>
        <v>0</v>
      </c>
      <c r="I112" s="5">
        <f ca="1">IF(I110&lt;0,0,I110*I571)*C328</f>
        <v>0</v>
      </c>
      <c r="J112" s="5">
        <f t="shared" ref="J112:S112" ca="1" si="115">IF(J110&lt;0,0,J110*J571)</f>
        <v>0</v>
      </c>
      <c r="K112" s="5">
        <f t="shared" ca="1" si="115"/>
        <v>0</v>
      </c>
      <c r="L112" s="5">
        <f t="shared" ca="1" si="115"/>
        <v>0</v>
      </c>
      <c r="M112" s="5">
        <f t="shared" ca="1" si="115"/>
        <v>0</v>
      </c>
      <c r="N112" s="5">
        <f t="shared" ca="1" si="115"/>
        <v>0</v>
      </c>
      <c r="O112" s="5">
        <f t="shared" ca="1" si="115"/>
        <v>0</v>
      </c>
      <c r="P112" s="5">
        <f t="shared" ca="1" si="115"/>
        <v>0</v>
      </c>
      <c r="Q112" s="5">
        <f t="shared" ca="1" si="115"/>
        <v>0</v>
      </c>
      <c r="R112" s="5">
        <f t="shared" ca="1" si="115"/>
        <v>0</v>
      </c>
      <c r="S112" s="5">
        <f t="shared" ca="1" si="115"/>
        <v>0</v>
      </c>
      <c r="T112" s="5">
        <f t="shared" ref="T112:AC112" ca="1" si="116">IF(T110&lt;0,0,T110*T571)</f>
        <v>0</v>
      </c>
      <c r="U112" s="5">
        <f t="shared" ca="1" si="116"/>
        <v>0</v>
      </c>
      <c r="V112" s="5">
        <f t="shared" ca="1" si="116"/>
        <v>0</v>
      </c>
      <c r="W112" s="5">
        <f t="shared" ca="1" si="116"/>
        <v>0</v>
      </c>
      <c r="X112" s="5">
        <f t="shared" ca="1" si="116"/>
        <v>0</v>
      </c>
      <c r="Y112" s="5">
        <f t="shared" ca="1" si="116"/>
        <v>0</v>
      </c>
      <c r="Z112" s="5">
        <f t="shared" ca="1" si="116"/>
        <v>0</v>
      </c>
      <c r="AA112" s="5">
        <f t="shared" ca="1" si="116"/>
        <v>0</v>
      </c>
      <c r="AB112" s="5">
        <f t="shared" ca="1" si="116"/>
        <v>0</v>
      </c>
      <c r="AC112" s="5">
        <f t="shared" ca="1" si="116"/>
        <v>0</v>
      </c>
    </row>
    <row r="113" spans="1:2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ht="12" thickBo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ht="12.75" thickTop="1" thickBot="1">
      <c r="E115" s="111"/>
      <c r="F115" s="111"/>
      <c r="G115" s="111"/>
      <c r="H115" s="112">
        <f ca="1">N388</f>
        <v>36341</v>
      </c>
      <c r="I115" s="86" t="str">
        <f ca="1">$I$579&amp;"/"&amp;TEXT($I$580,"0")</f>
        <v>6 M/1999</v>
      </c>
      <c r="J115" s="73">
        <f t="shared" ref="J115:AC115" si="117">J580</f>
        <v>2000</v>
      </c>
      <c r="K115" s="73">
        <f t="shared" si="117"/>
        <v>2001</v>
      </c>
      <c r="L115" s="73">
        <f t="shared" si="117"/>
        <v>2002</v>
      </c>
      <c r="M115" s="73">
        <f t="shared" si="117"/>
        <v>2003</v>
      </c>
      <c r="N115" s="73">
        <f t="shared" si="117"/>
        <v>2004</v>
      </c>
      <c r="O115" s="73">
        <f t="shared" si="117"/>
        <v>2005</v>
      </c>
      <c r="P115" s="73">
        <f t="shared" si="117"/>
        <v>2006</v>
      </c>
      <c r="Q115" s="73">
        <f t="shared" si="117"/>
        <v>2007</v>
      </c>
      <c r="R115" s="73">
        <f t="shared" si="117"/>
        <v>2008</v>
      </c>
      <c r="S115" s="73">
        <f t="shared" si="117"/>
        <v>2009</v>
      </c>
      <c r="T115" s="73">
        <f t="shared" si="117"/>
        <v>2010</v>
      </c>
      <c r="U115" s="73">
        <f t="shared" si="117"/>
        <v>2011</v>
      </c>
      <c r="V115" s="73">
        <f t="shared" si="117"/>
        <v>2012</v>
      </c>
      <c r="W115" s="73">
        <f t="shared" si="117"/>
        <v>2013</v>
      </c>
      <c r="X115" s="73">
        <f t="shared" si="117"/>
        <v>2014</v>
      </c>
      <c r="Y115" s="73">
        <f t="shared" si="117"/>
        <v>2015</v>
      </c>
      <c r="Z115" s="73">
        <f t="shared" si="117"/>
        <v>2016</v>
      </c>
      <c r="AA115" s="73">
        <f t="shared" si="117"/>
        <v>2017</v>
      </c>
      <c r="AB115" s="73">
        <f t="shared" si="117"/>
        <v>2018</v>
      </c>
      <c r="AC115" s="73">
        <f t="shared" si="117"/>
        <v>2019</v>
      </c>
    </row>
    <row r="116" spans="1:29" ht="12" thickTop="1">
      <c r="A116" s="337" t="s">
        <v>675</v>
      </c>
      <c r="D116" s="22"/>
      <c r="E116" s="22"/>
      <c r="F116" s="22"/>
      <c r="G116" s="22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>
      <c r="A117" s="70" t="s">
        <v>676</v>
      </c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</row>
    <row r="118" spans="1:29">
      <c r="A118" s="5" t="str">
        <f>A107</f>
        <v>Net Income</v>
      </c>
      <c r="G118" s="90"/>
      <c r="H118" s="90"/>
      <c r="I118" s="90">
        <f t="shared" ref="I118:AC118" ca="1" si="118">I107</f>
        <v>-501.12434572607458</v>
      </c>
      <c r="J118" s="90">
        <f t="shared" ca="1" si="118"/>
        <v>6242.9363945444502</v>
      </c>
      <c r="K118" s="90">
        <f t="shared" ca="1" si="118"/>
        <v>5273.7733750655825</v>
      </c>
      <c r="L118" s="90">
        <f t="shared" ca="1" si="118"/>
        <v>4375.9903704739781</v>
      </c>
      <c r="M118" s="90">
        <f t="shared" ca="1" si="118"/>
        <v>3279.8935874275576</v>
      </c>
      <c r="N118" s="90">
        <f t="shared" ca="1" si="118"/>
        <v>3136.9537144069855</v>
      </c>
      <c r="O118" s="90">
        <f t="shared" ca="1" si="118"/>
        <v>2930.5183325741032</v>
      </c>
      <c r="P118" s="90">
        <f t="shared" ca="1" si="118"/>
        <v>2731.6482001003096</v>
      </c>
      <c r="Q118" s="90">
        <f t="shared" ca="1" si="118"/>
        <v>2592.5487303193668</v>
      </c>
      <c r="R118" s="90">
        <f t="shared" ca="1" si="118"/>
        <v>2477.0588102792776</v>
      </c>
      <c r="S118" s="90">
        <f t="shared" ca="1" si="118"/>
        <v>2395.9019076827549</v>
      </c>
      <c r="T118" s="90">
        <f t="shared" ca="1" si="118"/>
        <v>2316.2915736891382</v>
      </c>
      <c r="U118" s="90">
        <f t="shared" ca="1" si="118"/>
        <v>2260.1640831229488</v>
      </c>
      <c r="V118" s="90">
        <f t="shared" ca="1" si="118"/>
        <v>2205.4082788538226</v>
      </c>
      <c r="W118" s="90">
        <f t="shared" ca="1" si="118"/>
        <v>2180.6574486779473</v>
      </c>
      <c r="X118" s="90">
        <f t="shared" ca="1" si="118"/>
        <v>2151.761791335437</v>
      </c>
      <c r="Y118" s="90">
        <f t="shared" ca="1" si="118"/>
        <v>2131.752821221382</v>
      </c>
      <c r="Z118" s="90">
        <f t="shared" ca="1" si="118"/>
        <v>2091.8231662067151</v>
      </c>
      <c r="AA118" s="90">
        <f t="shared" ca="1" si="118"/>
        <v>2085.8218953458486</v>
      </c>
      <c r="AB118" s="90">
        <f t="shared" ca="1" si="118"/>
        <v>2095.6092449249859</v>
      </c>
      <c r="AC118" s="90">
        <f t="shared" ca="1" si="118"/>
        <v>2132.7322648468544</v>
      </c>
    </row>
    <row r="119" spans="1:29">
      <c r="A119" s="74" t="s">
        <v>677</v>
      </c>
      <c r="G119" s="90"/>
      <c r="H119" s="90"/>
      <c r="I119" s="90">
        <f t="shared" ref="I119:R119" ca="1" si="119">I76+I77+I78+I79</f>
        <v>0</v>
      </c>
      <c r="J119" s="90">
        <f t="shared" ca="1" si="119"/>
        <v>0</v>
      </c>
      <c r="K119" s="90">
        <f t="shared" si="119"/>
        <v>0</v>
      </c>
      <c r="L119" s="90">
        <f t="shared" si="119"/>
        <v>0</v>
      </c>
      <c r="M119" s="90">
        <f t="shared" si="119"/>
        <v>0</v>
      </c>
      <c r="N119" s="90">
        <f t="shared" si="119"/>
        <v>0</v>
      </c>
      <c r="O119" s="90">
        <f t="shared" si="119"/>
        <v>4.3794061069212393</v>
      </c>
      <c r="P119" s="90">
        <f t="shared" ca="1" si="119"/>
        <v>4.7347913013252478</v>
      </c>
      <c r="Q119" s="90">
        <f t="shared" ca="1" si="119"/>
        <v>7.1018340606587129</v>
      </c>
      <c r="R119" s="90">
        <f t="shared" si="119"/>
        <v>6.0602935036541092</v>
      </c>
      <c r="S119" s="90">
        <f t="shared" ref="S119:AC119" ca="1" si="120">S76+S77+S78+S79</f>
        <v>5.134621601663329</v>
      </c>
      <c r="T119" s="90">
        <f t="shared" si="120"/>
        <v>4.3136934004570406</v>
      </c>
      <c r="U119" s="90">
        <f t="shared" si="120"/>
        <v>3.6160470859451221</v>
      </c>
      <c r="V119" s="90">
        <f t="shared" si="120"/>
        <v>2.9690276563928304</v>
      </c>
      <c r="W119" s="90">
        <f t="shared" si="120"/>
        <v>2.4348443565521936</v>
      </c>
      <c r="X119" s="90">
        <f t="shared" si="120"/>
        <v>1.9752031273747968</v>
      </c>
      <c r="Y119" s="90">
        <f t="shared" si="120"/>
        <v>1.556639308963266</v>
      </c>
      <c r="Z119" s="90">
        <f t="shared" si="120"/>
        <v>1.1435136510314272</v>
      </c>
      <c r="AA119" s="90">
        <f t="shared" si="120"/>
        <v>0.87442728015961602</v>
      </c>
      <c r="AB119" s="90">
        <f t="shared" si="120"/>
        <v>0.67267199847163439</v>
      </c>
      <c r="AC119" s="90">
        <f t="shared" si="120"/>
        <v>0.5559855604294327</v>
      </c>
    </row>
    <row r="120" spans="1:29">
      <c r="A120" s="74" t="s">
        <v>678</v>
      </c>
      <c r="I120" s="5">
        <f t="shared" ref="I120:AC120" si="121">I80</f>
        <v>0</v>
      </c>
      <c r="J120" s="5">
        <f t="shared" si="121"/>
        <v>0</v>
      </c>
      <c r="K120" s="5">
        <f t="shared" si="121"/>
        <v>0</v>
      </c>
      <c r="L120" s="5">
        <f t="shared" si="121"/>
        <v>0</v>
      </c>
      <c r="M120" s="5">
        <f t="shared" si="121"/>
        <v>0</v>
      </c>
      <c r="N120" s="5">
        <f t="shared" si="121"/>
        <v>0</v>
      </c>
      <c r="O120" s="5">
        <f t="shared" si="121"/>
        <v>0</v>
      </c>
      <c r="P120" s="5">
        <f t="shared" si="121"/>
        <v>0</v>
      </c>
      <c r="Q120" s="5">
        <f t="shared" si="121"/>
        <v>0</v>
      </c>
      <c r="R120" s="5">
        <f t="shared" si="121"/>
        <v>0</v>
      </c>
      <c r="S120" s="5">
        <f t="shared" si="121"/>
        <v>0</v>
      </c>
      <c r="T120" s="5">
        <f t="shared" si="121"/>
        <v>0</v>
      </c>
      <c r="U120" s="5">
        <f t="shared" si="121"/>
        <v>0</v>
      </c>
      <c r="V120" s="5">
        <f t="shared" si="121"/>
        <v>0</v>
      </c>
      <c r="W120" s="5">
        <f t="shared" si="121"/>
        <v>0</v>
      </c>
      <c r="X120" s="5">
        <f t="shared" si="121"/>
        <v>0</v>
      </c>
      <c r="Y120" s="5">
        <f t="shared" si="121"/>
        <v>0</v>
      </c>
      <c r="Z120" s="5">
        <f t="shared" si="121"/>
        <v>0</v>
      </c>
      <c r="AA120" s="5">
        <f t="shared" si="121"/>
        <v>0</v>
      </c>
      <c r="AB120" s="5">
        <f t="shared" si="121"/>
        <v>0</v>
      </c>
      <c r="AC120" s="5">
        <f t="shared" si="121"/>
        <v>0</v>
      </c>
    </row>
    <row r="121" spans="1:29">
      <c r="A121" s="74" t="s">
        <v>679</v>
      </c>
      <c r="G121" s="90"/>
      <c r="H121" s="90"/>
      <c r="I121" s="90">
        <f t="shared" ref="I121:AC121" ca="1" si="122">I733</f>
        <v>-3.7315654718329143</v>
      </c>
      <c r="J121" s="90">
        <f t="shared" ca="1" si="122"/>
        <v>0</v>
      </c>
      <c r="K121" s="90">
        <f t="shared" ca="1" si="122"/>
        <v>-822.03644666825733</v>
      </c>
      <c r="L121" s="90">
        <f t="shared" ca="1" si="122"/>
        <v>-337.88229610145333</v>
      </c>
      <c r="M121" s="90">
        <f t="shared" ca="1" si="122"/>
        <v>671.06960122191663</v>
      </c>
      <c r="N121" s="90">
        <f t="shared" ca="1" si="122"/>
        <v>622.09931123161164</v>
      </c>
      <c r="O121" s="90">
        <f t="shared" ca="1" si="122"/>
        <v>559.06892453605769</v>
      </c>
      <c r="P121" s="90">
        <f t="shared" ca="1" si="122"/>
        <v>519.17685078679494</v>
      </c>
      <c r="Q121" s="90">
        <f t="shared" ca="1" si="122"/>
        <v>507.78322467958003</v>
      </c>
      <c r="R121" s="90">
        <f t="shared" ca="1" si="122"/>
        <v>490.43977186527445</v>
      </c>
      <c r="S121" s="90">
        <f t="shared" ca="1" si="122"/>
        <v>0</v>
      </c>
      <c r="T121" s="90">
        <f t="shared" ca="1" si="122"/>
        <v>0</v>
      </c>
      <c r="U121" s="90">
        <f t="shared" ca="1" si="122"/>
        <v>0</v>
      </c>
      <c r="V121" s="90">
        <f t="shared" ca="1" si="122"/>
        <v>0</v>
      </c>
      <c r="W121" s="90">
        <f t="shared" ca="1" si="122"/>
        <v>0</v>
      </c>
      <c r="X121" s="90">
        <f t="shared" ca="1" si="122"/>
        <v>0</v>
      </c>
      <c r="Y121" s="90">
        <f t="shared" si="122"/>
        <v>0</v>
      </c>
      <c r="Z121" s="90">
        <f t="shared" ca="1" si="122"/>
        <v>0</v>
      </c>
      <c r="AA121" s="90">
        <f t="shared" ca="1" si="122"/>
        <v>0</v>
      </c>
      <c r="AB121" s="90">
        <f t="shared" ca="1" si="122"/>
        <v>0</v>
      </c>
      <c r="AC121" s="90">
        <f t="shared" ca="1" si="122"/>
        <v>0</v>
      </c>
    </row>
    <row r="122" spans="1:29">
      <c r="A122" s="74" t="s">
        <v>680</v>
      </c>
      <c r="G122" s="90"/>
      <c r="H122" s="90"/>
      <c r="I122" s="90">
        <f t="shared" ref="I122:R122" ca="1" si="123">(+I519*-1)+I533+(I527*-1)</f>
        <v>0</v>
      </c>
      <c r="J122" s="90">
        <f t="shared" ca="1" si="123"/>
        <v>0</v>
      </c>
      <c r="K122" s="90">
        <f t="shared" ca="1" si="123"/>
        <v>0</v>
      </c>
      <c r="L122" s="90">
        <f t="shared" ca="1" si="123"/>
        <v>0</v>
      </c>
      <c r="M122" s="90">
        <f t="shared" ca="1" si="123"/>
        <v>0</v>
      </c>
      <c r="N122" s="90">
        <f t="shared" ca="1" si="123"/>
        <v>0</v>
      </c>
      <c r="O122" s="90">
        <f t="shared" ca="1" si="123"/>
        <v>0</v>
      </c>
      <c r="P122" s="90">
        <f t="shared" ca="1" si="123"/>
        <v>0</v>
      </c>
      <c r="Q122" s="90">
        <f t="shared" ca="1" si="123"/>
        <v>0</v>
      </c>
      <c r="R122" s="90">
        <f t="shared" ca="1" si="123"/>
        <v>0</v>
      </c>
      <c r="S122" s="90">
        <f t="shared" ref="S122:AC122" ca="1" si="124">(+S519*-1)+S533+(S527*-1)</f>
        <v>0</v>
      </c>
      <c r="T122" s="90">
        <f t="shared" ca="1" si="124"/>
        <v>0</v>
      </c>
      <c r="U122" s="90">
        <f t="shared" ca="1" si="124"/>
        <v>0</v>
      </c>
      <c r="V122" s="90">
        <f t="shared" ca="1" si="124"/>
        <v>0</v>
      </c>
      <c r="W122" s="90">
        <f t="shared" ca="1" si="124"/>
        <v>0</v>
      </c>
      <c r="X122" s="90">
        <f t="shared" ca="1" si="124"/>
        <v>0</v>
      </c>
      <c r="Y122" s="90">
        <f t="shared" ca="1" si="124"/>
        <v>0</v>
      </c>
      <c r="Z122" s="90">
        <f t="shared" ca="1" si="124"/>
        <v>0</v>
      </c>
      <c r="AA122" s="90">
        <f t="shared" ca="1" si="124"/>
        <v>0</v>
      </c>
      <c r="AB122" s="90">
        <f t="shared" ca="1" si="124"/>
        <v>0</v>
      </c>
      <c r="AC122" s="90">
        <f t="shared" ca="1" si="124"/>
        <v>0</v>
      </c>
    </row>
    <row r="123" spans="1:29">
      <c r="A123" s="5" t="str">
        <f>A463</f>
        <v>Increase/(Decrease) in Other Liabilities</v>
      </c>
      <c r="I123" s="5">
        <f t="shared" ref="I123:AC123" si="125">I463</f>
        <v>0</v>
      </c>
      <c r="J123" s="5">
        <f t="shared" si="125"/>
        <v>0</v>
      </c>
      <c r="K123" s="5">
        <f t="shared" si="125"/>
        <v>0</v>
      </c>
      <c r="L123" s="5">
        <f t="shared" si="125"/>
        <v>0</v>
      </c>
      <c r="M123" s="5">
        <f t="shared" si="125"/>
        <v>0</v>
      </c>
      <c r="N123" s="5">
        <f t="shared" si="125"/>
        <v>0</v>
      </c>
      <c r="O123" s="5">
        <f t="shared" si="125"/>
        <v>0</v>
      </c>
      <c r="P123" s="5">
        <f t="shared" si="125"/>
        <v>0</v>
      </c>
      <c r="Q123" s="5">
        <f t="shared" si="125"/>
        <v>0</v>
      </c>
      <c r="R123" s="5">
        <f t="shared" si="125"/>
        <v>0</v>
      </c>
      <c r="S123" s="5">
        <f t="shared" si="125"/>
        <v>0</v>
      </c>
      <c r="T123" s="5">
        <f t="shared" si="125"/>
        <v>0</v>
      </c>
      <c r="U123" s="5">
        <f t="shared" si="125"/>
        <v>0</v>
      </c>
      <c r="V123" s="5">
        <f t="shared" si="125"/>
        <v>0</v>
      </c>
      <c r="W123" s="5">
        <f t="shared" si="125"/>
        <v>0</v>
      </c>
      <c r="X123" s="5">
        <f t="shared" si="125"/>
        <v>0</v>
      </c>
      <c r="Y123" s="5">
        <f t="shared" si="125"/>
        <v>0</v>
      </c>
      <c r="Z123" s="5">
        <f t="shared" si="125"/>
        <v>0</v>
      </c>
      <c r="AA123" s="5">
        <f t="shared" si="125"/>
        <v>0</v>
      </c>
      <c r="AB123" s="5">
        <f t="shared" si="125"/>
        <v>0</v>
      </c>
      <c r="AC123" s="5">
        <f t="shared" si="125"/>
        <v>0</v>
      </c>
    </row>
    <row r="124" spans="1:29">
      <c r="A124" s="83" t="s">
        <v>681</v>
      </c>
      <c r="G124" s="90"/>
      <c r="H124" s="90"/>
      <c r="I124" s="90">
        <f t="shared" ref="I124:AC124" si="126">I605</f>
        <v>0</v>
      </c>
      <c r="J124" s="90">
        <f t="shared" si="126"/>
        <v>0</v>
      </c>
      <c r="K124" s="90">
        <f t="shared" si="126"/>
        <v>0</v>
      </c>
      <c r="L124" s="90">
        <f t="shared" si="126"/>
        <v>0</v>
      </c>
      <c r="M124" s="90">
        <f t="shared" si="126"/>
        <v>0</v>
      </c>
      <c r="N124" s="90">
        <f t="shared" si="126"/>
        <v>0</v>
      </c>
      <c r="O124" s="90">
        <f t="shared" si="126"/>
        <v>0</v>
      </c>
      <c r="P124" s="90">
        <f t="shared" si="126"/>
        <v>0</v>
      </c>
      <c r="Q124" s="90">
        <f t="shared" si="126"/>
        <v>0</v>
      </c>
      <c r="R124" s="90">
        <f t="shared" si="126"/>
        <v>0</v>
      </c>
      <c r="S124" s="90">
        <f t="shared" si="126"/>
        <v>0</v>
      </c>
      <c r="T124" s="90">
        <f t="shared" si="126"/>
        <v>0</v>
      </c>
      <c r="U124" s="90">
        <f t="shared" si="126"/>
        <v>0</v>
      </c>
      <c r="V124" s="90">
        <f t="shared" si="126"/>
        <v>0</v>
      </c>
      <c r="W124" s="90">
        <f t="shared" si="126"/>
        <v>0</v>
      </c>
      <c r="X124" s="90">
        <f t="shared" si="126"/>
        <v>0</v>
      </c>
      <c r="Y124" s="90">
        <f t="shared" si="126"/>
        <v>0</v>
      </c>
      <c r="Z124" s="90">
        <f t="shared" si="126"/>
        <v>0</v>
      </c>
      <c r="AA124" s="90">
        <f t="shared" si="126"/>
        <v>0</v>
      </c>
      <c r="AB124" s="90">
        <f t="shared" si="126"/>
        <v>0</v>
      </c>
      <c r="AC124" s="90">
        <f t="shared" si="126"/>
        <v>0</v>
      </c>
    </row>
    <row r="125" spans="1:29">
      <c r="A125" s="70" t="s">
        <v>682</v>
      </c>
      <c r="G125" s="90"/>
      <c r="H125" s="92"/>
      <c r="I125" s="92">
        <f t="shared" ref="I125:R125" ca="1" si="127">SUM(I118:I124)</f>
        <v>-504.85591119790752</v>
      </c>
      <c r="J125" s="92">
        <f t="shared" ca="1" si="127"/>
        <v>6242.9363945444502</v>
      </c>
      <c r="K125" s="92">
        <f t="shared" ca="1" si="127"/>
        <v>4451.7369283973248</v>
      </c>
      <c r="L125" s="92">
        <f t="shared" ca="1" si="127"/>
        <v>4038.1080743725247</v>
      </c>
      <c r="M125" s="92">
        <f t="shared" ca="1" si="127"/>
        <v>3950.9631886494744</v>
      </c>
      <c r="N125" s="92">
        <f t="shared" ca="1" si="127"/>
        <v>3759.0530256385973</v>
      </c>
      <c r="O125" s="92">
        <f t="shared" ca="1" si="127"/>
        <v>3493.966663217082</v>
      </c>
      <c r="P125" s="92">
        <f t="shared" ca="1" si="127"/>
        <v>3255.5598421884301</v>
      </c>
      <c r="Q125" s="92">
        <f t="shared" ca="1" si="127"/>
        <v>3107.4337890596057</v>
      </c>
      <c r="R125" s="92">
        <f t="shared" ca="1" si="127"/>
        <v>2973.5588756482061</v>
      </c>
      <c r="S125" s="92">
        <f t="shared" ref="S125:AC125" ca="1" si="128">SUM(S118:S124)</f>
        <v>2401.0365292844181</v>
      </c>
      <c r="T125" s="92">
        <f t="shared" ca="1" si="128"/>
        <v>2320.6052670895951</v>
      </c>
      <c r="U125" s="92">
        <f t="shared" ca="1" si="128"/>
        <v>2263.7801302088938</v>
      </c>
      <c r="V125" s="92">
        <f t="shared" ca="1" si="128"/>
        <v>2208.3773065102155</v>
      </c>
      <c r="W125" s="92">
        <f t="shared" ca="1" si="128"/>
        <v>2183.0922930344996</v>
      </c>
      <c r="X125" s="92">
        <f t="shared" ca="1" si="128"/>
        <v>2153.7369944628117</v>
      </c>
      <c r="Y125" s="92">
        <f t="shared" ca="1" si="128"/>
        <v>2133.3094605303454</v>
      </c>
      <c r="Z125" s="92">
        <f t="shared" ca="1" si="128"/>
        <v>2092.9666798577464</v>
      </c>
      <c r="AA125" s="92">
        <f t="shared" ca="1" si="128"/>
        <v>2086.6963226260082</v>
      </c>
      <c r="AB125" s="92">
        <f t="shared" ca="1" si="128"/>
        <v>2096.2819169234576</v>
      </c>
      <c r="AC125" s="92">
        <f t="shared" ca="1" si="128"/>
        <v>2133.2882504072836</v>
      </c>
    </row>
    <row r="126" spans="1:29"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</row>
    <row r="127" spans="1:29">
      <c r="A127" s="70" t="s">
        <v>683</v>
      </c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</row>
    <row r="128" spans="1:29">
      <c r="A128" s="5" t="s">
        <v>421</v>
      </c>
      <c r="G128" s="90"/>
      <c r="H128" s="90">
        <f>H351+H352+H353+H354</f>
        <v>0</v>
      </c>
      <c r="I128" s="90">
        <f>I941-H128</f>
        <v>0</v>
      </c>
      <c r="J128" s="90">
        <f t="shared" ref="J128:AC128" si="129">J941</f>
        <v>0</v>
      </c>
      <c r="K128" s="90">
        <f t="shared" si="129"/>
        <v>0</v>
      </c>
      <c r="L128" s="90">
        <f t="shared" si="129"/>
        <v>0</v>
      </c>
      <c r="M128" s="90">
        <f t="shared" si="129"/>
        <v>0</v>
      </c>
      <c r="N128" s="90">
        <f t="shared" si="129"/>
        <v>0</v>
      </c>
      <c r="O128" s="90">
        <f t="shared" si="129"/>
        <v>25.811</v>
      </c>
      <c r="P128" s="90">
        <f t="shared" si="129"/>
        <v>5.5119999999999996</v>
      </c>
      <c r="Q128" s="90">
        <f t="shared" si="129"/>
        <v>16.2</v>
      </c>
      <c r="R128" s="90">
        <f t="shared" si="129"/>
        <v>0</v>
      </c>
      <c r="S128" s="90">
        <f t="shared" si="129"/>
        <v>0</v>
      </c>
      <c r="T128" s="90">
        <f t="shared" si="129"/>
        <v>0</v>
      </c>
      <c r="U128" s="90">
        <f t="shared" si="129"/>
        <v>0</v>
      </c>
      <c r="V128" s="90">
        <f t="shared" si="129"/>
        <v>0</v>
      </c>
      <c r="W128" s="90">
        <f t="shared" si="129"/>
        <v>0</v>
      </c>
      <c r="X128" s="90">
        <f t="shared" si="129"/>
        <v>0</v>
      </c>
      <c r="Y128" s="90">
        <f t="shared" si="129"/>
        <v>0</v>
      </c>
      <c r="Z128" s="90">
        <f t="shared" si="129"/>
        <v>0</v>
      </c>
      <c r="AA128" s="90">
        <f t="shared" si="129"/>
        <v>0</v>
      </c>
      <c r="AB128" s="90">
        <f t="shared" si="129"/>
        <v>0</v>
      </c>
      <c r="AC128" s="90">
        <f t="shared" si="129"/>
        <v>0</v>
      </c>
    </row>
    <row r="129" spans="1:29">
      <c r="A129" s="5" t="str">
        <f>B357</f>
        <v>Transaction Fees</v>
      </c>
      <c r="G129" s="90"/>
      <c r="H129" s="90">
        <f>H357</f>
        <v>0</v>
      </c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</row>
    <row r="130" spans="1:29">
      <c r="A130" s="74" t="s">
        <v>684</v>
      </c>
      <c r="D130" s="113"/>
      <c r="E130" s="113"/>
      <c r="F130" s="113"/>
      <c r="G130" s="90"/>
      <c r="H130" s="90"/>
      <c r="I130" s="90">
        <f t="shared" ref="I130:R130" ca="1" si="130">I457-H457</f>
        <v>0</v>
      </c>
      <c r="J130" s="90">
        <f t="shared" ca="1" si="130"/>
        <v>0</v>
      </c>
      <c r="K130" s="90">
        <f t="shared" ca="1" si="130"/>
        <v>0</v>
      </c>
      <c r="L130" s="90">
        <f t="shared" ca="1" si="130"/>
        <v>0</v>
      </c>
      <c r="M130" s="90">
        <f t="shared" ca="1" si="130"/>
        <v>0</v>
      </c>
      <c r="N130" s="90">
        <f t="shared" ca="1" si="130"/>
        <v>0</v>
      </c>
      <c r="O130" s="90">
        <f t="shared" ca="1" si="130"/>
        <v>0</v>
      </c>
      <c r="P130" s="90">
        <f t="shared" ca="1" si="130"/>
        <v>0</v>
      </c>
      <c r="Q130" s="90">
        <f t="shared" ca="1" si="130"/>
        <v>0</v>
      </c>
      <c r="R130" s="90">
        <f t="shared" ca="1" si="130"/>
        <v>0</v>
      </c>
      <c r="S130" s="90">
        <f t="shared" ref="S130:AC130" ca="1" si="131">S457-R457</f>
        <v>0</v>
      </c>
      <c r="T130" s="90">
        <f t="shared" ca="1" si="131"/>
        <v>0</v>
      </c>
      <c r="U130" s="90">
        <f t="shared" ca="1" si="131"/>
        <v>0</v>
      </c>
      <c r="V130" s="90">
        <f t="shared" ca="1" si="131"/>
        <v>0</v>
      </c>
      <c r="W130" s="90">
        <f t="shared" ca="1" si="131"/>
        <v>0</v>
      </c>
      <c r="X130" s="90">
        <f t="shared" ca="1" si="131"/>
        <v>0</v>
      </c>
      <c r="Y130" s="90">
        <f t="shared" ca="1" si="131"/>
        <v>0</v>
      </c>
      <c r="Z130" s="90">
        <f t="shared" ca="1" si="131"/>
        <v>0</v>
      </c>
      <c r="AA130" s="90">
        <f t="shared" ca="1" si="131"/>
        <v>0</v>
      </c>
      <c r="AB130" s="90">
        <f t="shared" ca="1" si="131"/>
        <v>0</v>
      </c>
      <c r="AC130" s="90">
        <f t="shared" ca="1" si="131"/>
        <v>0</v>
      </c>
    </row>
    <row r="131" spans="1:29">
      <c r="A131" s="5" t="str">
        <f>A464</f>
        <v>Increase/(Decrease) in Other Assets</v>
      </c>
      <c r="I131" s="5">
        <f t="shared" ref="I131:AC131" si="132">I464</f>
        <v>0</v>
      </c>
      <c r="J131" s="5">
        <f t="shared" si="132"/>
        <v>0</v>
      </c>
      <c r="K131" s="5">
        <f t="shared" si="132"/>
        <v>0</v>
      </c>
      <c r="L131" s="5">
        <f t="shared" si="132"/>
        <v>0</v>
      </c>
      <c r="M131" s="5">
        <f t="shared" si="132"/>
        <v>0</v>
      </c>
      <c r="N131" s="5">
        <f t="shared" si="132"/>
        <v>0</v>
      </c>
      <c r="O131" s="5">
        <f t="shared" si="132"/>
        <v>0</v>
      </c>
      <c r="P131" s="5">
        <f t="shared" si="132"/>
        <v>0</v>
      </c>
      <c r="Q131" s="5">
        <f t="shared" si="132"/>
        <v>0</v>
      </c>
      <c r="R131" s="5">
        <f t="shared" si="132"/>
        <v>0</v>
      </c>
      <c r="S131" s="5">
        <f t="shared" si="132"/>
        <v>0</v>
      </c>
      <c r="T131" s="5">
        <f t="shared" si="132"/>
        <v>0</v>
      </c>
      <c r="U131" s="5">
        <f t="shared" si="132"/>
        <v>0</v>
      </c>
      <c r="V131" s="5">
        <f t="shared" si="132"/>
        <v>0</v>
      </c>
      <c r="W131" s="5">
        <f t="shared" si="132"/>
        <v>0</v>
      </c>
      <c r="X131" s="5">
        <f t="shared" si="132"/>
        <v>0</v>
      </c>
      <c r="Y131" s="5">
        <f t="shared" si="132"/>
        <v>0</v>
      </c>
      <c r="Z131" s="5">
        <f t="shared" si="132"/>
        <v>0</v>
      </c>
      <c r="AA131" s="5">
        <f t="shared" si="132"/>
        <v>0</v>
      </c>
      <c r="AB131" s="5">
        <f t="shared" si="132"/>
        <v>0</v>
      </c>
      <c r="AC131" s="5">
        <f t="shared" si="132"/>
        <v>0</v>
      </c>
    </row>
    <row r="132" spans="1:29">
      <c r="A132" s="231" t="s">
        <v>685</v>
      </c>
      <c r="G132" s="90"/>
      <c r="H132" s="90"/>
      <c r="I132" s="90">
        <f t="shared" ref="I132:AC132" si="133">I253</f>
        <v>0</v>
      </c>
      <c r="J132" s="90">
        <f t="shared" si="133"/>
        <v>0</v>
      </c>
      <c r="K132" s="90">
        <f t="shared" si="133"/>
        <v>0</v>
      </c>
      <c r="L132" s="90">
        <f t="shared" si="133"/>
        <v>0</v>
      </c>
      <c r="M132" s="90">
        <f t="shared" si="133"/>
        <v>0</v>
      </c>
      <c r="N132" s="90">
        <f t="shared" si="133"/>
        <v>0</v>
      </c>
      <c r="O132" s="90">
        <f t="shared" si="133"/>
        <v>0</v>
      </c>
      <c r="P132" s="90">
        <f t="shared" si="133"/>
        <v>0</v>
      </c>
      <c r="Q132" s="90">
        <f t="shared" si="133"/>
        <v>0</v>
      </c>
      <c r="R132" s="90">
        <f t="shared" si="133"/>
        <v>0</v>
      </c>
      <c r="S132" s="90">
        <f t="shared" si="133"/>
        <v>0</v>
      </c>
      <c r="T132" s="90">
        <f t="shared" si="133"/>
        <v>0</v>
      </c>
      <c r="U132" s="90">
        <f t="shared" si="133"/>
        <v>0</v>
      </c>
      <c r="V132" s="90">
        <f t="shared" si="133"/>
        <v>0</v>
      </c>
      <c r="W132" s="90">
        <f t="shared" si="133"/>
        <v>0</v>
      </c>
      <c r="X132" s="90">
        <f t="shared" si="133"/>
        <v>0</v>
      </c>
      <c r="Y132" s="90">
        <f t="shared" si="133"/>
        <v>0</v>
      </c>
      <c r="Z132" s="90">
        <f t="shared" si="133"/>
        <v>0</v>
      </c>
      <c r="AA132" s="90">
        <f t="shared" si="133"/>
        <v>0</v>
      </c>
      <c r="AB132" s="90">
        <f t="shared" si="133"/>
        <v>0</v>
      </c>
      <c r="AC132" s="90">
        <f t="shared" si="133"/>
        <v>0</v>
      </c>
    </row>
    <row r="133" spans="1:29">
      <c r="A133" s="74" t="s">
        <v>686</v>
      </c>
      <c r="B133" s="74" t="str">
        <f>"Existing Debt and "&amp;A546</f>
        <v>Existing Debt and Existing Preferred Stock</v>
      </c>
      <c r="G133" s="90"/>
      <c r="H133" s="90">
        <f>H358+H359+H360</f>
        <v>0</v>
      </c>
      <c r="I133" s="90">
        <f t="shared" ref="I133:R133" si="134">I538+I543+I546+I540</f>
        <v>0</v>
      </c>
      <c r="J133" s="90">
        <f t="shared" si="134"/>
        <v>0</v>
      </c>
      <c r="K133" s="90">
        <f t="shared" si="134"/>
        <v>0</v>
      </c>
      <c r="L133" s="90">
        <f t="shared" si="134"/>
        <v>0</v>
      </c>
      <c r="M133" s="90">
        <f t="shared" si="134"/>
        <v>0</v>
      </c>
      <c r="N133" s="90">
        <f t="shared" si="134"/>
        <v>0</v>
      </c>
      <c r="O133" s="90">
        <f t="shared" si="134"/>
        <v>0</v>
      </c>
      <c r="P133" s="90">
        <f t="shared" si="134"/>
        <v>0</v>
      </c>
      <c r="Q133" s="90">
        <f t="shared" si="134"/>
        <v>0</v>
      </c>
      <c r="R133" s="90">
        <f t="shared" si="134"/>
        <v>0</v>
      </c>
      <c r="S133" s="90">
        <f t="shared" ref="S133:AC133" si="135">S538+S543+S546+S540</f>
        <v>0</v>
      </c>
      <c r="T133" s="90">
        <f t="shared" si="135"/>
        <v>0</v>
      </c>
      <c r="U133" s="90">
        <f t="shared" si="135"/>
        <v>0</v>
      </c>
      <c r="V133" s="90">
        <f t="shared" si="135"/>
        <v>0</v>
      </c>
      <c r="W133" s="90">
        <f t="shared" si="135"/>
        <v>0</v>
      </c>
      <c r="X133" s="90">
        <f t="shared" si="135"/>
        <v>0</v>
      </c>
      <c r="Y133" s="90">
        <f t="shared" si="135"/>
        <v>0</v>
      </c>
      <c r="Z133" s="90">
        <f t="shared" si="135"/>
        <v>0</v>
      </c>
      <c r="AA133" s="90">
        <f t="shared" si="135"/>
        <v>0</v>
      </c>
      <c r="AB133" s="90">
        <f t="shared" si="135"/>
        <v>0</v>
      </c>
      <c r="AC133" s="90">
        <f t="shared" si="135"/>
        <v>0</v>
      </c>
    </row>
    <row r="134" spans="1:29">
      <c r="A134" s="74" t="s">
        <v>686</v>
      </c>
      <c r="B134" s="74" t="str">
        <f>B337&amp;" and "&amp;B338</f>
        <v>Revolving Loan and Term Loan</v>
      </c>
      <c r="G134" s="90"/>
      <c r="H134" s="90"/>
      <c r="I134" s="90">
        <f t="shared" ref="I134:R134" ca="1" si="136">I243+I233</f>
        <v>0</v>
      </c>
      <c r="J134" s="90">
        <f t="shared" ca="1" si="136"/>
        <v>0</v>
      </c>
      <c r="K134" s="90">
        <f t="shared" ca="1" si="136"/>
        <v>0</v>
      </c>
      <c r="L134" s="90">
        <f t="shared" ca="1" si="136"/>
        <v>0</v>
      </c>
      <c r="M134" s="90">
        <f t="shared" ca="1" si="136"/>
        <v>0</v>
      </c>
      <c r="N134" s="90">
        <f t="shared" ca="1" si="136"/>
        <v>0</v>
      </c>
      <c r="O134" s="90">
        <f t="shared" ca="1" si="136"/>
        <v>0</v>
      </c>
      <c r="P134" s="90">
        <f t="shared" ca="1" si="136"/>
        <v>0</v>
      </c>
      <c r="Q134" s="90">
        <f t="shared" ca="1" si="136"/>
        <v>0</v>
      </c>
      <c r="R134" s="90">
        <f t="shared" ca="1" si="136"/>
        <v>0</v>
      </c>
      <c r="S134" s="90">
        <f t="shared" ref="S134:AC134" ca="1" si="137">S243+S233</f>
        <v>0</v>
      </c>
      <c r="T134" s="90">
        <f t="shared" ca="1" si="137"/>
        <v>0</v>
      </c>
      <c r="U134" s="90">
        <f t="shared" ca="1" si="137"/>
        <v>0</v>
      </c>
      <c r="V134" s="90">
        <f t="shared" ca="1" si="137"/>
        <v>0</v>
      </c>
      <c r="W134" s="90">
        <f t="shared" ca="1" si="137"/>
        <v>0</v>
      </c>
      <c r="X134" s="90">
        <f t="shared" ca="1" si="137"/>
        <v>0</v>
      </c>
      <c r="Y134" s="90">
        <f t="shared" ca="1" si="137"/>
        <v>0</v>
      </c>
      <c r="Z134" s="90">
        <f t="shared" ca="1" si="137"/>
        <v>0</v>
      </c>
      <c r="AA134" s="90">
        <f t="shared" ca="1" si="137"/>
        <v>0</v>
      </c>
      <c r="AB134" s="90">
        <f t="shared" ca="1" si="137"/>
        <v>0</v>
      </c>
      <c r="AC134" s="90">
        <f t="shared" ca="1" si="137"/>
        <v>0</v>
      </c>
    </row>
    <row r="135" spans="1:29">
      <c r="A135" s="74" t="s">
        <v>686</v>
      </c>
      <c r="B135" s="74" t="str">
        <f>B340</f>
        <v>ESOP Notes</v>
      </c>
      <c r="I135" s="5">
        <f t="shared" ref="I135:AC135" si="138">I501</f>
        <v>0</v>
      </c>
      <c r="J135" s="5">
        <f t="shared" si="138"/>
        <v>0</v>
      </c>
      <c r="K135" s="5">
        <f t="shared" si="138"/>
        <v>0</v>
      </c>
      <c r="L135" s="5">
        <f t="shared" si="138"/>
        <v>0</v>
      </c>
      <c r="M135" s="5">
        <f t="shared" si="138"/>
        <v>0</v>
      </c>
      <c r="N135" s="5">
        <f t="shared" si="138"/>
        <v>0</v>
      </c>
      <c r="O135" s="5">
        <f t="shared" si="138"/>
        <v>0</v>
      </c>
      <c r="P135" s="5">
        <f t="shared" si="138"/>
        <v>0</v>
      </c>
      <c r="Q135" s="5">
        <f t="shared" si="138"/>
        <v>0</v>
      </c>
      <c r="R135" s="5">
        <f t="shared" si="138"/>
        <v>0</v>
      </c>
      <c r="S135" s="5">
        <f t="shared" si="138"/>
        <v>0</v>
      </c>
      <c r="T135" s="5">
        <f t="shared" si="138"/>
        <v>0</v>
      </c>
      <c r="U135" s="5">
        <f t="shared" si="138"/>
        <v>0</v>
      </c>
      <c r="V135" s="5">
        <f t="shared" si="138"/>
        <v>0</v>
      </c>
      <c r="W135" s="5">
        <f t="shared" si="138"/>
        <v>0</v>
      </c>
      <c r="X135" s="5">
        <f t="shared" si="138"/>
        <v>0</v>
      </c>
      <c r="Y135" s="5">
        <f t="shared" si="138"/>
        <v>0</v>
      </c>
      <c r="Z135" s="5">
        <f t="shared" si="138"/>
        <v>0</v>
      </c>
      <c r="AA135" s="5">
        <f t="shared" si="138"/>
        <v>0</v>
      </c>
      <c r="AB135" s="5">
        <f t="shared" si="138"/>
        <v>0</v>
      </c>
      <c r="AC135" s="5">
        <f t="shared" si="138"/>
        <v>0</v>
      </c>
    </row>
    <row r="136" spans="1:29">
      <c r="A136" s="74" t="s">
        <v>686</v>
      </c>
      <c r="B136" s="74" t="str">
        <f>B341&amp;" and "&amp;B342</f>
        <v>Placement 1 and Placement 2</v>
      </c>
      <c r="G136" s="90"/>
      <c r="H136" s="90"/>
      <c r="I136" s="90">
        <f t="shared" ref="I136:R136" ca="1" si="139">I504+I510</f>
        <v>0</v>
      </c>
      <c r="J136" s="90">
        <f t="shared" ca="1" si="139"/>
        <v>0</v>
      </c>
      <c r="K136" s="90">
        <f t="shared" ca="1" si="139"/>
        <v>0</v>
      </c>
      <c r="L136" s="90">
        <f t="shared" ca="1" si="139"/>
        <v>0</v>
      </c>
      <c r="M136" s="90">
        <f t="shared" ca="1" si="139"/>
        <v>0</v>
      </c>
      <c r="N136" s="90">
        <f t="shared" ca="1" si="139"/>
        <v>0</v>
      </c>
      <c r="O136" s="90">
        <f t="shared" ca="1" si="139"/>
        <v>0</v>
      </c>
      <c r="P136" s="90">
        <f t="shared" ca="1" si="139"/>
        <v>0</v>
      </c>
      <c r="Q136" s="90">
        <f t="shared" ca="1" si="139"/>
        <v>0</v>
      </c>
      <c r="R136" s="90">
        <f t="shared" ca="1" si="139"/>
        <v>0</v>
      </c>
      <c r="S136" s="90">
        <f t="shared" ref="S136:AC136" ca="1" si="140">S504+S510</f>
        <v>0</v>
      </c>
      <c r="T136" s="90">
        <f t="shared" ca="1" si="140"/>
        <v>0</v>
      </c>
      <c r="U136" s="90">
        <f t="shared" ca="1" si="140"/>
        <v>0</v>
      </c>
      <c r="V136" s="90">
        <f t="shared" ca="1" si="140"/>
        <v>0</v>
      </c>
      <c r="W136" s="90">
        <f t="shared" ca="1" si="140"/>
        <v>0</v>
      </c>
      <c r="X136" s="90">
        <f t="shared" ca="1" si="140"/>
        <v>0</v>
      </c>
      <c r="Y136" s="90">
        <f t="shared" ca="1" si="140"/>
        <v>0</v>
      </c>
      <c r="Z136" s="90">
        <f t="shared" ca="1" si="140"/>
        <v>0</v>
      </c>
      <c r="AA136" s="90">
        <f t="shared" ca="1" si="140"/>
        <v>0</v>
      </c>
      <c r="AB136" s="90">
        <f t="shared" ca="1" si="140"/>
        <v>0</v>
      </c>
      <c r="AC136" s="90">
        <f t="shared" ca="1" si="140"/>
        <v>0</v>
      </c>
    </row>
    <row r="137" spans="1:29">
      <c r="A137" s="74" t="s">
        <v>686</v>
      </c>
      <c r="B137" s="74" t="str">
        <f>B343</f>
        <v>Sr Sub Notes</v>
      </c>
      <c r="G137" s="90"/>
      <c r="H137" s="90"/>
      <c r="I137" s="90">
        <f t="shared" ref="I137:AC137" si="141">I514</f>
        <v>0</v>
      </c>
      <c r="J137" s="90">
        <f t="shared" si="141"/>
        <v>0</v>
      </c>
      <c r="K137" s="90">
        <f t="shared" si="141"/>
        <v>0</v>
      </c>
      <c r="L137" s="90">
        <f t="shared" si="141"/>
        <v>0</v>
      </c>
      <c r="M137" s="90">
        <f t="shared" si="141"/>
        <v>0</v>
      </c>
      <c r="N137" s="90">
        <f t="shared" si="141"/>
        <v>0</v>
      </c>
      <c r="O137" s="90">
        <f t="shared" si="141"/>
        <v>0</v>
      </c>
      <c r="P137" s="90">
        <f t="shared" si="141"/>
        <v>0</v>
      </c>
      <c r="Q137" s="90">
        <f t="shared" si="141"/>
        <v>0</v>
      </c>
      <c r="R137" s="90">
        <f t="shared" si="141"/>
        <v>0</v>
      </c>
      <c r="S137" s="90">
        <f t="shared" si="141"/>
        <v>0</v>
      </c>
      <c r="T137" s="90">
        <f t="shared" si="141"/>
        <v>0</v>
      </c>
      <c r="U137" s="90">
        <f t="shared" si="141"/>
        <v>0</v>
      </c>
      <c r="V137" s="90">
        <f t="shared" si="141"/>
        <v>0</v>
      </c>
      <c r="W137" s="90">
        <f t="shared" si="141"/>
        <v>0</v>
      </c>
      <c r="X137" s="90">
        <f t="shared" si="141"/>
        <v>0</v>
      </c>
      <c r="Y137" s="90">
        <f t="shared" si="141"/>
        <v>0</v>
      </c>
      <c r="Z137" s="90">
        <f t="shared" si="141"/>
        <v>0</v>
      </c>
      <c r="AA137" s="90">
        <f t="shared" si="141"/>
        <v>0</v>
      </c>
      <c r="AB137" s="90">
        <f t="shared" si="141"/>
        <v>0</v>
      </c>
      <c r="AC137" s="90">
        <f t="shared" si="141"/>
        <v>0</v>
      </c>
    </row>
    <row r="138" spans="1:29">
      <c r="A138" s="74" t="s">
        <v>686</v>
      </c>
      <c r="B138" s="74" t="str">
        <f>B344</f>
        <v>Jr. Sub Notes</v>
      </c>
      <c r="G138" s="90"/>
      <c r="H138" s="90"/>
      <c r="I138" s="90">
        <f t="shared" ref="I138:AC138" si="142">I522</f>
        <v>0</v>
      </c>
      <c r="J138" s="90">
        <f t="shared" si="142"/>
        <v>0</v>
      </c>
      <c r="K138" s="90">
        <f t="shared" si="142"/>
        <v>0</v>
      </c>
      <c r="L138" s="90">
        <f t="shared" si="142"/>
        <v>0</v>
      </c>
      <c r="M138" s="90">
        <f t="shared" si="142"/>
        <v>0</v>
      </c>
      <c r="N138" s="90">
        <f t="shared" si="142"/>
        <v>0</v>
      </c>
      <c r="O138" s="90">
        <f t="shared" si="142"/>
        <v>0</v>
      </c>
      <c r="P138" s="90">
        <f t="shared" si="142"/>
        <v>0</v>
      </c>
      <c r="Q138" s="90">
        <f t="shared" si="142"/>
        <v>0</v>
      </c>
      <c r="R138" s="90">
        <f t="shared" si="142"/>
        <v>0</v>
      </c>
      <c r="S138" s="90">
        <f t="shared" si="142"/>
        <v>0</v>
      </c>
      <c r="T138" s="90">
        <f t="shared" si="142"/>
        <v>0</v>
      </c>
      <c r="U138" s="90">
        <f t="shared" si="142"/>
        <v>0</v>
      </c>
      <c r="V138" s="90">
        <f t="shared" si="142"/>
        <v>0</v>
      </c>
      <c r="W138" s="90">
        <f t="shared" si="142"/>
        <v>0</v>
      </c>
      <c r="X138" s="90">
        <f t="shared" si="142"/>
        <v>0</v>
      </c>
      <c r="Y138" s="90">
        <f t="shared" si="142"/>
        <v>0</v>
      </c>
      <c r="Z138" s="90">
        <f t="shared" si="142"/>
        <v>0</v>
      </c>
      <c r="AA138" s="90">
        <f t="shared" si="142"/>
        <v>0</v>
      </c>
      <c r="AB138" s="90">
        <f t="shared" si="142"/>
        <v>0</v>
      </c>
      <c r="AC138" s="90">
        <f t="shared" si="142"/>
        <v>0</v>
      </c>
    </row>
    <row r="139" spans="1:29">
      <c r="A139" s="74" t="s">
        <v>687</v>
      </c>
      <c r="G139" s="90"/>
      <c r="H139" s="90">
        <f>H356+H355</f>
        <v>0</v>
      </c>
      <c r="I139" s="90">
        <f t="shared" ref="I139:R139" ca="1" si="143">I109+I112+I632+I529+I535</f>
        <v>0</v>
      </c>
      <c r="J139" s="90">
        <f t="shared" ca="1" si="143"/>
        <v>0</v>
      </c>
      <c r="K139" s="90">
        <f t="shared" ca="1" si="143"/>
        <v>0</v>
      </c>
      <c r="L139" s="90">
        <f t="shared" ca="1" si="143"/>
        <v>0</v>
      </c>
      <c r="M139" s="90">
        <f t="shared" ca="1" si="143"/>
        <v>0</v>
      </c>
      <c r="N139" s="90">
        <f t="shared" ca="1" si="143"/>
        <v>0</v>
      </c>
      <c r="O139" s="90">
        <f t="shared" ca="1" si="143"/>
        <v>0</v>
      </c>
      <c r="P139" s="90">
        <f t="shared" ca="1" si="143"/>
        <v>0</v>
      </c>
      <c r="Q139" s="90">
        <f t="shared" ca="1" si="143"/>
        <v>0</v>
      </c>
      <c r="R139" s="90">
        <f t="shared" ca="1" si="143"/>
        <v>0</v>
      </c>
      <c r="S139" s="90">
        <f t="shared" ref="S139:AC139" ca="1" si="144">S109+S112+S632+S529+S535</f>
        <v>0</v>
      </c>
      <c r="T139" s="90">
        <f t="shared" ca="1" si="144"/>
        <v>0</v>
      </c>
      <c r="U139" s="90">
        <f t="shared" ca="1" si="144"/>
        <v>0</v>
      </c>
      <c r="V139" s="90">
        <f t="shared" ca="1" si="144"/>
        <v>0</v>
      </c>
      <c r="W139" s="90">
        <f t="shared" ca="1" si="144"/>
        <v>0</v>
      </c>
      <c r="X139" s="90">
        <f t="shared" ca="1" si="144"/>
        <v>0</v>
      </c>
      <c r="Y139" s="90">
        <f t="shared" ca="1" si="144"/>
        <v>0</v>
      </c>
      <c r="Z139" s="90">
        <f t="shared" ca="1" si="144"/>
        <v>0</v>
      </c>
      <c r="AA139" s="90">
        <f t="shared" ca="1" si="144"/>
        <v>0</v>
      </c>
      <c r="AB139" s="90">
        <f t="shared" ca="1" si="144"/>
        <v>0</v>
      </c>
      <c r="AC139" s="90">
        <f t="shared" ca="1" si="144"/>
        <v>0</v>
      </c>
    </row>
    <row r="140" spans="1:29">
      <c r="A140" s="70" t="s">
        <v>688</v>
      </c>
      <c r="G140" s="90"/>
      <c r="H140" s="92">
        <f t="shared" ref="H140:Q140" si="145">SUM(H128:H139)</f>
        <v>0</v>
      </c>
      <c r="I140" s="92">
        <f t="shared" ca="1" si="145"/>
        <v>0</v>
      </c>
      <c r="J140" s="92">
        <f t="shared" ca="1" si="145"/>
        <v>0</v>
      </c>
      <c r="K140" s="92">
        <f t="shared" ca="1" si="145"/>
        <v>0</v>
      </c>
      <c r="L140" s="92">
        <f t="shared" ca="1" si="145"/>
        <v>0</v>
      </c>
      <c r="M140" s="92">
        <f t="shared" ca="1" si="145"/>
        <v>0</v>
      </c>
      <c r="N140" s="92">
        <f t="shared" ca="1" si="145"/>
        <v>0</v>
      </c>
      <c r="O140" s="92">
        <f t="shared" ca="1" si="145"/>
        <v>25.811</v>
      </c>
      <c r="P140" s="92">
        <f t="shared" ca="1" si="145"/>
        <v>5.5119999999999996</v>
      </c>
      <c r="Q140" s="92">
        <f t="shared" ca="1" si="145"/>
        <v>16.2</v>
      </c>
      <c r="R140" s="92">
        <f t="shared" ref="R140:AC140" ca="1" si="146">SUM(R128:R139)</f>
        <v>0</v>
      </c>
      <c r="S140" s="92">
        <f t="shared" ca="1" si="146"/>
        <v>0</v>
      </c>
      <c r="T140" s="92">
        <f t="shared" ca="1" si="146"/>
        <v>0</v>
      </c>
      <c r="U140" s="92">
        <f t="shared" ca="1" si="146"/>
        <v>0</v>
      </c>
      <c r="V140" s="92">
        <f t="shared" ca="1" si="146"/>
        <v>0</v>
      </c>
      <c r="W140" s="92">
        <f t="shared" ca="1" si="146"/>
        <v>0</v>
      </c>
      <c r="X140" s="92">
        <f t="shared" ca="1" si="146"/>
        <v>0</v>
      </c>
      <c r="Y140" s="92">
        <f t="shared" ca="1" si="146"/>
        <v>0</v>
      </c>
      <c r="Z140" s="92">
        <f t="shared" ca="1" si="146"/>
        <v>0</v>
      </c>
      <c r="AA140" s="92">
        <f t="shared" ca="1" si="146"/>
        <v>0</v>
      </c>
      <c r="AB140" s="92">
        <f t="shared" ca="1" si="146"/>
        <v>0</v>
      </c>
      <c r="AC140" s="92">
        <f t="shared" ca="1" si="146"/>
        <v>0</v>
      </c>
    </row>
    <row r="142" spans="1:29">
      <c r="A142" s="70" t="s">
        <v>689</v>
      </c>
      <c r="G142" s="90"/>
      <c r="H142" s="90">
        <f t="shared" ref="H142:Q142" si="147">H125-H140</f>
        <v>0</v>
      </c>
      <c r="I142" s="90">
        <f t="shared" ca="1" si="147"/>
        <v>-504.85591119790752</v>
      </c>
      <c r="J142" s="90">
        <f t="shared" ca="1" si="147"/>
        <v>6242.9363945444502</v>
      </c>
      <c r="K142" s="90">
        <f t="shared" ca="1" si="147"/>
        <v>4451.7369283973248</v>
      </c>
      <c r="L142" s="90">
        <f t="shared" ca="1" si="147"/>
        <v>4038.1080743725247</v>
      </c>
      <c r="M142" s="90">
        <f t="shared" ca="1" si="147"/>
        <v>3950.9631886494744</v>
      </c>
      <c r="N142" s="90">
        <f t="shared" ca="1" si="147"/>
        <v>3759.0530256385973</v>
      </c>
      <c r="O142" s="90">
        <f t="shared" ca="1" si="147"/>
        <v>3468.1556632170818</v>
      </c>
      <c r="P142" s="90">
        <f t="shared" ca="1" si="147"/>
        <v>3250.04784218843</v>
      </c>
      <c r="Q142" s="90">
        <f t="shared" ca="1" si="147"/>
        <v>3091.2337890596059</v>
      </c>
      <c r="R142" s="90">
        <f t="shared" ref="R142:AC142" ca="1" si="148">R125-R140</f>
        <v>2973.5588756482061</v>
      </c>
      <c r="S142" s="90">
        <f t="shared" ca="1" si="148"/>
        <v>2401.0365292844181</v>
      </c>
      <c r="T142" s="90">
        <f t="shared" ca="1" si="148"/>
        <v>2320.6052670895951</v>
      </c>
      <c r="U142" s="90">
        <f t="shared" ca="1" si="148"/>
        <v>2263.7801302088938</v>
      </c>
      <c r="V142" s="90">
        <f t="shared" ca="1" si="148"/>
        <v>2208.3773065102155</v>
      </c>
      <c r="W142" s="90">
        <f t="shared" ca="1" si="148"/>
        <v>2183.0922930344996</v>
      </c>
      <c r="X142" s="90">
        <f t="shared" ca="1" si="148"/>
        <v>2153.7369944628117</v>
      </c>
      <c r="Y142" s="90">
        <f t="shared" ca="1" si="148"/>
        <v>2133.3094605303454</v>
      </c>
      <c r="Z142" s="90">
        <f t="shared" ca="1" si="148"/>
        <v>2092.9666798577464</v>
      </c>
      <c r="AA142" s="90">
        <f t="shared" ca="1" si="148"/>
        <v>2086.6963226260082</v>
      </c>
      <c r="AB142" s="90">
        <f t="shared" ca="1" si="148"/>
        <v>2096.2819169234576</v>
      </c>
      <c r="AC142" s="90">
        <f t="shared" ca="1" si="148"/>
        <v>2133.2882504072836</v>
      </c>
    </row>
    <row r="143" spans="1:29">
      <c r="G143" s="90"/>
      <c r="H143" s="90"/>
      <c r="I143" s="90"/>
    </row>
    <row r="144" spans="1:29">
      <c r="A144" s="70" t="s">
        <v>690</v>
      </c>
      <c r="G144" s="90"/>
      <c r="H144" s="90"/>
      <c r="I144" s="90"/>
    </row>
    <row r="145" spans="1:29">
      <c r="A145" s="5" t="str">
        <f>B337</f>
        <v>Revolving Loan</v>
      </c>
      <c r="G145" s="90"/>
      <c r="H145" s="90">
        <f>H337</f>
        <v>0</v>
      </c>
      <c r="I145" s="90">
        <f t="shared" ref="I145:R145" si="149">-I482</f>
        <v>0</v>
      </c>
      <c r="J145" s="90">
        <f t="shared" si="149"/>
        <v>0</v>
      </c>
      <c r="K145" s="90">
        <f t="shared" si="149"/>
        <v>0</v>
      </c>
      <c r="L145" s="90">
        <f t="shared" si="149"/>
        <v>0</v>
      </c>
      <c r="M145" s="90">
        <f t="shared" si="149"/>
        <v>0</v>
      </c>
      <c r="N145" s="90">
        <f t="shared" si="149"/>
        <v>0</v>
      </c>
      <c r="O145" s="90">
        <f t="shared" si="149"/>
        <v>0</v>
      </c>
      <c r="P145" s="90">
        <f t="shared" si="149"/>
        <v>0</v>
      </c>
      <c r="Q145" s="90">
        <f t="shared" si="149"/>
        <v>0</v>
      </c>
      <c r="R145" s="90">
        <f t="shared" si="149"/>
        <v>0</v>
      </c>
      <c r="S145" s="90">
        <f t="shared" ref="S145:AC145" si="150">-S482</f>
        <v>0</v>
      </c>
      <c r="T145" s="90">
        <f t="shared" si="150"/>
        <v>0</v>
      </c>
      <c r="U145" s="90">
        <f t="shared" si="150"/>
        <v>0</v>
      </c>
      <c r="V145" s="90">
        <f t="shared" si="150"/>
        <v>0</v>
      </c>
      <c r="W145" s="90">
        <f t="shared" si="150"/>
        <v>0</v>
      </c>
      <c r="X145" s="90">
        <f t="shared" si="150"/>
        <v>0</v>
      </c>
      <c r="Y145" s="90">
        <f t="shared" si="150"/>
        <v>0</v>
      </c>
      <c r="Z145" s="90">
        <f t="shared" si="150"/>
        <v>0</v>
      </c>
      <c r="AA145" s="90">
        <f t="shared" si="150"/>
        <v>0</v>
      </c>
      <c r="AB145" s="90">
        <f t="shared" si="150"/>
        <v>0</v>
      </c>
      <c r="AC145" s="90">
        <f t="shared" si="150"/>
        <v>0</v>
      </c>
    </row>
    <row r="146" spans="1:29">
      <c r="A146" s="5" t="str">
        <f>B338</f>
        <v>Term Loan</v>
      </c>
      <c r="H146" s="5">
        <f>H338</f>
        <v>0</v>
      </c>
      <c r="I146" s="5">
        <f t="shared" ref="I146:R146" si="151">-I487</f>
        <v>0</v>
      </c>
      <c r="J146" s="5">
        <f t="shared" si="151"/>
        <v>0</v>
      </c>
      <c r="K146" s="5">
        <f t="shared" si="151"/>
        <v>0</v>
      </c>
      <c r="L146" s="5">
        <f t="shared" si="151"/>
        <v>0</v>
      </c>
      <c r="M146" s="5">
        <f t="shared" si="151"/>
        <v>0</v>
      </c>
      <c r="N146" s="5">
        <f t="shared" si="151"/>
        <v>0</v>
      </c>
      <c r="O146" s="5">
        <f t="shared" si="151"/>
        <v>0</v>
      </c>
      <c r="P146" s="5">
        <f t="shared" si="151"/>
        <v>0</v>
      </c>
      <c r="Q146" s="5">
        <f t="shared" si="151"/>
        <v>0</v>
      </c>
      <c r="R146" s="5">
        <f t="shared" si="151"/>
        <v>0</v>
      </c>
      <c r="S146" s="5">
        <f t="shared" ref="S146:AC146" si="152">-S487</f>
        <v>0</v>
      </c>
      <c r="T146" s="5">
        <f t="shared" si="152"/>
        <v>0</v>
      </c>
      <c r="U146" s="5">
        <f t="shared" si="152"/>
        <v>0</v>
      </c>
      <c r="V146" s="5">
        <f t="shared" si="152"/>
        <v>0</v>
      </c>
      <c r="W146" s="5">
        <f t="shared" si="152"/>
        <v>0</v>
      </c>
      <c r="X146" s="5">
        <f t="shared" si="152"/>
        <v>0</v>
      </c>
      <c r="Y146" s="5">
        <f t="shared" si="152"/>
        <v>0</v>
      </c>
      <c r="Z146" s="5">
        <f t="shared" si="152"/>
        <v>0</v>
      </c>
      <c r="AA146" s="5">
        <f t="shared" si="152"/>
        <v>0</v>
      </c>
      <c r="AB146" s="5">
        <f t="shared" si="152"/>
        <v>0</v>
      </c>
      <c r="AC146" s="5">
        <f t="shared" si="152"/>
        <v>0</v>
      </c>
    </row>
    <row r="147" spans="1:29">
      <c r="A147" s="5" t="str">
        <f>B339</f>
        <v>Production Payment</v>
      </c>
      <c r="H147" s="5">
        <f>H339</f>
        <v>0</v>
      </c>
      <c r="I147" s="5">
        <f t="shared" ref="I147:R147" si="153">-I494</f>
        <v>0</v>
      </c>
      <c r="J147" s="5">
        <f t="shared" si="153"/>
        <v>0</v>
      </c>
      <c r="K147" s="5">
        <f t="shared" si="153"/>
        <v>0</v>
      </c>
      <c r="L147" s="5">
        <f t="shared" si="153"/>
        <v>0</v>
      </c>
      <c r="M147" s="5">
        <f t="shared" si="153"/>
        <v>0</v>
      </c>
      <c r="N147" s="5">
        <f t="shared" si="153"/>
        <v>0</v>
      </c>
      <c r="O147" s="5">
        <f t="shared" si="153"/>
        <v>0</v>
      </c>
      <c r="P147" s="5">
        <f t="shared" si="153"/>
        <v>0</v>
      </c>
      <c r="Q147" s="5">
        <f t="shared" si="153"/>
        <v>0</v>
      </c>
      <c r="R147" s="5">
        <f t="shared" si="153"/>
        <v>0</v>
      </c>
      <c r="S147" s="5">
        <f t="shared" ref="S147:AC147" si="154">-S494</f>
        <v>0</v>
      </c>
      <c r="T147" s="5">
        <f t="shared" si="154"/>
        <v>0</v>
      </c>
      <c r="U147" s="5">
        <f t="shared" si="154"/>
        <v>0</v>
      </c>
      <c r="V147" s="5">
        <f t="shared" si="154"/>
        <v>0</v>
      </c>
      <c r="W147" s="5">
        <f t="shared" si="154"/>
        <v>0</v>
      </c>
      <c r="X147" s="5">
        <f t="shared" si="154"/>
        <v>0</v>
      </c>
      <c r="Y147" s="5">
        <f t="shared" si="154"/>
        <v>0</v>
      </c>
      <c r="Z147" s="5">
        <f t="shared" si="154"/>
        <v>0</v>
      </c>
      <c r="AA147" s="5">
        <f t="shared" si="154"/>
        <v>0</v>
      </c>
      <c r="AB147" s="5">
        <f t="shared" si="154"/>
        <v>0</v>
      </c>
      <c r="AC147" s="5">
        <f t="shared" si="154"/>
        <v>0</v>
      </c>
    </row>
    <row r="148" spans="1:29">
      <c r="A148" s="5" t="str">
        <f>B340</f>
        <v>ESOP Notes</v>
      </c>
      <c r="H148" s="5">
        <f>H340</f>
        <v>0</v>
      </c>
      <c r="I148" s="5">
        <f t="shared" ref="I148:R148" si="155">-I502</f>
        <v>0</v>
      </c>
      <c r="J148" s="5">
        <f t="shared" si="155"/>
        <v>0</v>
      </c>
      <c r="K148" s="5">
        <f t="shared" si="155"/>
        <v>0</v>
      </c>
      <c r="L148" s="5">
        <f t="shared" si="155"/>
        <v>0</v>
      </c>
      <c r="M148" s="5">
        <f t="shared" si="155"/>
        <v>0</v>
      </c>
      <c r="N148" s="5">
        <f t="shared" si="155"/>
        <v>0</v>
      </c>
      <c r="O148" s="5">
        <f t="shared" si="155"/>
        <v>0</v>
      </c>
      <c r="P148" s="5">
        <f t="shared" si="155"/>
        <v>0</v>
      </c>
      <c r="Q148" s="5">
        <f t="shared" si="155"/>
        <v>0</v>
      </c>
      <c r="R148" s="5">
        <f t="shared" si="155"/>
        <v>0</v>
      </c>
      <c r="S148" s="5">
        <f t="shared" ref="S148:AC148" si="156">-S502</f>
        <v>0</v>
      </c>
      <c r="T148" s="5">
        <f t="shared" si="156"/>
        <v>0</v>
      </c>
      <c r="U148" s="5">
        <f t="shared" si="156"/>
        <v>0</v>
      </c>
      <c r="V148" s="5">
        <f t="shared" si="156"/>
        <v>0</v>
      </c>
      <c r="W148" s="5">
        <f t="shared" si="156"/>
        <v>0</v>
      </c>
      <c r="X148" s="5">
        <f t="shared" si="156"/>
        <v>0</v>
      </c>
      <c r="Y148" s="5">
        <f t="shared" si="156"/>
        <v>0</v>
      </c>
      <c r="Z148" s="5">
        <f t="shared" si="156"/>
        <v>0</v>
      </c>
      <c r="AA148" s="5">
        <f t="shared" si="156"/>
        <v>0</v>
      </c>
      <c r="AB148" s="5">
        <f t="shared" si="156"/>
        <v>0</v>
      </c>
      <c r="AC148" s="5">
        <f t="shared" si="156"/>
        <v>0</v>
      </c>
    </row>
    <row r="149" spans="1:29">
      <c r="A149" s="5" t="str">
        <f>B341&amp;", "&amp;B342&amp;" and Existing Sr Debt"</f>
        <v>Placement 1, Placement 2 and Existing Sr Debt</v>
      </c>
      <c r="G149" s="90"/>
      <c r="H149" s="90">
        <f>H341+H342</f>
        <v>0</v>
      </c>
      <c r="I149" s="90">
        <f t="shared" ref="I149:R149" si="157">-I505-I539-I541-I511</f>
        <v>0</v>
      </c>
      <c r="J149" s="90">
        <f t="shared" si="157"/>
        <v>0</v>
      </c>
      <c r="K149" s="90">
        <f t="shared" si="157"/>
        <v>0</v>
      </c>
      <c r="L149" s="90">
        <f t="shared" si="157"/>
        <v>0</v>
      </c>
      <c r="M149" s="90">
        <f t="shared" si="157"/>
        <v>0</v>
      </c>
      <c r="N149" s="90">
        <f t="shared" si="157"/>
        <v>0</v>
      </c>
      <c r="O149" s="90">
        <f t="shared" si="157"/>
        <v>0</v>
      </c>
      <c r="P149" s="90">
        <f t="shared" si="157"/>
        <v>0</v>
      </c>
      <c r="Q149" s="90">
        <f t="shared" si="157"/>
        <v>0</v>
      </c>
      <c r="R149" s="90">
        <f t="shared" si="157"/>
        <v>0</v>
      </c>
      <c r="S149" s="90">
        <f t="shared" ref="S149:AC149" si="158">-S505-S539-S541-S511</f>
        <v>0</v>
      </c>
      <c r="T149" s="90">
        <f t="shared" si="158"/>
        <v>0</v>
      </c>
      <c r="U149" s="90">
        <f t="shared" si="158"/>
        <v>0</v>
      </c>
      <c r="V149" s="90">
        <f t="shared" si="158"/>
        <v>0</v>
      </c>
      <c r="W149" s="90">
        <f t="shared" si="158"/>
        <v>0</v>
      </c>
      <c r="X149" s="90">
        <f t="shared" si="158"/>
        <v>0</v>
      </c>
      <c r="Y149" s="90">
        <f t="shared" si="158"/>
        <v>0</v>
      </c>
      <c r="Z149" s="90">
        <f t="shared" si="158"/>
        <v>0</v>
      </c>
      <c r="AA149" s="90">
        <f t="shared" si="158"/>
        <v>0</v>
      </c>
      <c r="AB149" s="90">
        <f t="shared" si="158"/>
        <v>0</v>
      </c>
      <c r="AC149" s="90">
        <f t="shared" si="158"/>
        <v>0</v>
      </c>
    </row>
    <row r="150" spans="1:29">
      <c r="A150" s="5" t="str">
        <f>B343&amp;" and Existing Sub Debt"</f>
        <v>Sr Sub Notes and Existing Sub Debt</v>
      </c>
      <c r="G150" s="90"/>
      <c r="H150" s="90">
        <f>H343</f>
        <v>0</v>
      </c>
      <c r="I150" s="90">
        <f t="shared" ref="I150:R150" si="159">-I515-I544</f>
        <v>0</v>
      </c>
      <c r="J150" s="90">
        <f t="shared" si="159"/>
        <v>0</v>
      </c>
      <c r="K150" s="90">
        <f t="shared" si="159"/>
        <v>0</v>
      </c>
      <c r="L150" s="90">
        <f t="shared" si="159"/>
        <v>0</v>
      </c>
      <c r="M150" s="90">
        <f t="shared" si="159"/>
        <v>0</v>
      </c>
      <c r="N150" s="90">
        <f t="shared" si="159"/>
        <v>0</v>
      </c>
      <c r="O150" s="90">
        <f t="shared" si="159"/>
        <v>0</v>
      </c>
      <c r="P150" s="90">
        <f t="shared" si="159"/>
        <v>0</v>
      </c>
      <c r="Q150" s="90">
        <f t="shared" si="159"/>
        <v>0</v>
      </c>
      <c r="R150" s="90">
        <f t="shared" si="159"/>
        <v>0</v>
      </c>
      <c r="S150" s="90">
        <f t="shared" ref="S150:AC150" si="160">-S515-S544</f>
        <v>0</v>
      </c>
      <c r="T150" s="90">
        <f t="shared" si="160"/>
        <v>0</v>
      </c>
      <c r="U150" s="90">
        <f t="shared" si="160"/>
        <v>0</v>
      </c>
      <c r="V150" s="90">
        <f t="shared" si="160"/>
        <v>0</v>
      </c>
      <c r="W150" s="90">
        <f t="shared" si="160"/>
        <v>0</v>
      </c>
      <c r="X150" s="90">
        <f t="shared" si="160"/>
        <v>0</v>
      </c>
      <c r="Y150" s="90">
        <f t="shared" si="160"/>
        <v>0</v>
      </c>
      <c r="Z150" s="90">
        <f t="shared" si="160"/>
        <v>0</v>
      </c>
      <c r="AA150" s="90">
        <f t="shared" si="160"/>
        <v>0</v>
      </c>
      <c r="AB150" s="90">
        <f t="shared" si="160"/>
        <v>0</v>
      </c>
      <c r="AC150" s="90">
        <f t="shared" si="160"/>
        <v>0</v>
      </c>
    </row>
    <row r="151" spans="1:29">
      <c r="A151" s="5" t="str">
        <f>B344</f>
        <v>Jr. Sub Notes</v>
      </c>
      <c r="G151" s="90"/>
      <c r="H151" s="90">
        <f>H344</f>
        <v>0</v>
      </c>
      <c r="I151" s="90">
        <f t="shared" ref="I151:R151" si="161">-I523</f>
        <v>0</v>
      </c>
      <c r="J151" s="90">
        <f t="shared" si="161"/>
        <v>0</v>
      </c>
      <c r="K151" s="90">
        <f t="shared" si="161"/>
        <v>0</v>
      </c>
      <c r="L151" s="90">
        <f t="shared" si="161"/>
        <v>0</v>
      </c>
      <c r="M151" s="90">
        <f t="shared" si="161"/>
        <v>0</v>
      </c>
      <c r="N151" s="90">
        <f t="shared" si="161"/>
        <v>0</v>
      </c>
      <c r="O151" s="90">
        <f t="shared" si="161"/>
        <v>0</v>
      </c>
      <c r="P151" s="90">
        <f t="shared" si="161"/>
        <v>0</v>
      </c>
      <c r="Q151" s="90">
        <f t="shared" si="161"/>
        <v>0</v>
      </c>
      <c r="R151" s="90">
        <f t="shared" si="161"/>
        <v>0</v>
      </c>
      <c r="S151" s="90">
        <f t="shared" ref="S151:AC151" si="162">-S523</f>
        <v>0</v>
      </c>
      <c r="T151" s="90">
        <f t="shared" si="162"/>
        <v>0</v>
      </c>
      <c r="U151" s="90">
        <f t="shared" si="162"/>
        <v>0</v>
      </c>
      <c r="V151" s="90">
        <f t="shared" si="162"/>
        <v>0</v>
      </c>
      <c r="W151" s="90">
        <f t="shared" si="162"/>
        <v>0</v>
      </c>
      <c r="X151" s="90">
        <f t="shared" si="162"/>
        <v>0</v>
      </c>
      <c r="Y151" s="90">
        <f t="shared" si="162"/>
        <v>0</v>
      </c>
      <c r="Z151" s="90">
        <f t="shared" si="162"/>
        <v>0</v>
      </c>
      <c r="AA151" s="90">
        <f t="shared" si="162"/>
        <v>0</v>
      </c>
      <c r="AB151" s="90">
        <f t="shared" si="162"/>
        <v>0</v>
      </c>
      <c r="AC151" s="90">
        <f t="shared" si="162"/>
        <v>0</v>
      </c>
    </row>
    <row r="152" spans="1:29">
      <c r="A152" s="5" t="str">
        <f>B345&amp;" and "&amp;A546</f>
        <v>Preferred Stock and Existing Preferred Stock</v>
      </c>
      <c r="G152" s="90"/>
      <c r="H152" s="90">
        <f>H345</f>
        <v>0</v>
      </c>
      <c r="I152" s="90">
        <f t="shared" ref="I152:R152" si="163">-I530-I547</f>
        <v>0</v>
      </c>
      <c r="J152" s="90">
        <f t="shared" si="163"/>
        <v>0</v>
      </c>
      <c r="K152" s="90">
        <f t="shared" si="163"/>
        <v>0</v>
      </c>
      <c r="L152" s="90">
        <f t="shared" si="163"/>
        <v>0</v>
      </c>
      <c r="M152" s="90">
        <f t="shared" si="163"/>
        <v>0</v>
      </c>
      <c r="N152" s="90">
        <f t="shared" si="163"/>
        <v>0</v>
      </c>
      <c r="O152" s="90">
        <f t="shared" si="163"/>
        <v>0</v>
      </c>
      <c r="P152" s="90">
        <f t="shared" si="163"/>
        <v>0</v>
      </c>
      <c r="Q152" s="90">
        <f t="shared" si="163"/>
        <v>0</v>
      </c>
      <c r="R152" s="90">
        <f t="shared" si="163"/>
        <v>0</v>
      </c>
      <c r="S152" s="90">
        <f t="shared" ref="S152:AC152" si="164">-S530-S547</f>
        <v>0</v>
      </c>
      <c r="T152" s="90">
        <f t="shared" si="164"/>
        <v>0</v>
      </c>
      <c r="U152" s="90">
        <f t="shared" si="164"/>
        <v>0</v>
      </c>
      <c r="V152" s="90">
        <f t="shared" si="164"/>
        <v>0</v>
      </c>
      <c r="W152" s="90">
        <f t="shared" si="164"/>
        <v>0</v>
      </c>
      <c r="X152" s="90">
        <f t="shared" si="164"/>
        <v>0</v>
      </c>
      <c r="Y152" s="90">
        <f t="shared" si="164"/>
        <v>0</v>
      </c>
      <c r="Z152" s="90">
        <f t="shared" si="164"/>
        <v>0</v>
      </c>
      <c r="AA152" s="90">
        <f t="shared" si="164"/>
        <v>0</v>
      </c>
      <c r="AB152" s="90">
        <f t="shared" si="164"/>
        <v>0</v>
      </c>
      <c r="AC152" s="90">
        <f t="shared" si="164"/>
        <v>0</v>
      </c>
    </row>
    <row r="153" spans="1:29">
      <c r="A153" s="5" t="str">
        <f>B346</f>
        <v>Common Stock</v>
      </c>
      <c r="G153" s="90"/>
      <c r="H153" s="90">
        <f>H346</f>
        <v>0</v>
      </c>
      <c r="I153" s="90">
        <f t="shared" ref="I153:R153" si="165">-I536</f>
        <v>0</v>
      </c>
      <c r="J153" s="90">
        <f t="shared" si="165"/>
        <v>0</v>
      </c>
      <c r="K153" s="90">
        <f t="shared" si="165"/>
        <v>0</v>
      </c>
      <c r="L153" s="90">
        <f t="shared" si="165"/>
        <v>0</v>
      </c>
      <c r="M153" s="90">
        <f t="shared" si="165"/>
        <v>0</v>
      </c>
      <c r="N153" s="90">
        <f t="shared" si="165"/>
        <v>0</v>
      </c>
      <c r="O153" s="90">
        <f t="shared" si="165"/>
        <v>0</v>
      </c>
      <c r="P153" s="90">
        <f t="shared" si="165"/>
        <v>0</v>
      </c>
      <c r="Q153" s="90">
        <f t="shared" si="165"/>
        <v>0</v>
      </c>
      <c r="R153" s="90">
        <f t="shared" si="165"/>
        <v>0</v>
      </c>
      <c r="S153" s="90">
        <f t="shared" ref="S153:AC153" si="166">-S536</f>
        <v>0</v>
      </c>
      <c r="T153" s="90">
        <f t="shared" si="166"/>
        <v>0</v>
      </c>
      <c r="U153" s="90">
        <f t="shared" si="166"/>
        <v>0</v>
      </c>
      <c r="V153" s="90">
        <f t="shared" si="166"/>
        <v>0</v>
      </c>
      <c r="W153" s="90">
        <f t="shared" si="166"/>
        <v>0</v>
      </c>
      <c r="X153" s="90">
        <f t="shared" si="166"/>
        <v>0</v>
      </c>
      <c r="Y153" s="90">
        <f t="shared" si="166"/>
        <v>0</v>
      </c>
      <c r="Z153" s="90">
        <f t="shared" si="166"/>
        <v>0</v>
      </c>
      <c r="AA153" s="90">
        <f t="shared" si="166"/>
        <v>0</v>
      </c>
      <c r="AB153" s="90">
        <f t="shared" si="166"/>
        <v>0</v>
      </c>
      <c r="AC153" s="90">
        <f t="shared" si="166"/>
        <v>0</v>
      </c>
    </row>
    <row r="154" spans="1:29">
      <c r="A154" s="70" t="s">
        <v>691</v>
      </c>
      <c r="H154" s="50">
        <f t="shared" ref="H154:Q154" si="167">SUM(H145:H153)</f>
        <v>0</v>
      </c>
      <c r="I154" s="50">
        <f t="shared" si="167"/>
        <v>0</v>
      </c>
      <c r="J154" s="50">
        <f t="shared" si="167"/>
        <v>0</v>
      </c>
      <c r="K154" s="50">
        <f t="shared" si="167"/>
        <v>0</v>
      </c>
      <c r="L154" s="50">
        <f t="shared" si="167"/>
        <v>0</v>
      </c>
      <c r="M154" s="50">
        <f t="shared" si="167"/>
        <v>0</v>
      </c>
      <c r="N154" s="50">
        <f t="shared" si="167"/>
        <v>0</v>
      </c>
      <c r="O154" s="50">
        <f t="shared" si="167"/>
        <v>0</v>
      </c>
      <c r="P154" s="50">
        <f t="shared" si="167"/>
        <v>0</v>
      </c>
      <c r="Q154" s="50">
        <f t="shared" si="167"/>
        <v>0</v>
      </c>
      <c r="R154" s="50">
        <f t="shared" ref="R154:AC154" si="168">SUM(R145:R153)</f>
        <v>0</v>
      </c>
      <c r="S154" s="50">
        <f t="shared" si="168"/>
        <v>0</v>
      </c>
      <c r="T154" s="50">
        <f t="shared" si="168"/>
        <v>0</v>
      </c>
      <c r="U154" s="50">
        <f t="shared" si="168"/>
        <v>0</v>
      </c>
      <c r="V154" s="50">
        <f t="shared" si="168"/>
        <v>0</v>
      </c>
      <c r="W154" s="50">
        <f t="shared" si="168"/>
        <v>0</v>
      </c>
      <c r="X154" s="50">
        <f t="shared" si="168"/>
        <v>0</v>
      </c>
      <c r="Y154" s="50">
        <f t="shared" si="168"/>
        <v>0</v>
      </c>
      <c r="Z154" s="50">
        <f t="shared" si="168"/>
        <v>0</v>
      </c>
      <c r="AA154" s="50">
        <f t="shared" si="168"/>
        <v>0</v>
      </c>
      <c r="AB154" s="50">
        <f t="shared" si="168"/>
        <v>0</v>
      </c>
      <c r="AC154" s="50">
        <f t="shared" si="168"/>
        <v>0</v>
      </c>
    </row>
    <row r="156" spans="1:29">
      <c r="A156" s="74" t="s">
        <v>692</v>
      </c>
      <c r="H156" s="5">
        <v>0</v>
      </c>
      <c r="I156" s="5">
        <f t="shared" ref="I156:R156" ca="1" si="169">-I232-I234</f>
        <v>504.85591119790752</v>
      </c>
      <c r="J156" s="5">
        <f t="shared" ca="1" si="169"/>
        <v>0</v>
      </c>
      <c r="K156" s="5">
        <f t="shared" ca="1" si="169"/>
        <v>0</v>
      </c>
      <c r="L156" s="5">
        <f t="shared" ca="1" si="169"/>
        <v>0</v>
      </c>
      <c r="M156" s="5">
        <f t="shared" ca="1" si="169"/>
        <v>0</v>
      </c>
      <c r="N156" s="5">
        <f t="shared" ca="1" si="169"/>
        <v>0</v>
      </c>
      <c r="O156" s="5">
        <f t="shared" ca="1" si="169"/>
        <v>0</v>
      </c>
      <c r="P156" s="5">
        <f t="shared" ca="1" si="169"/>
        <v>0</v>
      </c>
      <c r="Q156" s="5">
        <f t="shared" ca="1" si="169"/>
        <v>0</v>
      </c>
      <c r="R156" s="5">
        <f t="shared" ca="1" si="169"/>
        <v>0</v>
      </c>
      <c r="S156" s="5">
        <f t="shared" ref="S156:AC156" ca="1" si="170">-S232-S234</f>
        <v>0</v>
      </c>
      <c r="T156" s="5">
        <f t="shared" ca="1" si="170"/>
        <v>0</v>
      </c>
      <c r="U156" s="5">
        <f t="shared" ca="1" si="170"/>
        <v>0</v>
      </c>
      <c r="V156" s="5">
        <f t="shared" ca="1" si="170"/>
        <v>0</v>
      </c>
      <c r="W156" s="5">
        <f t="shared" ca="1" si="170"/>
        <v>0</v>
      </c>
      <c r="X156" s="5">
        <f t="shared" ca="1" si="170"/>
        <v>0</v>
      </c>
      <c r="Y156" s="5">
        <f t="shared" ca="1" si="170"/>
        <v>0</v>
      </c>
      <c r="Z156" s="5">
        <f t="shared" ca="1" si="170"/>
        <v>0</v>
      </c>
      <c r="AA156" s="5">
        <f t="shared" ca="1" si="170"/>
        <v>0</v>
      </c>
      <c r="AB156" s="5">
        <f t="shared" ca="1" si="170"/>
        <v>0</v>
      </c>
      <c r="AC156" s="5">
        <f t="shared" ca="1" si="170"/>
        <v>0</v>
      </c>
    </row>
    <row r="157" spans="1:29">
      <c r="A157" s="74" t="s">
        <v>693</v>
      </c>
      <c r="G157" s="90"/>
      <c r="H157" s="90">
        <v>0</v>
      </c>
      <c r="I157" s="90">
        <f t="shared" ref="I157:R157" ca="1" si="171">-I225-I226</f>
        <v>0</v>
      </c>
      <c r="J157" s="90">
        <f t="shared" ca="1" si="171"/>
        <v>0</v>
      </c>
      <c r="K157" s="90">
        <f t="shared" ca="1" si="171"/>
        <v>0</v>
      </c>
      <c r="L157" s="90">
        <f t="shared" ca="1" si="171"/>
        <v>0</v>
      </c>
      <c r="M157" s="90">
        <f t="shared" ca="1" si="171"/>
        <v>0</v>
      </c>
      <c r="N157" s="90">
        <f t="shared" ca="1" si="171"/>
        <v>0</v>
      </c>
      <c r="O157" s="90">
        <f t="shared" ca="1" si="171"/>
        <v>0</v>
      </c>
      <c r="P157" s="90">
        <f t="shared" ca="1" si="171"/>
        <v>0</v>
      </c>
      <c r="Q157" s="90">
        <f t="shared" ca="1" si="171"/>
        <v>0</v>
      </c>
      <c r="R157" s="90">
        <f t="shared" ca="1" si="171"/>
        <v>0</v>
      </c>
      <c r="S157" s="90">
        <f t="shared" ref="S157:AC157" ca="1" si="172">-S225-S226</f>
        <v>0</v>
      </c>
      <c r="T157" s="90">
        <f t="shared" ca="1" si="172"/>
        <v>0</v>
      </c>
      <c r="U157" s="90">
        <f t="shared" ca="1" si="172"/>
        <v>0</v>
      </c>
      <c r="V157" s="90">
        <f t="shared" ca="1" si="172"/>
        <v>0</v>
      </c>
      <c r="W157" s="90">
        <f t="shared" ca="1" si="172"/>
        <v>0</v>
      </c>
      <c r="X157" s="90">
        <f t="shared" ca="1" si="172"/>
        <v>0</v>
      </c>
      <c r="Y157" s="90">
        <f t="shared" ca="1" si="172"/>
        <v>0</v>
      </c>
      <c r="Z157" s="90">
        <f t="shared" ca="1" si="172"/>
        <v>0</v>
      </c>
      <c r="AA157" s="90">
        <f t="shared" ca="1" si="172"/>
        <v>0</v>
      </c>
      <c r="AB157" s="90">
        <f t="shared" ca="1" si="172"/>
        <v>0</v>
      </c>
      <c r="AC157" s="90">
        <f t="shared" ca="1" si="172"/>
        <v>0</v>
      </c>
    </row>
    <row r="158" spans="1:29">
      <c r="A158" s="74" t="s">
        <v>694</v>
      </c>
      <c r="H158" s="5">
        <f t="shared" ref="H158:Q158" si="173">-H142-H154-H157-H156</f>
        <v>0</v>
      </c>
      <c r="I158" s="5">
        <f t="shared" ca="1" si="173"/>
        <v>0</v>
      </c>
      <c r="J158" s="5">
        <f t="shared" ca="1" si="173"/>
        <v>-6242.9363945444502</v>
      </c>
      <c r="K158" s="5">
        <f t="shared" ca="1" si="173"/>
        <v>-4451.7369283973248</v>
      </c>
      <c r="L158" s="5">
        <f t="shared" ca="1" si="173"/>
        <v>-4038.1080743725247</v>
      </c>
      <c r="M158" s="5">
        <f t="shared" ca="1" si="173"/>
        <v>-3950.9631886494744</v>
      </c>
      <c r="N158" s="5">
        <f t="shared" ca="1" si="173"/>
        <v>-3759.0530256385973</v>
      </c>
      <c r="O158" s="5">
        <f t="shared" ca="1" si="173"/>
        <v>-3468.1556632170818</v>
      </c>
      <c r="P158" s="5">
        <f t="shared" ca="1" si="173"/>
        <v>-3250.04784218843</v>
      </c>
      <c r="Q158" s="5">
        <f t="shared" ca="1" si="173"/>
        <v>-3091.2337890596059</v>
      </c>
      <c r="R158" s="5">
        <f t="shared" ref="R158:AC158" ca="1" si="174">-R142-R154-R157-R156</f>
        <v>-2973.5588756482061</v>
      </c>
      <c r="S158" s="5">
        <f t="shared" ca="1" si="174"/>
        <v>-2401.0365292844181</v>
      </c>
      <c r="T158" s="5">
        <f t="shared" ca="1" si="174"/>
        <v>-2320.6052670895951</v>
      </c>
      <c r="U158" s="5">
        <f t="shared" ca="1" si="174"/>
        <v>-2263.7801302088938</v>
      </c>
      <c r="V158" s="5">
        <f t="shared" ca="1" si="174"/>
        <v>-2208.3773065102155</v>
      </c>
      <c r="W158" s="5">
        <f t="shared" ca="1" si="174"/>
        <v>-2183.0922930344996</v>
      </c>
      <c r="X158" s="5">
        <f t="shared" ca="1" si="174"/>
        <v>-2153.7369944628117</v>
      </c>
      <c r="Y158" s="5">
        <f t="shared" ca="1" si="174"/>
        <v>-2133.3094605303454</v>
      </c>
      <c r="Z158" s="5">
        <f t="shared" ca="1" si="174"/>
        <v>-2092.9666798577464</v>
      </c>
      <c r="AA158" s="5">
        <f t="shared" ca="1" si="174"/>
        <v>-2086.6963226260082</v>
      </c>
      <c r="AB158" s="5">
        <f t="shared" ca="1" si="174"/>
        <v>-2096.2819169234576</v>
      </c>
      <c r="AC158" s="5">
        <f t="shared" ca="1" si="174"/>
        <v>-2133.2882504072836</v>
      </c>
    </row>
    <row r="159" spans="1:29">
      <c r="A159" s="70" t="s">
        <v>695</v>
      </c>
      <c r="G159"/>
      <c r="H159" s="92">
        <f t="shared" ref="H159:Q159" si="175">H154+H157+H158+H156</f>
        <v>0</v>
      </c>
      <c r="I159" s="92">
        <f t="shared" ca="1" si="175"/>
        <v>504.85591119790752</v>
      </c>
      <c r="J159" s="92">
        <f t="shared" ca="1" si="175"/>
        <v>-6242.9363945444502</v>
      </c>
      <c r="K159" s="92">
        <f t="shared" ca="1" si="175"/>
        <v>-4451.7369283973248</v>
      </c>
      <c r="L159" s="92">
        <f t="shared" ca="1" si="175"/>
        <v>-4038.1080743725247</v>
      </c>
      <c r="M159" s="92">
        <f t="shared" ca="1" si="175"/>
        <v>-3950.9631886494744</v>
      </c>
      <c r="N159" s="92">
        <f t="shared" ca="1" si="175"/>
        <v>-3759.0530256385973</v>
      </c>
      <c r="O159" s="92">
        <f t="shared" ca="1" si="175"/>
        <v>-3468.1556632170818</v>
      </c>
      <c r="P159" s="92">
        <f t="shared" ca="1" si="175"/>
        <v>-3250.04784218843</v>
      </c>
      <c r="Q159" s="92">
        <f t="shared" ca="1" si="175"/>
        <v>-3091.2337890596059</v>
      </c>
      <c r="R159" s="92">
        <f t="shared" ref="R159:AC159" ca="1" si="176">R154+R157+R158+R156</f>
        <v>-2973.5588756482061</v>
      </c>
      <c r="S159" s="92">
        <f t="shared" ca="1" si="176"/>
        <v>-2401.0365292844181</v>
      </c>
      <c r="T159" s="92">
        <f t="shared" ca="1" si="176"/>
        <v>-2320.6052670895951</v>
      </c>
      <c r="U159" s="92">
        <f t="shared" ca="1" si="176"/>
        <v>-2263.7801302088938</v>
      </c>
      <c r="V159" s="92">
        <f t="shared" ca="1" si="176"/>
        <v>-2208.3773065102155</v>
      </c>
      <c r="W159" s="92">
        <f t="shared" ca="1" si="176"/>
        <v>-2183.0922930344996</v>
      </c>
      <c r="X159" s="92">
        <f t="shared" ca="1" si="176"/>
        <v>-2153.7369944628117</v>
      </c>
      <c r="Y159" s="92">
        <f t="shared" ca="1" si="176"/>
        <v>-2133.3094605303454</v>
      </c>
      <c r="Z159" s="92">
        <f t="shared" ca="1" si="176"/>
        <v>-2092.9666798577464</v>
      </c>
      <c r="AA159" s="92">
        <f t="shared" ca="1" si="176"/>
        <v>-2086.6963226260082</v>
      </c>
      <c r="AB159" s="92">
        <f t="shared" ca="1" si="176"/>
        <v>-2096.2819169234576</v>
      </c>
      <c r="AC159" s="92">
        <f t="shared" ca="1" si="176"/>
        <v>-2133.2882504072836</v>
      </c>
    </row>
    <row r="160" spans="1:29">
      <c r="G16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</row>
    <row r="161" spans="1:29">
      <c r="A161" s="70" t="s">
        <v>696</v>
      </c>
      <c r="G161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</row>
    <row r="162" spans="1:29">
      <c r="A162" s="74" t="s">
        <v>697</v>
      </c>
      <c r="G162"/>
      <c r="H162" s="90">
        <f>I389</f>
        <v>0</v>
      </c>
      <c r="I162" s="90">
        <f t="shared" ref="I162:AC162" si="177">H168</f>
        <v>0</v>
      </c>
      <c r="J162" s="90">
        <f t="shared" ca="1" si="177"/>
        <v>0</v>
      </c>
      <c r="K162" s="90">
        <f t="shared" ca="1" si="177"/>
        <v>5738.0804833465427</v>
      </c>
      <c r="L162" s="90">
        <f t="shared" ca="1" si="177"/>
        <v>10189.817411743868</v>
      </c>
      <c r="M162" s="90">
        <f t="shared" ca="1" si="177"/>
        <v>14227.925486116394</v>
      </c>
      <c r="N162" s="90">
        <f t="shared" ca="1" si="177"/>
        <v>18178.888674765869</v>
      </c>
      <c r="O162" s="90">
        <f t="shared" ca="1" si="177"/>
        <v>21937.941700404466</v>
      </c>
      <c r="P162" s="90">
        <f t="shared" ca="1" si="177"/>
        <v>25406.097363621549</v>
      </c>
      <c r="Q162" s="90">
        <f t="shared" ca="1" si="177"/>
        <v>28656.145205809979</v>
      </c>
      <c r="R162" s="90">
        <f t="shared" ca="1" si="177"/>
        <v>31747.378994869585</v>
      </c>
      <c r="S162" s="90">
        <f t="shared" ca="1" si="177"/>
        <v>34720.937870517788</v>
      </c>
      <c r="T162" s="90">
        <f t="shared" ca="1" si="177"/>
        <v>37121.974399802202</v>
      </c>
      <c r="U162" s="90">
        <f t="shared" ca="1" si="177"/>
        <v>39442.579666891797</v>
      </c>
      <c r="V162" s="90">
        <f t="shared" ca="1" si="177"/>
        <v>41706.359797100689</v>
      </c>
      <c r="W162" s="90">
        <f t="shared" ca="1" si="177"/>
        <v>43914.737103610903</v>
      </c>
      <c r="X162" s="90">
        <f t="shared" ca="1" si="177"/>
        <v>46097.8293966454</v>
      </c>
      <c r="Y162" s="90">
        <f t="shared" ca="1" si="177"/>
        <v>48251.566391108208</v>
      </c>
      <c r="Z162" s="90">
        <f t="shared" ca="1" si="177"/>
        <v>50384.875851638557</v>
      </c>
      <c r="AA162" s="90">
        <f t="shared" ca="1" si="177"/>
        <v>52477.842531496302</v>
      </c>
      <c r="AB162" s="90">
        <f t="shared" ca="1" si="177"/>
        <v>54564.538854122307</v>
      </c>
      <c r="AC162" s="90">
        <f t="shared" ca="1" si="177"/>
        <v>56660.820771045765</v>
      </c>
    </row>
    <row r="163" spans="1:29">
      <c r="A163" s="74" t="s">
        <v>698</v>
      </c>
      <c r="H163" s="5">
        <v>0</v>
      </c>
      <c r="I163" s="5">
        <f t="shared" ref="I163:V163" ca="1" si="178">I450-H450</f>
        <v>0</v>
      </c>
      <c r="J163" s="5">
        <f t="shared" ca="1" si="178"/>
        <v>0</v>
      </c>
      <c r="K163" s="5">
        <f t="shared" ca="1" si="178"/>
        <v>0</v>
      </c>
      <c r="L163" s="5">
        <f t="shared" ca="1" si="178"/>
        <v>0</v>
      </c>
      <c r="M163" s="5">
        <f t="shared" ca="1" si="178"/>
        <v>0</v>
      </c>
      <c r="N163" s="5">
        <f t="shared" ca="1" si="178"/>
        <v>0</v>
      </c>
      <c r="O163" s="5">
        <f t="shared" ca="1" si="178"/>
        <v>0</v>
      </c>
      <c r="P163" s="5">
        <f t="shared" ca="1" si="178"/>
        <v>0</v>
      </c>
      <c r="Q163" s="5">
        <f t="shared" ca="1" si="178"/>
        <v>0</v>
      </c>
      <c r="R163" s="5">
        <f t="shared" ca="1" si="178"/>
        <v>0</v>
      </c>
      <c r="S163" s="5">
        <f t="shared" ca="1" si="178"/>
        <v>0</v>
      </c>
      <c r="T163" s="5">
        <f t="shared" ca="1" si="178"/>
        <v>0</v>
      </c>
      <c r="U163" s="5">
        <f t="shared" ca="1" si="178"/>
        <v>0</v>
      </c>
      <c r="V163" s="5">
        <f t="shared" ca="1" si="178"/>
        <v>0</v>
      </c>
      <c r="W163" s="5">
        <f t="shared" ref="W163:AC163" ca="1" si="179">W450-V450</f>
        <v>0</v>
      </c>
      <c r="X163" s="5">
        <f t="shared" ca="1" si="179"/>
        <v>0</v>
      </c>
      <c r="Y163" s="5">
        <f t="shared" ca="1" si="179"/>
        <v>0</v>
      </c>
      <c r="Z163" s="5">
        <f t="shared" ca="1" si="179"/>
        <v>0</v>
      </c>
      <c r="AA163" s="5">
        <f t="shared" ca="1" si="179"/>
        <v>0</v>
      </c>
      <c r="AB163" s="5">
        <f t="shared" ca="1" si="179"/>
        <v>0</v>
      </c>
      <c r="AC163" s="5">
        <f t="shared" ca="1" si="179"/>
        <v>0</v>
      </c>
    </row>
    <row r="164" spans="1:29">
      <c r="A164" s="74" t="s">
        <v>699</v>
      </c>
      <c r="G164" s="90"/>
      <c r="H164" s="90">
        <f t="shared" ref="H164:V164" si="180">-H158</f>
        <v>0</v>
      </c>
      <c r="I164" s="90">
        <f t="shared" ca="1" si="180"/>
        <v>0</v>
      </c>
      <c r="J164" s="90">
        <f t="shared" ca="1" si="180"/>
        <v>6242.9363945444502</v>
      </c>
      <c r="K164" s="90">
        <f t="shared" ca="1" si="180"/>
        <v>4451.7369283973248</v>
      </c>
      <c r="L164" s="90">
        <f t="shared" ca="1" si="180"/>
        <v>4038.1080743725247</v>
      </c>
      <c r="M164" s="90">
        <f t="shared" ca="1" si="180"/>
        <v>3950.9631886494744</v>
      </c>
      <c r="N164" s="90">
        <f t="shared" ca="1" si="180"/>
        <v>3759.0530256385973</v>
      </c>
      <c r="O164" s="90">
        <f t="shared" ca="1" si="180"/>
        <v>3468.1556632170818</v>
      </c>
      <c r="P164" s="90">
        <f t="shared" ca="1" si="180"/>
        <v>3250.04784218843</v>
      </c>
      <c r="Q164" s="90">
        <f t="shared" ca="1" si="180"/>
        <v>3091.2337890596059</v>
      </c>
      <c r="R164" s="90">
        <f t="shared" ca="1" si="180"/>
        <v>2973.5588756482061</v>
      </c>
      <c r="S164" s="90">
        <f t="shared" ca="1" si="180"/>
        <v>2401.0365292844181</v>
      </c>
      <c r="T164" s="90">
        <f t="shared" ca="1" si="180"/>
        <v>2320.6052670895951</v>
      </c>
      <c r="U164" s="90">
        <f t="shared" ca="1" si="180"/>
        <v>2263.7801302088938</v>
      </c>
      <c r="V164" s="90">
        <f t="shared" ca="1" si="180"/>
        <v>2208.3773065102155</v>
      </c>
      <c r="W164" s="90">
        <f t="shared" ref="W164:AC164" ca="1" si="181">-W158</f>
        <v>2183.0922930344996</v>
      </c>
      <c r="X164" s="90">
        <f t="shared" ca="1" si="181"/>
        <v>2153.7369944628117</v>
      </c>
      <c r="Y164" s="90">
        <f t="shared" ca="1" si="181"/>
        <v>2133.3094605303454</v>
      </c>
      <c r="Z164" s="90">
        <f t="shared" ca="1" si="181"/>
        <v>2092.9666798577464</v>
      </c>
      <c r="AA164" s="90">
        <f t="shared" ca="1" si="181"/>
        <v>2086.6963226260082</v>
      </c>
      <c r="AB164" s="90">
        <f t="shared" ca="1" si="181"/>
        <v>2096.2819169234576</v>
      </c>
      <c r="AC164" s="90">
        <f t="shared" ca="1" si="181"/>
        <v>2133.2882504072836</v>
      </c>
    </row>
    <row r="165" spans="1:29">
      <c r="A165" s="5" t="str">
        <f>"Excess Cash Flow Recaptured on "&amp;B338</f>
        <v>Excess Cash Flow Recaptured on Term Loan</v>
      </c>
      <c r="H165" s="5">
        <v>0</v>
      </c>
      <c r="I165" s="5">
        <f t="shared" ref="I165:V165" ca="1" si="182">-MIN(IF(I164&lt;0,0,I164*I488),I241-I242-I243)</f>
        <v>0</v>
      </c>
      <c r="J165" s="5">
        <f t="shared" ca="1" si="182"/>
        <v>0</v>
      </c>
      <c r="K165" s="5">
        <f t="shared" ca="1" si="182"/>
        <v>0</v>
      </c>
      <c r="L165" s="5">
        <f t="shared" ca="1" si="182"/>
        <v>0</v>
      </c>
      <c r="M165" s="5">
        <f t="shared" ca="1" si="182"/>
        <v>0</v>
      </c>
      <c r="N165" s="5">
        <f t="shared" ca="1" si="182"/>
        <v>0</v>
      </c>
      <c r="O165" s="5">
        <f t="shared" ca="1" si="182"/>
        <v>0</v>
      </c>
      <c r="P165" s="5">
        <f t="shared" ca="1" si="182"/>
        <v>0</v>
      </c>
      <c r="Q165" s="5">
        <f t="shared" ca="1" si="182"/>
        <v>0</v>
      </c>
      <c r="R165" s="5">
        <f t="shared" ca="1" si="182"/>
        <v>0</v>
      </c>
      <c r="S165" s="5">
        <f t="shared" ca="1" si="182"/>
        <v>0</v>
      </c>
      <c r="T165" s="5">
        <f t="shared" ca="1" si="182"/>
        <v>0</v>
      </c>
      <c r="U165" s="5">
        <f t="shared" ca="1" si="182"/>
        <v>0</v>
      </c>
      <c r="V165" s="5">
        <f t="shared" ca="1" si="182"/>
        <v>0</v>
      </c>
      <c r="W165" s="5">
        <f t="shared" ref="W165:AC165" ca="1" si="183">-MIN(IF(W164&lt;0,0,W164*W488),W241-W242-W243)</f>
        <v>0</v>
      </c>
      <c r="X165" s="5">
        <f t="shared" ca="1" si="183"/>
        <v>0</v>
      </c>
      <c r="Y165" s="5">
        <f t="shared" ca="1" si="183"/>
        <v>0</v>
      </c>
      <c r="Z165" s="5">
        <f t="shared" ca="1" si="183"/>
        <v>0</v>
      </c>
      <c r="AA165" s="5">
        <f t="shared" ca="1" si="183"/>
        <v>0</v>
      </c>
      <c r="AB165" s="5">
        <f t="shared" ca="1" si="183"/>
        <v>0</v>
      </c>
      <c r="AC165" s="5">
        <f t="shared" ca="1" si="183"/>
        <v>0</v>
      </c>
    </row>
    <row r="166" spans="1:29">
      <c r="A166" s="5" t="str">
        <f>"Excess Cash Flow Recaptured on "&amp;B337</f>
        <v>Excess Cash Flow Recaptured on Revolving Loan</v>
      </c>
      <c r="H166" s="5">
        <v>0</v>
      </c>
      <c r="I166" s="5">
        <f t="shared" ref="I166:V166" ca="1" si="184">IF(AND(I164&gt;0,I164+I165&gt;=0),-MIN((I164+I165)*I484,I230-I232-I234-I233),0)</f>
        <v>0</v>
      </c>
      <c r="J166" s="5">
        <f t="shared" ca="1" si="184"/>
        <v>-504.85591119790752</v>
      </c>
      <c r="K166" s="5">
        <f t="shared" ca="1" si="184"/>
        <v>0</v>
      </c>
      <c r="L166" s="5">
        <f t="shared" ca="1" si="184"/>
        <v>0</v>
      </c>
      <c r="M166" s="5">
        <f t="shared" ca="1" si="184"/>
        <v>0</v>
      </c>
      <c r="N166" s="5">
        <f t="shared" ca="1" si="184"/>
        <v>0</v>
      </c>
      <c r="O166" s="5">
        <f t="shared" ca="1" si="184"/>
        <v>0</v>
      </c>
      <c r="P166" s="5">
        <f t="shared" ca="1" si="184"/>
        <v>0</v>
      </c>
      <c r="Q166" s="5">
        <f t="shared" ca="1" si="184"/>
        <v>0</v>
      </c>
      <c r="R166" s="5">
        <f t="shared" ca="1" si="184"/>
        <v>0</v>
      </c>
      <c r="S166" s="5">
        <f t="shared" ca="1" si="184"/>
        <v>0</v>
      </c>
      <c r="T166" s="5">
        <f t="shared" ca="1" si="184"/>
        <v>0</v>
      </c>
      <c r="U166" s="5">
        <f t="shared" ca="1" si="184"/>
        <v>0</v>
      </c>
      <c r="V166" s="5">
        <f t="shared" ca="1" si="184"/>
        <v>0</v>
      </c>
      <c r="W166" s="5">
        <f t="shared" ref="W166:AC166" ca="1" si="185">IF(AND(W164&gt;0,W164+W165&gt;=0),-MIN((W164+W165)*W484,W230-W232-W234-W233),0)</f>
        <v>0</v>
      </c>
      <c r="X166" s="5">
        <f t="shared" ca="1" si="185"/>
        <v>0</v>
      </c>
      <c r="Y166" s="5">
        <f t="shared" ca="1" si="185"/>
        <v>0</v>
      </c>
      <c r="Z166" s="5">
        <f t="shared" ca="1" si="185"/>
        <v>0</v>
      </c>
      <c r="AA166" s="5">
        <f t="shared" ca="1" si="185"/>
        <v>0</v>
      </c>
      <c r="AB166" s="5">
        <f t="shared" ca="1" si="185"/>
        <v>0</v>
      </c>
      <c r="AC166" s="5">
        <f t="shared" ca="1" si="185"/>
        <v>0</v>
      </c>
    </row>
    <row r="167" spans="1:29">
      <c r="A167" s="5" t="str">
        <f>"Excess Cash Flow Recaptured on "&amp;B343</f>
        <v>Excess Cash Flow Recaptured on Sr Sub Notes</v>
      </c>
      <c r="H167" s="5">
        <v>0</v>
      </c>
      <c r="I167" s="5">
        <f t="shared" ref="I167:R167" ca="1" si="186">IF(AND(I164&gt;0,I164+I165+I166&gt;=0),-MIN((+I164+I165+I166)*I520,I276-I277-I278),0)</f>
        <v>0</v>
      </c>
      <c r="J167" s="5">
        <f t="shared" ca="1" si="186"/>
        <v>0</v>
      </c>
      <c r="K167" s="5">
        <f t="shared" ca="1" si="186"/>
        <v>0</v>
      </c>
      <c r="L167" s="5">
        <f t="shared" ca="1" si="186"/>
        <v>0</v>
      </c>
      <c r="M167" s="5">
        <f t="shared" ca="1" si="186"/>
        <v>0</v>
      </c>
      <c r="N167" s="5">
        <f t="shared" ca="1" si="186"/>
        <v>0</v>
      </c>
      <c r="O167" s="5">
        <f t="shared" ca="1" si="186"/>
        <v>0</v>
      </c>
      <c r="P167" s="5">
        <f t="shared" ca="1" si="186"/>
        <v>0</v>
      </c>
      <c r="Q167" s="5">
        <f t="shared" ca="1" si="186"/>
        <v>0</v>
      </c>
      <c r="R167" s="5">
        <f t="shared" ca="1" si="186"/>
        <v>0</v>
      </c>
      <c r="S167" s="5">
        <f t="shared" ref="S167:AC167" ca="1" si="187">IF(AND(S164&gt;0,S164+S165+S166&gt;=0),-MIN((+S164+S165+S166)*S520,S276-S277-S278),0)</f>
        <v>0</v>
      </c>
      <c r="T167" s="5">
        <f t="shared" ca="1" si="187"/>
        <v>0</v>
      </c>
      <c r="U167" s="5">
        <f t="shared" ca="1" si="187"/>
        <v>0</v>
      </c>
      <c r="V167" s="5">
        <f t="shared" ca="1" si="187"/>
        <v>0</v>
      </c>
      <c r="W167" s="5">
        <f t="shared" ca="1" si="187"/>
        <v>0</v>
      </c>
      <c r="X167" s="5">
        <f t="shared" ca="1" si="187"/>
        <v>0</v>
      </c>
      <c r="Y167" s="5">
        <f t="shared" ca="1" si="187"/>
        <v>0</v>
      </c>
      <c r="Z167" s="5">
        <f t="shared" ca="1" si="187"/>
        <v>0</v>
      </c>
      <c r="AA167" s="5">
        <f t="shared" ca="1" si="187"/>
        <v>0</v>
      </c>
      <c r="AB167" s="5">
        <f t="shared" ca="1" si="187"/>
        <v>0</v>
      </c>
      <c r="AC167" s="5">
        <f t="shared" ca="1" si="187"/>
        <v>0</v>
      </c>
    </row>
    <row r="168" spans="1:29">
      <c r="A168" s="74" t="s">
        <v>700</v>
      </c>
      <c r="G168"/>
      <c r="H168" s="92">
        <f t="shared" ref="H168:Q168" si="188">H162+H163+H164+H165+H166+H167</f>
        <v>0</v>
      </c>
      <c r="I168" s="92">
        <f t="shared" ca="1" si="188"/>
        <v>0</v>
      </c>
      <c r="J168" s="92">
        <f t="shared" ca="1" si="188"/>
        <v>5738.0804833465427</v>
      </c>
      <c r="K168" s="92">
        <f t="shared" ca="1" si="188"/>
        <v>10189.817411743868</v>
      </c>
      <c r="L168" s="92">
        <f t="shared" ca="1" si="188"/>
        <v>14227.925486116394</v>
      </c>
      <c r="M168" s="92">
        <f t="shared" ca="1" si="188"/>
        <v>18178.888674765869</v>
      </c>
      <c r="N168" s="92">
        <f t="shared" ca="1" si="188"/>
        <v>21937.941700404466</v>
      </c>
      <c r="O168" s="92">
        <f t="shared" ca="1" si="188"/>
        <v>25406.097363621549</v>
      </c>
      <c r="P168" s="92">
        <f t="shared" ca="1" si="188"/>
        <v>28656.145205809979</v>
      </c>
      <c r="Q168" s="92">
        <f t="shared" ca="1" si="188"/>
        <v>31747.378994869585</v>
      </c>
      <c r="R168" s="92">
        <f t="shared" ref="R168:AC168" ca="1" si="189">R162+R163+R164+R165+R166+R167</f>
        <v>34720.937870517788</v>
      </c>
      <c r="S168" s="92">
        <f t="shared" ca="1" si="189"/>
        <v>37121.974399802202</v>
      </c>
      <c r="T168" s="92">
        <f t="shared" ca="1" si="189"/>
        <v>39442.579666891797</v>
      </c>
      <c r="U168" s="92">
        <f t="shared" ca="1" si="189"/>
        <v>41706.359797100689</v>
      </c>
      <c r="V168" s="92">
        <f t="shared" ca="1" si="189"/>
        <v>43914.737103610903</v>
      </c>
      <c r="W168" s="92">
        <f t="shared" ca="1" si="189"/>
        <v>46097.8293966454</v>
      </c>
      <c r="X168" s="92">
        <f t="shared" ca="1" si="189"/>
        <v>48251.566391108208</v>
      </c>
      <c r="Y168" s="92">
        <f t="shared" ca="1" si="189"/>
        <v>50384.875851638557</v>
      </c>
      <c r="Z168" s="92">
        <f t="shared" ca="1" si="189"/>
        <v>52477.842531496302</v>
      </c>
      <c r="AA168" s="92">
        <f t="shared" ca="1" si="189"/>
        <v>54564.538854122307</v>
      </c>
      <c r="AB168" s="92">
        <f t="shared" ca="1" si="189"/>
        <v>56660.820771045765</v>
      </c>
      <c r="AC168" s="92">
        <f t="shared" ca="1" si="189"/>
        <v>58794.109021453049</v>
      </c>
    </row>
    <row r="169" spans="1:29" ht="12" thickBot="1">
      <c r="A169" s="74"/>
      <c r="G169" s="114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</row>
    <row r="170" spans="1:29" ht="12.75" thickTop="1" thickBot="1">
      <c r="E170" s="241">
        <f>EOMONTH($I$170,-12*3)</f>
        <v>35430</v>
      </c>
      <c r="F170" s="241">
        <f>EOMONTH($I$170,-12*2)</f>
        <v>35795</v>
      </c>
      <c r="G170" s="241">
        <f>EOMONTH($I$170,-12)</f>
        <v>36160</v>
      </c>
      <c r="H170" s="112">
        <f ca="1">C323</f>
        <v>36341</v>
      </c>
      <c r="I170" s="112">
        <f>E331</f>
        <v>36525</v>
      </c>
      <c r="J170" s="241">
        <f>EOMONTH($I$170,12)</f>
        <v>36891</v>
      </c>
      <c r="K170" s="241">
        <f>EOMONTH($I$170,24)</f>
        <v>37256</v>
      </c>
      <c r="L170" s="241">
        <f>EOMONTH($I$170,3*12)</f>
        <v>37621</v>
      </c>
      <c r="M170" s="241">
        <f>EOMONTH($I$170,4*12)</f>
        <v>37986</v>
      </c>
      <c r="N170" s="241">
        <f>EOMONTH($I$170,5*12)</f>
        <v>38352</v>
      </c>
      <c r="O170" s="241">
        <f>EOMONTH($I$170,6*12)</f>
        <v>38717</v>
      </c>
      <c r="P170" s="241">
        <f>EOMONTH($I$170,7*12)</f>
        <v>39082</v>
      </c>
      <c r="Q170" s="241">
        <f>EOMONTH($I$170,8*12)</f>
        <v>39447</v>
      </c>
      <c r="R170" s="241">
        <f>EOMONTH($I$170,9*12)</f>
        <v>39813</v>
      </c>
      <c r="S170" s="241">
        <f>EOMONTH($I$170,10*12)</f>
        <v>40178</v>
      </c>
      <c r="T170" s="241">
        <f>EOMONTH($I$170,11*12)</f>
        <v>40543</v>
      </c>
      <c r="U170" s="241">
        <f>EOMONTH($I$170,12*12)</f>
        <v>40908</v>
      </c>
      <c r="V170" s="241">
        <f>EOMONTH($I$170,13*12)</f>
        <v>41274</v>
      </c>
      <c r="W170" s="241">
        <f>EOMONTH($I$170,14*12)</f>
        <v>41639</v>
      </c>
      <c r="X170" s="241">
        <f>EOMONTH($I$170,15*12)</f>
        <v>42004</v>
      </c>
      <c r="Y170" s="241">
        <f>EOMONTH($I$170,16*12)</f>
        <v>42369</v>
      </c>
      <c r="Z170" s="241">
        <f>EOMONTH($I$170,17*12)</f>
        <v>42735</v>
      </c>
      <c r="AA170" s="241">
        <f>EOMONTH($I$170,18*12)</f>
        <v>43100</v>
      </c>
      <c r="AB170" s="241">
        <f>EOMONTH($I$170,19*12)</f>
        <v>43465</v>
      </c>
      <c r="AC170" s="241">
        <f>EOMONTH($I$170,20*12)</f>
        <v>43830</v>
      </c>
    </row>
    <row r="171" spans="1:29" ht="12" thickTop="1">
      <c r="A171" s="19" t="s">
        <v>701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9">
      <c r="A172" s="5" t="str">
        <f>A389</f>
        <v>Cash and Marketable Securities</v>
      </c>
      <c r="C172" s="89"/>
      <c r="D172" s="89"/>
      <c r="E172" s="90">
        <f t="shared" ref="E172:G175" si="190">E389</f>
        <v>0</v>
      </c>
      <c r="F172" s="90">
        <f t="shared" si="190"/>
        <v>0</v>
      </c>
      <c r="G172" s="90">
        <f t="shared" si="190"/>
        <v>0</v>
      </c>
      <c r="H172" s="94">
        <f>N389</f>
        <v>0</v>
      </c>
      <c r="I172" s="90">
        <f t="shared" ref="I172:AC172" ca="1" si="191">I168</f>
        <v>0</v>
      </c>
      <c r="J172" s="90">
        <f t="shared" ca="1" si="191"/>
        <v>5738.0804833465427</v>
      </c>
      <c r="K172" s="90">
        <f t="shared" ca="1" si="191"/>
        <v>10189.817411743868</v>
      </c>
      <c r="L172" s="90">
        <f t="shared" ca="1" si="191"/>
        <v>14227.925486116394</v>
      </c>
      <c r="M172" s="90">
        <f t="shared" ca="1" si="191"/>
        <v>18178.888674765869</v>
      </c>
      <c r="N172" s="90">
        <f t="shared" ca="1" si="191"/>
        <v>21937.941700404466</v>
      </c>
      <c r="O172" s="90">
        <f t="shared" ca="1" si="191"/>
        <v>25406.097363621549</v>
      </c>
      <c r="P172" s="90">
        <f t="shared" ca="1" si="191"/>
        <v>28656.145205809979</v>
      </c>
      <c r="Q172" s="90">
        <f t="shared" ca="1" si="191"/>
        <v>31747.378994869585</v>
      </c>
      <c r="R172" s="90">
        <f t="shared" ca="1" si="191"/>
        <v>34720.937870517788</v>
      </c>
      <c r="S172" s="90">
        <f t="shared" ca="1" si="191"/>
        <v>37121.974399802202</v>
      </c>
      <c r="T172" s="90">
        <f t="shared" ca="1" si="191"/>
        <v>39442.579666891797</v>
      </c>
      <c r="U172" s="90">
        <f t="shared" ca="1" si="191"/>
        <v>41706.359797100689</v>
      </c>
      <c r="V172" s="90">
        <f t="shared" ca="1" si="191"/>
        <v>43914.737103610903</v>
      </c>
      <c r="W172" s="90">
        <f t="shared" ca="1" si="191"/>
        <v>46097.8293966454</v>
      </c>
      <c r="X172" s="90">
        <f t="shared" ca="1" si="191"/>
        <v>48251.566391108208</v>
      </c>
      <c r="Y172" s="90">
        <f t="shared" ca="1" si="191"/>
        <v>50384.875851638557</v>
      </c>
      <c r="Z172" s="90">
        <f t="shared" ca="1" si="191"/>
        <v>52477.842531496302</v>
      </c>
      <c r="AA172" s="90">
        <f t="shared" ca="1" si="191"/>
        <v>54564.538854122307</v>
      </c>
      <c r="AB172" s="90">
        <f t="shared" ca="1" si="191"/>
        <v>56660.820771045765</v>
      </c>
      <c r="AC172" s="90">
        <f t="shared" ca="1" si="191"/>
        <v>58794.109021453049</v>
      </c>
    </row>
    <row r="173" spans="1:29">
      <c r="A173" s="5" t="str">
        <f>A390</f>
        <v>Accounts Receivable</v>
      </c>
      <c r="C173" s="90"/>
      <c r="D173" s="90"/>
      <c r="E173" s="90">
        <f t="shared" si="190"/>
        <v>0</v>
      </c>
      <c r="F173" s="90">
        <f t="shared" si="190"/>
        <v>0</v>
      </c>
      <c r="G173" s="90">
        <f t="shared" si="190"/>
        <v>0</v>
      </c>
      <c r="H173" s="94">
        <f>N390</f>
        <v>0</v>
      </c>
      <c r="I173" s="90">
        <f t="shared" ref="I173:AC173" ca="1" si="192">I451</f>
        <v>0</v>
      </c>
      <c r="J173" s="90">
        <f t="shared" ca="1" si="192"/>
        <v>0</v>
      </c>
      <c r="K173" s="90">
        <f t="shared" ca="1" si="192"/>
        <v>0</v>
      </c>
      <c r="L173" s="90">
        <f t="shared" ca="1" si="192"/>
        <v>0</v>
      </c>
      <c r="M173" s="90">
        <f t="shared" ca="1" si="192"/>
        <v>0</v>
      </c>
      <c r="N173" s="90">
        <f t="shared" ca="1" si="192"/>
        <v>0</v>
      </c>
      <c r="O173" s="90">
        <f t="shared" ca="1" si="192"/>
        <v>0</v>
      </c>
      <c r="P173" s="90">
        <f t="shared" ca="1" si="192"/>
        <v>0</v>
      </c>
      <c r="Q173" s="90">
        <f t="shared" ca="1" si="192"/>
        <v>0</v>
      </c>
      <c r="R173" s="90">
        <f t="shared" ca="1" si="192"/>
        <v>0</v>
      </c>
      <c r="S173" s="90">
        <f t="shared" ca="1" si="192"/>
        <v>0</v>
      </c>
      <c r="T173" s="90">
        <f t="shared" ca="1" si="192"/>
        <v>0</v>
      </c>
      <c r="U173" s="90">
        <f t="shared" ca="1" si="192"/>
        <v>0</v>
      </c>
      <c r="V173" s="90">
        <f t="shared" ca="1" si="192"/>
        <v>0</v>
      </c>
      <c r="W173" s="90">
        <f t="shared" ca="1" si="192"/>
        <v>0</v>
      </c>
      <c r="X173" s="90">
        <f t="shared" ca="1" si="192"/>
        <v>0</v>
      </c>
      <c r="Y173" s="90">
        <f t="shared" ca="1" si="192"/>
        <v>0</v>
      </c>
      <c r="Z173" s="90">
        <f t="shared" ca="1" si="192"/>
        <v>0</v>
      </c>
      <c r="AA173" s="90">
        <f t="shared" ca="1" si="192"/>
        <v>0</v>
      </c>
      <c r="AB173" s="90">
        <f t="shared" ca="1" si="192"/>
        <v>0</v>
      </c>
      <c r="AC173" s="90">
        <f t="shared" ca="1" si="192"/>
        <v>0</v>
      </c>
    </row>
    <row r="174" spans="1:29">
      <c r="A174" s="5" t="str">
        <f>A391</f>
        <v>Inventories</v>
      </c>
      <c r="C174" s="90"/>
      <c r="D174" s="90"/>
      <c r="E174" s="90">
        <f t="shared" si="190"/>
        <v>0</v>
      </c>
      <c r="F174" s="90">
        <f t="shared" si="190"/>
        <v>0</v>
      </c>
      <c r="G174" s="90">
        <f t="shared" si="190"/>
        <v>0</v>
      </c>
      <c r="H174" s="94">
        <f>N391</f>
        <v>0</v>
      </c>
      <c r="I174" s="90">
        <f t="shared" ref="I174:AC174" ca="1" si="193">I452</f>
        <v>0</v>
      </c>
      <c r="J174" s="90">
        <f t="shared" ca="1" si="193"/>
        <v>0</v>
      </c>
      <c r="K174" s="90">
        <f t="shared" ca="1" si="193"/>
        <v>0</v>
      </c>
      <c r="L174" s="90">
        <f t="shared" ca="1" si="193"/>
        <v>0</v>
      </c>
      <c r="M174" s="90">
        <f t="shared" ca="1" si="193"/>
        <v>0</v>
      </c>
      <c r="N174" s="90">
        <f t="shared" ca="1" si="193"/>
        <v>0</v>
      </c>
      <c r="O174" s="90">
        <f t="shared" ca="1" si="193"/>
        <v>0</v>
      </c>
      <c r="P174" s="90">
        <f t="shared" ca="1" si="193"/>
        <v>0</v>
      </c>
      <c r="Q174" s="90">
        <f t="shared" ca="1" si="193"/>
        <v>0</v>
      </c>
      <c r="R174" s="90">
        <f t="shared" ca="1" si="193"/>
        <v>0</v>
      </c>
      <c r="S174" s="90">
        <f t="shared" ca="1" si="193"/>
        <v>0</v>
      </c>
      <c r="T174" s="90">
        <f t="shared" ca="1" si="193"/>
        <v>0</v>
      </c>
      <c r="U174" s="90">
        <f t="shared" ca="1" si="193"/>
        <v>0</v>
      </c>
      <c r="V174" s="90">
        <f t="shared" ca="1" si="193"/>
        <v>0</v>
      </c>
      <c r="W174" s="90">
        <f t="shared" ca="1" si="193"/>
        <v>0</v>
      </c>
      <c r="X174" s="90">
        <f t="shared" ca="1" si="193"/>
        <v>0</v>
      </c>
      <c r="Y174" s="90">
        <f t="shared" ca="1" si="193"/>
        <v>0</v>
      </c>
      <c r="Z174" s="90">
        <f t="shared" ca="1" si="193"/>
        <v>0</v>
      </c>
      <c r="AA174" s="90">
        <f t="shared" ca="1" si="193"/>
        <v>0</v>
      </c>
      <c r="AB174" s="90">
        <f t="shared" ca="1" si="193"/>
        <v>0</v>
      </c>
      <c r="AC174" s="90">
        <f t="shared" ca="1" si="193"/>
        <v>0</v>
      </c>
    </row>
    <row r="175" spans="1:29">
      <c r="A175" s="5" t="str">
        <f>A392</f>
        <v>Other Current Assets</v>
      </c>
      <c r="C175" s="90"/>
      <c r="D175" s="90"/>
      <c r="E175" s="90">
        <f t="shared" si="190"/>
        <v>0</v>
      </c>
      <c r="F175" s="90">
        <f t="shared" si="190"/>
        <v>0</v>
      </c>
      <c r="G175" s="90">
        <f t="shared" si="190"/>
        <v>0</v>
      </c>
      <c r="H175" s="94">
        <f>N392</f>
        <v>0</v>
      </c>
      <c r="I175" s="90">
        <f t="shared" ref="I175:AC175" si="194">I453</f>
        <v>0</v>
      </c>
      <c r="J175" s="90">
        <f t="shared" si="194"/>
        <v>0</v>
      </c>
      <c r="K175" s="90">
        <f t="shared" si="194"/>
        <v>0</v>
      </c>
      <c r="L175" s="90">
        <f t="shared" si="194"/>
        <v>0</v>
      </c>
      <c r="M175" s="90">
        <f t="shared" si="194"/>
        <v>0</v>
      </c>
      <c r="N175" s="90">
        <f t="shared" si="194"/>
        <v>0</v>
      </c>
      <c r="O175" s="90">
        <f t="shared" si="194"/>
        <v>0</v>
      </c>
      <c r="P175" s="90">
        <f t="shared" si="194"/>
        <v>0</v>
      </c>
      <c r="Q175" s="90">
        <f t="shared" si="194"/>
        <v>0</v>
      </c>
      <c r="R175" s="90">
        <f t="shared" si="194"/>
        <v>0</v>
      </c>
      <c r="S175" s="90">
        <f t="shared" si="194"/>
        <v>0</v>
      </c>
      <c r="T175" s="90">
        <f t="shared" si="194"/>
        <v>0</v>
      </c>
      <c r="U175" s="90">
        <f t="shared" si="194"/>
        <v>0</v>
      </c>
      <c r="V175" s="90">
        <f t="shared" si="194"/>
        <v>0</v>
      </c>
      <c r="W175" s="90">
        <f t="shared" si="194"/>
        <v>0</v>
      </c>
      <c r="X175" s="90">
        <f t="shared" si="194"/>
        <v>0</v>
      </c>
      <c r="Y175" s="90">
        <f t="shared" si="194"/>
        <v>0</v>
      </c>
      <c r="Z175" s="90">
        <f t="shared" si="194"/>
        <v>0</v>
      </c>
      <c r="AA175" s="90">
        <f t="shared" si="194"/>
        <v>0</v>
      </c>
      <c r="AB175" s="90">
        <f t="shared" si="194"/>
        <v>0</v>
      </c>
      <c r="AC175" s="90">
        <f t="shared" si="194"/>
        <v>0</v>
      </c>
    </row>
    <row r="176" spans="1:29">
      <c r="A176" s="77" t="str">
        <f>A393</f>
        <v>Total Current Assets</v>
      </c>
      <c r="C176" s="90"/>
      <c r="D176" s="90"/>
      <c r="E176" s="92">
        <f t="shared" ref="E176:N176" si="195">SUM(E172:E175)</f>
        <v>0</v>
      </c>
      <c r="F176" s="92">
        <f t="shared" si="195"/>
        <v>0</v>
      </c>
      <c r="G176" s="92">
        <f t="shared" si="195"/>
        <v>0</v>
      </c>
      <c r="H176" s="96">
        <f t="shared" si="195"/>
        <v>0</v>
      </c>
      <c r="I176" s="92">
        <f t="shared" ca="1" si="195"/>
        <v>0</v>
      </c>
      <c r="J176" s="92">
        <f t="shared" ca="1" si="195"/>
        <v>5738.0804833465427</v>
      </c>
      <c r="K176" s="92">
        <f t="shared" ca="1" si="195"/>
        <v>10189.817411743868</v>
      </c>
      <c r="L176" s="92">
        <f t="shared" ca="1" si="195"/>
        <v>14227.925486116394</v>
      </c>
      <c r="M176" s="92">
        <f t="shared" ca="1" si="195"/>
        <v>18178.888674765869</v>
      </c>
      <c r="N176" s="92">
        <f t="shared" ca="1" si="195"/>
        <v>21937.941700404466</v>
      </c>
      <c r="O176" s="92">
        <f t="shared" ref="O176:AC176" ca="1" si="196">SUM(O172:O175)</f>
        <v>25406.097363621549</v>
      </c>
      <c r="P176" s="92">
        <f t="shared" ca="1" si="196"/>
        <v>28656.145205809979</v>
      </c>
      <c r="Q176" s="92">
        <f t="shared" ca="1" si="196"/>
        <v>31747.378994869585</v>
      </c>
      <c r="R176" s="92">
        <f t="shared" ca="1" si="196"/>
        <v>34720.937870517788</v>
      </c>
      <c r="S176" s="92">
        <f t="shared" ca="1" si="196"/>
        <v>37121.974399802202</v>
      </c>
      <c r="T176" s="92">
        <f t="shared" ca="1" si="196"/>
        <v>39442.579666891797</v>
      </c>
      <c r="U176" s="92">
        <f t="shared" ca="1" si="196"/>
        <v>41706.359797100689</v>
      </c>
      <c r="V176" s="92">
        <f t="shared" ca="1" si="196"/>
        <v>43914.737103610903</v>
      </c>
      <c r="W176" s="92">
        <f t="shared" ca="1" si="196"/>
        <v>46097.8293966454</v>
      </c>
      <c r="X176" s="92">
        <f t="shared" ca="1" si="196"/>
        <v>48251.566391108208</v>
      </c>
      <c r="Y176" s="92">
        <f t="shared" ca="1" si="196"/>
        <v>50384.875851638557</v>
      </c>
      <c r="Z176" s="92">
        <f t="shared" ca="1" si="196"/>
        <v>52477.842531496302</v>
      </c>
      <c r="AA176" s="92">
        <f t="shared" ca="1" si="196"/>
        <v>54564.538854122307</v>
      </c>
      <c r="AB176" s="92">
        <f t="shared" ca="1" si="196"/>
        <v>56660.820771045765</v>
      </c>
      <c r="AC176" s="92">
        <f t="shared" ca="1" si="196"/>
        <v>58794.109021453049</v>
      </c>
    </row>
    <row r="177" spans="1:29">
      <c r="C177" s="89"/>
      <c r="D177" s="89"/>
      <c r="E177" s="89"/>
      <c r="F177" s="89"/>
      <c r="G177" s="90"/>
      <c r="H177" s="91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</row>
    <row r="178" spans="1:29">
      <c r="A178" s="5" t="str">
        <f>A395</f>
        <v>Intangibles</v>
      </c>
      <c r="C178" s="89"/>
      <c r="D178" s="89"/>
      <c r="E178" s="90">
        <f t="shared" ref="E178:G180" si="197">E395</f>
        <v>0</v>
      </c>
      <c r="F178" s="90">
        <f t="shared" si="197"/>
        <v>0</v>
      </c>
      <c r="G178" s="90">
        <f t="shared" si="197"/>
        <v>0</v>
      </c>
      <c r="H178" s="94">
        <f>N395</f>
        <v>0</v>
      </c>
      <c r="I178" s="90">
        <f t="shared" ref="I178:AC178" si="198">H178+I944-I591</f>
        <v>0</v>
      </c>
      <c r="J178" s="90">
        <f t="shared" si="198"/>
        <v>0</v>
      </c>
      <c r="K178" s="90">
        <f t="shared" si="198"/>
        <v>0</v>
      </c>
      <c r="L178" s="90">
        <f t="shared" si="198"/>
        <v>0</v>
      </c>
      <c r="M178" s="90">
        <f t="shared" si="198"/>
        <v>0</v>
      </c>
      <c r="N178" s="90">
        <f t="shared" si="198"/>
        <v>0</v>
      </c>
      <c r="O178" s="90">
        <f t="shared" si="198"/>
        <v>0</v>
      </c>
      <c r="P178" s="90">
        <f t="shared" si="198"/>
        <v>0</v>
      </c>
      <c r="Q178" s="90">
        <f t="shared" si="198"/>
        <v>0</v>
      </c>
      <c r="R178" s="90">
        <f t="shared" si="198"/>
        <v>0</v>
      </c>
      <c r="S178" s="90">
        <f t="shared" si="198"/>
        <v>0</v>
      </c>
      <c r="T178" s="90">
        <f t="shared" si="198"/>
        <v>0</v>
      </c>
      <c r="U178" s="90">
        <f t="shared" si="198"/>
        <v>0</v>
      </c>
      <c r="V178" s="90">
        <f t="shared" si="198"/>
        <v>0</v>
      </c>
      <c r="W178" s="90">
        <f t="shared" si="198"/>
        <v>0</v>
      </c>
      <c r="X178" s="90">
        <f t="shared" si="198"/>
        <v>0</v>
      </c>
      <c r="Y178" s="90">
        <f t="shared" si="198"/>
        <v>0</v>
      </c>
      <c r="Z178" s="90">
        <f t="shared" si="198"/>
        <v>0</v>
      </c>
      <c r="AA178" s="90">
        <f t="shared" si="198"/>
        <v>0</v>
      </c>
      <c r="AB178" s="90">
        <f t="shared" si="198"/>
        <v>0</v>
      </c>
      <c r="AC178" s="90">
        <f t="shared" si="198"/>
        <v>0</v>
      </c>
    </row>
    <row r="179" spans="1:29">
      <c r="A179" s="5" t="str">
        <f>A396</f>
        <v>Goodwill</v>
      </c>
      <c r="C179" s="89"/>
      <c r="D179" s="89"/>
      <c r="E179" s="90">
        <f t="shared" si="197"/>
        <v>0</v>
      </c>
      <c r="F179" s="90">
        <f t="shared" si="197"/>
        <v>0</v>
      </c>
      <c r="G179" s="90">
        <f t="shared" si="197"/>
        <v>0</v>
      </c>
      <c r="H179" s="94">
        <f>N396</f>
        <v>0</v>
      </c>
      <c r="I179" s="90">
        <f t="shared" ref="I179:R179" ca="1" si="199">H179-I589-I588</f>
        <v>0</v>
      </c>
      <c r="J179" s="90">
        <f t="shared" ca="1" si="199"/>
        <v>0</v>
      </c>
      <c r="K179" s="90">
        <f t="shared" ca="1" si="199"/>
        <v>0</v>
      </c>
      <c r="L179" s="90">
        <f t="shared" ca="1" si="199"/>
        <v>0</v>
      </c>
      <c r="M179" s="90">
        <f t="shared" ca="1" si="199"/>
        <v>0</v>
      </c>
      <c r="N179" s="90">
        <f t="shared" ca="1" si="199"/>
        <v>0</v>
      </c>
      <c r="O179" s="90">
        <f t="shared" ca="1" si="199"/>
        <v>0</v>
      </c>
      <c r="P179" s="90">
        <f t="shared" ca="1" si="199"/>
        <v>0</v>
      </c>
      <c r="Q179" s="90">
        <f t="shared" ca="1" si="199"/>
        <v>0</v>
      </c>
      <c r="R179" s="90">
        <f t="shared" ca="1" si="199"/>
        <v>0</v>
      </c>
      <c r="S179" s="90">
        <f t="shared" ref="S179:AC179" ca="1" si="200">R179-S589-S588</f>
        <v>0</v>
      </c>
      <c r="T179" s="90">
        <f t="shared" ca="1" si="200"/>
        <v>0</v>
      </c>
      <c r="U179" s="90">
        <f t="shared" ca="1" si="200"/>
        <v>0</v>
      </c>
      <c r="V179" s="90">
        <f t="shared" ca="1" si="200"/>
        <v>0</v>
      </c>
      <c r="W179" s="90">
        <f t="shared" ca="1" si="200"/>
        <v>0</v>
      </c>
      <c r="X179" s="90">
        <f t="shared" ca="1" si="200"/>
        <v>0</v>
      </c>
      <c r="Y179" s="90">
        <f t="shared" ca="1" si="200"/>
        <v>0</v>
      </c>
      <c r="Z179" s="90">
        <f t="shared" ca="1" si="200"/>
        <v>0</v>
      </c>
      <c r="AA179" s="90">
        <f t="shared" ca="1" si="200"/>
        <v>0</v>
      </c>
      <c r="AB179" s="90">
        <f t="shared" ca="1" si="200"/>
        <v>0</v>
      </c>
      <c r="AC179" s="90">
        <f t="shared" ca="1" si="200"/>
        <v>0</v>
      </c>
    </row>
    <row r="180" spans="1:29">
      <c r="A180" s="5" t="str">
        <f>A397</f>
        <v>Transaction Fees</v>
      </c>
      <c r="C180" s="89"/>
      <c r="D180" s="89"/>
      <c r="E180" s="90">
        <f t="shared" si="197"/>
        <v>0</v>
      </c>
      <c r="F180" s="90">
        <f t="shared" si="197"/>
        <v>0</v>
      </c>
      <c r="G180" s="90">
        <f t="shared" si="197"/>
        <v>0</v>
      </c>
      <c r="H180" s="94">
        <f>N397</f>
        <v>0</v>
      </c>
      <c r="I180" s="90">
        <f t="shared" ref="I180:R180" ca="1" si="201">H180-I590</f>
        <v>0</v>
      </c>
      <c r="J180" s="90">
        <f t="shared" ca="1" si="201"/>
        <v>0</v>
      </c>
      <c r="K180" s="90">
        <f t="shared" ca="1" si="201"/>
        <v>0</v>
      </c>
      <c r="L180" s="90">
        <f t="shared" ca="1" si="201"/>
        <v>0</v>
      </c>
      <c r="M180" s="90">
        <f t="shared" ca="1" si="201"/>
        <v>0</v>
      </c>
      <c r="N180" s="90">
        <f t="shared" ca="1" si="201"/>
        <v>0</v>
      </c>
      <c r="O180" s="90">
        <f t="shared" ca="1" si="201"/>
        <v>0</v>
      </c>
      <c r="P180" s="90">
        <f t="shared" ca="1" si="201"/>
        <v>0</v>
      </c>
      <c r="Q180" s="90">
        <f t="shared" ca="1" si="201"/>
        <v>0</v>
      </c>
      <c r="R180" s="90">
        <f t="shared" ca="1" si="201"/>
        <v>0</v>
      </c>
      <c r="S180" s="90">
        <f t="shared" ref="S180:AC180" ca="1" si="202">R180-S590</f>
        <v>0</v>
      </c>
      <c r="T180" s="90">
        <f t="shared" ca="1" si="202"/>
        <v>0</v>
      </c>
      <c r="U180" s="90">
        <f t="shared" ca="1" si="202"/>
        <v>0</v>
      </c>
      <c r="V180" s="90">
        <f t="shared" ca="1" si="202"/>
        <v>0</v>
      </c>
      <c r="W180" s="90">
        <f t="shared" ca="1" si="202"/>
        <v>0</v>
      </c>
      <c r="X180" s="90">
        <f t="shared" ca="1" si="202"/>
        <v>0</v>
      </c>
      <c r="Y180" s="90">
        <f t="shared" ca="1" si="202"/>
        <v>0</v>
      </c>
      <c r="Z180" s="90">
        <f t="shared" ca="1" si="202"/>
        <v>0</v>
      </c>
      <c r="AA180" s="90">
        <f t="shared" ca="1" si="202"/>
        <v>0</v>
      </c>
      <c r="AB180" s="90">
        <f t="shared" ca="1" si="202"/>
        <v>0</v>
      </c>
      <c r="AC180" s="90">
        <f t="shared" ca="1" si="202"/>
        <v>0</v>
      </c>
    </row>
    <row r="181" spans="1:29">
      <c r="A181" s="77" t="s">
        <v>702</v>
      </c>
      <c r="C181" s="89"/>
      <c r="D181" s="89"/>
      <c r="E181" s="179">
        <f t="shared" ref="E181:N181" si="203">SUM(E178:E180)</f>
        <v>0</v>
      </c>
      <c r="F181" s="179">
        <f t="shared" si="203"/>
        <v>0</v>
      </c>
      <c r="G181" s="179">
        <f t="shared" si="203"/>
        <v>0</v>
      </c>
      <c r="H181" s="234">
        <f t="shared" si="203"/>
        <v>0</v>
      </c>
      <c r="I181" s="179">
        <f t="shared" ca="1" si="203"/>
        <v>0</v>
      </c>
      <c r="J181" s="179">
        <f t="shared" ca="1" si="203"/>
        <v>0</v>
      </c>
      <c r="K181" s="179">
        <f t="shared" ca="1" si="203"/>
        <v>0</v>
      </c>
      <c r="L181" s="179">
        <f t="shared" ca="1" si="203"/>
        <v>0</v>
      </c>
      <c r="M181" s="179">
        <f t="shared" ca="1" si="203"/>
        <v>0</v>
      </c>
      <c r="N181" s="179">
        <f t="shared" ca="1" si="203"/>
        <v>0</v>
      </c>
      <c r="O181" s="179">
        <f t="shared" ref="O181:AC181" ca="1" si="204">SUM(O178:O180)</f>
        <v>0</v>
      </c>
      <c r="P181" s="179">
        <f t="shared" ca="1" si="204"/>
        <v>0</v>
      </c>
      <c r="Q181" s="179">
        <f t="shared" ca="1" si="204"/>
        <v>0</v>
      </c>
      <c r="R181" s="179">
        <f t="shared" ca="1" si="204"/>
        <v>0</v>
      </c>
      <c r="S181" s="179">
        <f t="shared" ca="1" si="204"/>
        <v>0</v>
      </c>
      <c r="T181" s="179">
        <f t="shared" ca="1" si="204"/>
        <v>0</v>
      </c>
      <c r="U181" s="179">
        <f t="shared" ca="1" si="204"/>
        <v>0</v>
      </c>
      <c r="V181" s="179">
        <f t="shared" ca="1" si="204"/>
        <v>0</v>
      </c>
      <c r="W181" s="179">
        <f t="shared" ca="1" si="204"/>
        <v>0</v>
      </c>
      <c r="X181" s="179">
        <f t="shared" ca="1" si="204"/>
        <v>0</v>
      </c>
      <c r="Y181" s="179">
        <f t="shared" ca="1" si="204"/>
        <v>0</v>
      </c>
      <c r="Z181" s="179">
        <f t="shared" ca="1" si="204"/>
        <v>0</v>
      </c>
      <c r="AA181" s="179">
        <f t="shared" ca="1" si="204"/>
        <v>0</v>
      </c>
      <c r="AB181" s="179">
        <f t="shared" ca="1" si="204"/>
        <v>0</v>
      </c>
      <c r="AC181" s="179">
        <f t="shared" ca="1" si="204"/>
        <v>0</v>
      </c>
    </row>
    <row r="182" spans="1:29">
      <c r="C182" s="89"/>
      <c r="D182" s="89"/>
      <c r="E182" s="90"/>
      <c r="F182" s="90"/>
      <c r="G182" s="90"/>
      <c r="H182" s="91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</row>
    <row r="183" spans="1:29">
      <c r="A183" s="5" t="str">
        <f>A399</f>
        <v>Gross PP&amp;E</v>
      </c>
      <c r="C183" s="89"/>
      <c r="D183" s="89"/>
      <c r="E183" s="90">
        <f t="shared" ref="E183:G184" si="205">E399</f>
        <v>0</v>
      </c>
      <c r="F183" s="90">
        <f t="shared" si="205"/>
        <v>0</v>
      </c>
      <c r="G183" s="90">
        <f t="shared" si="205"/>
        <v>0</v>
      </c>
      <c r="H183" s="91">
        <f>N399</f>
        <v>0</v>
      </c>
      <c r="I183" s="90">
        <f>H183-I603+(I941-I943-I944)-H353</f>
        <v>0</v>
      </c>
      <c r="J183" s="90">
        <f t="shared" ref="J183:AC183" si="206">I183-J603+(J941-J943-J944)</f>
        <v>0</v>
      </c>
      <c r="K183" s="90">
        <f t="shared" si="206"/>
        <v>0</v>
      </c>
      <c r="L183" s="90">
        <f t="shared" si="206"/>
        <v>0</v>
      </c>
      <c r="M183" s="90">
        <f t="shared" si="206"/>
        <v>0</v>
      </c>
      <c r="N183" s="90">
        <f t="shared" si="206"/>
        <v>0</v>
      </c>
      <c r="O183" s="90">
        <f t="shared" si="206"/>
        <v>25.811</v>
      </c>
      <c r="P183" s="90">
        <f t="shared" si="206"/>
        <v>31.323</v>
      </c>
      <c r="Q183" s="90">
        <f t="shared" si="206"/>
        <v>47.522999999999996</v>
      </c>
      <c r="R183" s="90">
        <f t="shared" si="206"/>
        <v>47.522999999999996</v>
      </c>
      <c r="S183" s="90">
        <f t="shared" si="206"/>
        <v>47.522999999999996</v>
      </c>
      <c r="T183" s="90">
        <f t="shared" si="206"/>
        <v>47.522999999999996</v>
      </c>
      <c r="U183" s="90">
        <f t="shared" si="206"/>
        <v>47.522999999999996</v>
      </c>
      <c r="V183" s="90">
        <f t="shared" si="206"/>
        <v>47.522999999999996</v>
      </c>
      <c r="W183" s="90">
        <f t="shared" si="206"/>
        <v>47.522999999999996</v>
      </c>
      <c r="X183" s="90">
        <f t="shared" si="206"/>
        <v>47.522999999999996</v>
      </c>
      <c r="Y183" s="90">
        <f t="shared" si="206"/>
        <v>47.522999999999996</v>
      </c>
      <c r="Z183" s="90">
        <f t="shared" si="206"/>
        <v>47.522999999999996</v>
      </c>
      <c r="AA183" s="90">
        <f t="shared" si="206"/>
        <v>47.522999999999996</v>
      </c>
      <c r="AB183" s="90">
        <f t="shared" si="206"/>
        <v>47.522999999999996</v>
      </c>
      <c r="AC183" s="90">
        <f t="shared" si="206"/>
        <v>47.522999999999996</v>
      </c>
    </row>
    <row r="184" spans="1:29">
      <c r="A184" s="5" t="str">
        <f>A400</f>
        <v>Accumulated Depreciation</v>
      </c>
      <c r="C184" s="89"/>
      <c r="D184" s="89"/>
      <c r="E184" s="90">
        <f t="shared" si="205"/>
        <v>0</v>
      </c>
      <c r="F184" s="90">
        <f t="shared" si="205"/>
        <v>0</v>
      </c>
      <c r="G184" s="90">
        <f t="shared" si="205"/>
        <v>0</v>
      </c>
      <c r="H184" s="91">
        <f>N400</f>
        <v>0</v>
      </c>
      <c r="I184" s="90">
        <f t="shared" ref="I184:R184" si="207">H184+I604-I76</f>
        <v>0</v>
      </c>
      <c r="J184" s="90">
        <f t="shared" si="207"/>
        <v>0</v>
      </c>
      <c r="K184" s="90">
        <f t="shared" si="207"/>
        <v>0</v>
      </c>
      <c r="L184" s="90">
        <f t="shared" si="207"/>
        <v>0</v>
      </c>
      <c r="M184" s="90">
        <f t="shared" si="207"/>
        <v>0</v>
      </c>
      <c r="N184" s="90">
        <f t="shared" si="207"/>
        <v>0</v>
      </c>
      <c r="O184" s="90">
        <f t="shared" si="207"/>
        <v>-4.3794061069212393</v>
      </c>
      <c r="P184" s="90">
        <f t="shared" si="207"/>
        <v>-9.1141974082464863</v>
      </c>
      <c r="Q184" s="90">
        <f t="shared" si="207"/>
        <v>-16.2160314689052</v>
      </c>
      <c r="R184" s="90">
        <f t="shared" si="207"/>
        <v>-22.276324972559308</v>
      </c>
      <c r="S184" s="90">
        <f t="shared" ref="S184:AC184" si="208">R184+S604-S76</f>
        <v>-27.410946574222638</v>
      </c>
      <c r="T184" s="90">
        <f t="shared" si="208"/>
        <v>-31.724639974679679</v>
      </c>
      <c r="U184" s="90">
        <f t="shared" si="208"/>
        <v>-35.340687060624802</v>
      </c>
      <c r="V184" s="90">
        <f t="shared" si="208"/>
        <v>-38.309714717017634</v>
      </c>
      <c r="W184" s="90">
        <f t="shared" si="208"/>
        <v>-40.744559073569825</v>
      </c>
      <c r="X184" s="90">
        <f t="shared" si="208"/>
        <v>-42.719762200944622</v>
      </c>
      <c r="Y184" s="90">
        <f t="shared" si="208"/>
        <v>-44.276401509907885</v>
      </c>
      <c r="Z184" s="90">
        <f t="shared" si="208"/>
        <v>-45.419915160939311</v>
      </c>
      <c r="AA184" s="90">
        <f t="shared" si="208"/>
        <v>-46.294342441098927</v>
      </c>
      <c r="AB184" s="90">
        <f t="shared" si="208"/>
        <v>-46.967014439570562</v>
      </c>
      <c r="AC184" s="90">
        <f t="shared" si="208"/>
        <v>-47.522999999999996</v>
      </c>
    </row>
    <row r="185" spans="1:29">
      <c r="A185" s="77" t="str">
        <f>A401</f>
        <v>Net PP&amp;E</v>
      </c>
      <c r="C185" s="90"/>
      <c r="D185" s="90"/>
      <c r="E185" s="92">
        <f t="shared" ref="E185:N185" si="209">E183+E184</f>
        <v>0</v>
      </c>
      <c r="F185" s="92">
        <f t="shared" si="209"/>
        <v>0</v>
      </c>
      <c r="G185" s="92">
        <f t="shared" si="209"/>
        <v>0</v>
      </c>
      <c r="H185" s="93">
        <f t="shared" si="209"/>
        <v>0</v>
      </c>
      <c r="I185" s="92">
        <f t="shared" si="209"/>
        <v>0</v>
      </c>
      <c r="J185" s="92">
        <f t="shared" si="209"/>
        <v>0</v>
      </c>
      <c r="K185" s="92">
        <f t="shared" si="209"/>
        <v>0</v>
      </c>
      <c r="L185" s="92">
        <f t="shared" si="209"/>
        <v>0</v>
      </c>
      <c r="M185" s="92">
        <f t="shared" si="209"/>
        <v>0</v>
      </c>
      <c r="N185" s="92">
        <f t="shared" si="209"/>
        <v>0</v>
      </c>
      <c r="O185" s="92">
        <f t="shared" ref="O185:AC185" si="210">O183+O184</f>
        <v>21.431593893078762</v>
      </c>
      <c r="P185" s="92">
        <f t="shared" si="210"/>
        <v>22.208802591753514</v>
      </c>
      <c r="Q185" s="92">
        <f t="shared" si="210"/>
        <v>31.306968531094796</v>
      </c>
      <c r="R185" s="92">
        <f t="shared" si="210"/>
        <v>25.246675027440688</v>
      </c>
      <c r="S185" s="92">
        <f t="shared" si="210"/>
        <v>20.112053425777358</v>
      </c>
      <c r="T185" s="92">
        <f t="shared" si="210"/>
        <v>15.798360025320317</v>
      </c>
      <c r="U185" s="92">
        <f t="shared" si="210"/>
        <v>12.182312939375194</v>
      </c>
      <c r="V185" s="92">
        <f t="shared" si="210"/>
        <v>9.2132852829823619</v>
      </c>
      <c r="W185" s="92">
        <f t="shared" si="210"/>
        <v>6.7784409264301715</v>
      </c>
      <c r="X185" s="92">
        <f t="shared" si="210"/>
        <v>4.8032377990553741</v>
      </c>
      <c r="Y185" s="92">
        <f t="shared" si="210"/>
        <v>3.2465984900921114</v>
      </c>
      <c r="Z185" s="92">
        <f t="shared" si="210"/>
        <v>2.1030848390606849</v>
      </c>
      <c r="AA185" s="92">
        <f t="shared" si="210"/>
        <v>1.2286575589010695</v>
      </c>
      <c r="AB185" s="92">
        <f t="shared" si="210"/>
        <v>0.55598556042943414</v>
      </c>
      <c r="AC185" s="92">
        <f t="shared" si="210"/>
        <v>0</v>
      </c>
    </row>
    <row r="186" spans="1:29">
      <c r="C186" s="90"/>
      <c r="D186" s="90"/>
      <c r="E186" s="90"/>
      <c r="F186" s="90"/>
      <c r="G186" s="90"/>
      <c r="H186" s="91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</row>
    <row r="187" spans="1:29">
      <c r="A187" s="5" t="str">
        <f>A403</f>
        <v>Deferred Income Taxes</v>
      </c>
      <c r="C187" s="89"/>
      <c r="D187" s="89"/>
      <c r="E187" s="90">
        <f t="shared" ref="E187:G188" si="211">E403</f>
        <v>0</v>
      </c>
      <c r="F187" s="90">
        <f t="shared" si="211"/>
        <v>0</v>
      </c>
      <c r="G187" s="90">
        <f t="shared" si="211"/>
        <v>0</v>
      </c>
      <c r="H187" s="91">
        <f>N403</f>
        <v>0</v>
      </c>
      <c r="I187" s="90">
        <f>H187+I943+H354</f>
        <v>0</v>
      </c>
      <c r="J187" s="90">
        <f t="shared" ref="J187:AC187" si="212">I187+J943</f>
        <v>0</v>
      </c>
      <c r="K187" s="90">
        <f t="shared" si="212"/>
        <v>0</v>
      </c>
      <c r="L187" s="90">
        <f t="shared" si="212"/>
        <v>0</v>
      </c>
      <c r="M187" s="90">
        <f t="shared" si="212"/>
        <v>0</v>
      </c>
      <c r="N187" s="90">
        <f t="shared" si="212"/>
        <v>0</v>
      </c>
      <c r="O187" s="90">
        <f t="shared" si="212"/>
        <v>0</v>
      </c>
      <c r="P187" s="90">
        <f t="shared" si="212"/>
        <v>0</v>
      </c>
      <c r="Q187" s="90">
        <f t="shared" si="212"/>
        <v>0</v>
      </c>
      <c r="R187" s="90">
        <f t="shared" si="212"/>
        <v>0</v>
      </c>
      <c r="S187" s="90">
        <f t="shared" si="212"/>
        <v>0</v>
      </c>
      <c r="T187" s="90">
        <f t="shared" si="212"/>
        <v>0</v>
      </c>
      <c r="U187" s="90">
        <f t="shared" si="212"/>
        <v>0</v>
      </c>
      <c r="V187" s="90">
        <f t="shared" si="212"/>
        <v>0</v>
      </c>
      <c r="W187" s="90">
        <f t="shared" si="212"/>
        <v>0</v>
      </c>
      <c r="X187" s="90">
        <f t="shared" si="212"/>
        <v>0</v>
      </c>
      <c r="Y187" s="90">
        <f t="shared" si="212"/>
        <v>0</v>
      </c>
      <c r="Z187" s="90">
        <f t="shared" si="212"/>
        <v>0</v>
      </c>
      <c r="AA187" s="90">
        <f t="shared" si="212"/>
        <v>0</v>
      </c>
      <c r="AB187" s="90">
        <f t="shared" si="212"/>
        <v>0</v>
      </c>
      <c r="AC187" s="90">
        <f t="shared" si="212"/>
        <v>0</v>
      </c>
    </row>
    <row r="188" spans="1:29">
      <c r="A188" s="5" t="str">
        <f>A404</f>
        <v>Other Assets</v>
      </c>
      <c r="C188" s="89"/>
      <c r="D188" s="89"/>
      <c r="E188" s="90">
        <f t="shared" si="211"/>
        <v>0</v>
      </c>
      <c r="F188" s="90">
        <f t="shared" si="211"/>
        <v>0</v>
      </c>
      <c r="G188" s="90">
        <f t="shared" si="211"/>
        <v>0</v>
      </c>
      <c r="H188" s="91">
        <f>N404</f>
        <v>0</v>
      </c>
      <c r="I188" s="90">
        <f t="shared" ref="I188:R188" si="213">H188+I131</f>
        <v>0</v>
      </c>
      <c r="J188" s="90">
        <f t="shared" si="213"/>
        <v>0</v>
      </c>
      <c r="K188" s="90">
        <f t="shared" si="213"/>
        <v>0</v>
      </c>
      <c r="L188" s="90">
        <f t="shared" si="213"/>
        <v>0</v>
      </c>
      <c r="M188" s="90">
        <f t="shared" si="213"/>
        <v>0</v>
      </c>
      <c r="N188" s="90">
        <f t="shared" si="213"/>
        <v>0</v>
      </c>
      <c r="O188" s="90">
        <f t="shared" si="213"/>
        <v>0</v>
      </c>
      <c r="P188" s="90">
        <f t="shared" si="213"/>
        <v>0</v>
      </c>
      <c r="Q188" s="90">
        <f t="shared" si="213"/>
        <v>0</v>
      </c>
      <c r="R188" s="90">
        <f t="shared" si="213"/>
        <v>0</v>
      </c>
      <c r="S188" s="90">
        <f t="shared" ref="S188:AC188" si="214">R188+S131</f>
        <v>0</v>
      </c>
      <c r="T188" s="90">
        <f t="shared" si="214"/>
        <v>0</v>
      </c>
      <c r="U188" s="90">
        <f t="shared" si="214"/>
        <v>0</v>
      </c>
      <c r="V188" s="90">
        <f t="shared" si="214"/>
        <v>0</v>
      </c>
      <c r="W188" s="90">
        <f t="shared" si="214"/>
        <v>0</v>
      </c>
      <c r="X188" s="90">
        <f t="shared" si="214"/>
        <v>0</v>
      </c>
      <c r="Y188" s="90">
        <f t="shared" si="214"/>
        <v>0</v>
      </c>
      <c r="Z188" s="90">
        <f t="shared" si="214"/>
        <v>0</v>
      </c>
      <c r="AA188" s="90">
        <f t="shared" si="214"/>
        <v>0</v>
      </c>
      <c r="AB188" s="90">
        <f t="shared" si="214"/>
        <v>0</v>
      </c>
      <c r="AC188" s="90">
        <f t="shared" si="214"/>
        <v>0</v>
      </c>
    </row>
    <row r="189" spans="1:29" ht="12" thickBot="1">
      <c r="A189" s="77" t="str">
        <f>A405</f>
        <v>Total Assets</v>
      </c>
      <c r="C189" s="90"/>
      <c r="D189" s="90"/>
      <c r="E189" s="101">
        <f t="shared" ref="E189:N189" si="215">E176+E181+E185+E187+E188</f>
        <v>0</v>
      </c>
      <c r="F189" s="101">
        <f t="shared" si="215"/>
        <v>0</v>
      </c>
      <c r="G189" s="101">
        <f t="shared" si="215"/>
        <v>0</v>
      </c>
      <c r="H189" s="182">
        <f t="shared" si="215"/>
        <v>0</v>
      </c>
      <c r="I189" s="101">
        <f t="shared" ca="1" si="215"/>
        <v>0</v>
      </c>
      <c r="J189" s="101">
        <f t="shared" ca="1" si="215"/>
        <v>5738.0804833465427</v>
      </c>
      <c r="K189" s="101">
        <f t="shared" ca="1" si="215"/>
        <v>10189.817411743868</v>
      </c>
      <c r="L189" s="101">
        <f t="shared" ca="1" si="215"/>
        <v>14227.925486116394</v>
      </c>
      <c r="M189" s="101">
        <f t="shared" ca="1" si="215"/>
        <v>18178.888674765869</v>
      </c>
      <c r="N189" s="101">
        <f t="shared" ca="1" si="215"/>
        <v>21937.941700404466</v>
      </c>
      <c r="O189" s="101">
        <f t="shared" ref="O189:AC189" ca="1" si="216">O176+O181+O185+O187+O188</f>
        <v>25427.528957514627</v>
      </c>
      <c r="P189" s="101">
        <f t="shared" ca="1" si="216"/>
        <v>28678.354008401733</v>
      </c>
      <c r="Q189" s="101">
        <f t="shared" ca="1" si="216"/>
        <v>31778.68596340068</v>
      </c>
      <c r="R189" s="101">
        <f t="shared" ca="1" si="216"/>
        <v>34746.184545545228</v>
      </c>
      <c r="S189" s="101">
        <f t="shared" ca="1" si="216"/>
        <v>37142.086453227981</v>
      </c>
      <c r="T189" s="101">
        <f t="shared" ca="1" si="216"/>
        <v>39458.378026917118</v>
      </c>
      <c r="U189" s="101">
        <f t="shared" ca="1" si="216"/>
        <v>41718.542110040064</v>
      </c>
      <c r="V189" s="101">
        <f t="shared" ca="1" si="216"/>
        <v>43923.950388893885</v>
      </c>
      <c r="W189" s="101">
        <f t="shared" ca="1" si="216"/>
        <v>46104.607837571828</v>
      </c>
      <c r="X189" s="101">
        <f t="shared" ca="1" si="216"/>
        <v>48256.369628907261</v>
      </c>
      <c r="Y189" s="101">
        <f t="shared" ca="1" si="216"/>
        <v>50388.122450128649</v>
      </c>
      <c r="Z189" s="101">
        <f t="shared" ca="1" si="216"/>
        <v>52479.945616335361</v>
      </c>
      <c r="AA189" s="101">
        <f t="shared" ca="1" si="216"/>
        <v>54565.76751168121</v>
      </c>
      <c r="AB189" s="101">
        <f t="shared" ca="1" si="216"/>
        <v>56661.376756606194</v>
      </c>
      <c r="AC189" s="101">
        <f t="shared" ca="1" si="216"/>
        <v>58794.109021453049</v>
      </c>
    </row>
    <row r="190" spans="1:29" ht="12" thickTop="1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</row>
    <row r="191" spans="1:29">
      <c r="A191" s="77" t="str">
        <f t="shared" ref="A191:A197" si="217">A407</f>
        <v>LIABILITIES &amp; EQUITY:</v>
      </c>
      <c r="C191" s="89"/>
      <c r="D191" s="89"/>
      <c r="E191" s="89"/>
      <c r="F191" s="89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</row>
    <row r="192" spans="1:29">
      <c r="A192" s="5" t="str">
        <f t="shared" si="217"/>
        <v>Accounts Payable</v>
      </c>
      <c r="C192" s="90"/>
      <c r="D192" s="90"/>
      <c r="E192" s="90">
        <f t="shared" ref="E192:G196" si="218">E408</f>
        <v>0</v>
      </c>
      <c r="F192" s="90">
        <f t="shared" si="218"/>
        <v>0</v>
      </c>
      <c r="G192" s="90">
        <f t="shared" si="218"/>
        <v>0</v>
      </c>
      <c r="H192" s="94">
        <f>N408</f>
        <v>0</v>
      </c>
      <c r="I192" s="90">
        <f t="shared" ref="I192:AC192" ca="1" si="219">I454</f>
        <v>0</v>
      </c>
      <c r="J192" s="90">
        <f t="shared" ca="1" si="219"/>
        <v>0</v>
      </c>
      <c r="K192" s="90">
        <f t="shared" ca="1" si="219"/>
        <v>0</v>
      </c>
      <c r="L192" s="90">
        <f t="shared" ca="1" si="219"/>
        <v>0</v>
      </c>
      <c r="M192" s="90">
        <f t="shared" ca="1" si="219"/>
        <v>0</v>
      </c>
      <c r="N192" s="90">
        <f t="shared" ca="1" si="219"/>
        <v>0</v>
      </c>
      <c r="O192" s="90">
        <f t="shared" ca="1" si="219"/>
        <v>0</v>
      </c>
      <c r="P192" s="90">
        <f t="shared" ca="1" si="219"/>
        <v>0</v>
      </c>
      <c r="Q192" s="90">
        <f t="shared" ca="1" si="219"/>
        <v>0</v>
      </c>
      <c r="R192" s="90">
        <f t="shared" ca="1" si="219"/>
        <v>0</v>
      </c>
      <c r="S192" s="90">
        <f t="shared" ca="1" si="219"/>
        <v>0</v>
      </c>
      <c r="T192" s="90">
        <f t="shared" ca="1" si="219"/>
        <v>0</v>
      </c>
      <c r="U192" s="90">
        <f t="shared" ca="1" si="219"/>
        <v>0</v>
      </c>
      <c r="V192" s="90">
        <f t="shared" ca="1" si="219"/>
        <v>0</v>
      </c>
      <c r="W192" s="90">
        <f t="shared" ca="1" si="219"/>
        <v>0</v>
      </c>
      <c r="X192" s="90">
        <f t="shared" ca="1" si="219"/>
        <v>0</v>
      </c>
      <c r="Y192" s="90">
        <f t="shared" ca="1" si="219"/>
        <v>0</v>
      </c>
      <c r="Z192" s="90">
        <f t="shared" ca="1" si="219"/>
        <v>0</v>
      </c>
      <c r="AA192" s="90">
        <f t="shared" ca="1" si="219"/>
        <v>0</v>
      </c>
      <c r="AB192" s="90">
        <f t="shared" ca="1" si="219"/>
        <v>0</v>
      </c>
      <c r="AC192" s="90">
        <f t="shared" ca="1" si="219"/>
        <v>0</v>
      </c>
    </row>
    <row r="193" spans="1:29">
      <c r="A193" s="5" t="str">
        <f t="shared" si="217"/>
        <v>Accrued Liabilities</v>
      </c>
      <c r="C193" s="90"/>
      <c r="D193" s="90"/>
      <c r="E193" s="90">
        <f t="shared" si="218"/>
        <v>0</v>
      </c>
      <c r="F193" s="90">
        <f t="shared" si="218"/>
        <v>0</v>
      </c>
      <c r="G193" s="90">
        <f t="shared" si="218"/>
        <v>0</v>
      </c>
      <c r="H193" s="94">
        <f>N409</f>
        <v>0</v>
      </c>
      <c r="I193" s="90">
        <f t="shared" ref="I193:AC193" ca="1" si="220">I455</f>
        <v>0</v>
      </c>
      <c r="J193" s="90">
        <f t="shared" ca="1" si="220"/>
        <v>0</v>
      </c>
      <c r="K193" s="90">
        <f t="shared" ca="1" si="220"/>
        <v>0</v>
      </c>
      <c r="L193" s="90">
        <f t="shared" ca="1" si="220"/>
        <v>0</v>
      </c>
      <c r="M193" s="90">
        <f t="shared" ca="1" si="220"/>
        <v>0</v>
      </c>
      <c r="N193" s="90">
        <f t="shared" ca="1" si="220"/>
        <v>0</v>
      </c>
      <c r="O193" s="90">
        <f t="shared" ca="1" si="220"/>
        <v>0</v>
      </c>
      <c r="P193" s="90">
        <f t="shared" ca="1" si="220"/>
        <v>0</v>
      </c>
      <c r="Q193" s="90">
        <f t="shared" ca="1" si="220"/>
        <v>0</v>
      </c>
      <c r="R193" s="90">
        <f t="shared" ca="1" si="220"/>
        <v>0</v>
      </c>
      <c r="S193" s="90">
        <f t="shared" ca="1" si="220"/>
        <v>0</v>
      </c>
      <c r="T193" s="90">
        <f t="shared" ca="1" si="220"/>
        <v>0</v>
      </c>
      <c r="U193" s="90">
        <f t="shared" ca="1" si="220"/>
        <v>0</v>
      </c>
      <c r="V193" s="90">
        <f t="shared" ca="1" si="220"/>
        <v>0</v>
      </c>
      <c r="W193" s="90">
        <f t="shared" ca="1" si="220"/>
        <v>0</v>
      </c>
      <c r="X193" s="90">
        <f t="shared" ca="1" si="220"/>
        <v>0</v>
      </c>
      <c r="Y193" s="90">
        <f t="shared" ca="1" si="220"/>
        <v>0</v>
      </c>
      <c r="Z193" s="90">
        <f t="shared" ca="1" si="220"/>
        <v>0</v>
      </c>
      <c r="AA193" s="90">
        <f t="shared" ca="1" si="220"/>
        <v>0</v>
      </c>
      <c r="AB193" s="90">
        <f t="shared" ca="1" si="220"/>
        <v>0</v>
      </c>
      <c r="AC193" s="90">
        <f t="shared" ca="1" si="220"/>
        <v>0</v>
      </c>
    </row>
    <row r="194" spans="1:29">
      <c r="A194" s="5" t="str">
        <f t="shared" si="217"/>
        <v>Other Payables</v>
      </c>
      <c r="C194" s="90"/>
      <c r="D194" s="90"/>
      <c r="E194" s="90">
        <f t="shared" si="218"/>
        <v>0</v>
      </c>
      <c r="F194" s="90">
        <f t="shared" si="218"/>
        <v>0</v>
      </c>
      <c r="G194" s="90">
        <f t="shared" si="218"/>
        <v>0</v>
      </c>
      <c r="H194" s="94">
        <f>N410</f>
        <v>0</v>
      </c>
      <c r="I194" s="90">
        <f t="shared" ref="I194:AC194" si="221">I456</f>
        <v>0</v>
      </c>
      <c r="J194" s="90">
        <f t="shared" si="221"/>
        <v>0</v>
      </c>
      <c r="K194" s="90">
        <f t="shared" si="221"/>
        <v>0</v>
      </c>
      <c r="L194" s="90">
        <f t="shared" si="221"/>
        <v>0</v>
      </c>
      <c r="M194" s="90">
        <f t="shared" si="221"/>
        <v>0</v>
      </c>
      <c r="N194" s="90">
        <f t="shared" si="221"/>
        <v>0</v>
      </c>
      <c r="O194" s="90">
        <f t="shared" si="221"/>
        <v>0</v>
      </c>
      <c r="P194" s="90">
        <f t="shared" si="221"/>
        <v>0</v>
      </c>
      <c r="Q194" s="90">
        <f t="shared" si="221"/>
        <v>0</v>
      </c>
      <c r="R194" s="90">
        <f t="shared" si="221"/>
        <v>0</v>
      </c>
      <c r="S194" s="90">
        <f t="shared" si="221"/>
        <v>0</v>
      </c>
      <c r="T194" s="90">
        <f t="shared" si="221"/>
        <v>0</v>
      </c>
      <c r="U194" s="90">
        <f t="shared" si="221"/>
        <v>0</v>
      </c>
      <c r="V194" s="90">
        <f t="shared" si="221"/>
        <v>0</v>
      </c>
      <c r="W194" s="90">
        <f t="shared" si="221"/>
        <v>0</v>
      </c>
      <c r="X194" s="90">
        <f t="shared" si="221"/>
        <v>0</v>
      </c>
      <c r="Y194" s="90">
        <f t="shared" si="221"/>
        <v>0</v>
      </c>
      <c r="Z194" s="90">
        <f t="shared" si="221"/>
        <v>0</v>
      </c>
      <c r="AA194" s="90">
        <f t="shared" si="221"/>
        <v>0</v>
      </c>
      <c r="AB194" s="90">
        <f t="shared" si="221"/>
        <v>0</v>
      </c>
      <c r="AC194" s="90">
        <f t="shared" si="221"/>
        <v>0</v>
      </c>
    </row>
    <row r="195" spans="1:29">
      <c r="A195" s="5" t="str">
        <f t="shared" si="217"/>
        <v>Current Maturities</v>
      </c>
      <c r="C195" s="89"/>
      <c r="D195" s="89"/>
      <c r="E195" s="90">
        <f t="shared" si="218"/>
        <v>0</v>
      </c>
      <c r="F195" s="90">
        <f t="shared" si="218"/>
        <v>0</v>
      </c>
      <c r="G195" s="90">
        <f t="shared" si="218"/>
        <v>0</v>
      </c>
      <c r="H195" s="94">
        <f>N411</f>
        <v>0</v>
      </c>
      <c r="I195" s="90">
        <f t="shared" ref="I195:R195" ca="1" si="222">J270+J243+J303+J264+J258+J309+J278+J285+J233</f>
        <v>0</v>
      </c>
      <c r="J195" s="90">
        <f t="shared" ca="1" si="222"/>
        <v>0</v>
      </c>
      <c r="K195" s="90">
        <f t="shared" ca="1" si="222"/>
        <v>0</v>
      </c>
      <c r="L195" s="90">
        <f t="shared" ca="1" si="222"/>
        <v>0</v>
      </c>
      <c r="M195" s="90">
        <f t="shared" ca="1" si="222"/>
        <v>0</v>
      </c>
      <c r="N195" s="90">
        <f t="shared" ca="1" si="222"/>
        <v>0</v>
      </c>
      <c r="O195" s="90">
        <f t="shared" ca="1" si="222"/>
        <v>0</v>
      </c>
      <c r="P195" s="90">
        <f t="shared" ca="1" si="222"/>
        <v>0</v>
      </c>
      <c r="Q195" s="90">
        <f t="shared" ca="1" si="222"/>
        <v>0</v>
      </c>
      <c r="R195" s="90">
        <f t="shared" ca="1" si="222"/>
        <v>0</v>
      </c>
      <c r="S195" s="90">
        <f t="shared" ref="S195:AC195" ca="1" si="223">T270+T243+T303+T264+T258+T309+T278+T285+T233</f>
        <v>0</v>
      </c>
      <c r="T195" s="90">
        <f t="shared" ca="1" si="223"/>
        <v>0</v>
      </c>
      <c r="U195" s="90">
        <f t="shared" ca="1" si="223"/>
        <v>0</v>
      </c>
      <c r="V195" s="90">
        <f t="shared" ca="1" si="223"/>
        <v>0</v>
      </c>
      <c r="W195" s="90">
        <f t="shared" ca="1" si="223"/>
        <v>0</v>
      </c>
      <c r="X195" s="90">
        <f t="shared" ca="1" si="223"/>
        <v>0</v>
      </c>
      <c r="Y195" s="90">
        <f t="shared" ca="1" si="223"/>
        <v>0</v>
      </c>
      <c r="Z195" s="90">
        <f t="shared" ca="1" si="223"/>
        <v>0</v>
      </c>
      <c r="AA195" s="90">
        <f t="shared" ca="1" si="223"/>
        <v>0</v>
      </c>
      <c r="AB195" s="90">
        <f t="shared" ca="1" si="223"/>
        <v>0</v>
      </c>
      <c r="AC195" s="90">
        <f t="shared" si="223"/>
        <v>0</v>
      </c>
    </row>
    <row r="196" spans="1:29">
      <c r="A196" s="5" t="str">
        <f t="shared" si="217"/>
        <v>Short-term Debt</v>
      </c>
      <c r="C196" s="89"/>
      <c r="D196" s="89"/>
      <c r="E196" s="90">
        <f t="shared" si="218"/>
        <v>0</v>
      </c>
      <c r="F196" s="90">
        <f t="shared" si="218"/>
        <v>0</v>
      </c>
      <c r="G196" s="90">
        <f t="shared" si="218"/>
        <v>0</v>
      </c>
      <c r="H196" s="94">
        <f>N412</f>
        <v>0</v>
      </c>
      <c r="I196" s="90">
        <f t="shared" ref="I196:R196" ca="1" si="224">I298+I227</f>
        <v>0</v>
      </c>
      <c r="J196" s="90">
        <f t="shared" ca="1" si="224"/>
        <v>0</v>
      </c>
      <c r="K196" s="90">
        <f t="shared" ca="1" si="224"/>
        <v>0</v>
      </c>
      <c r="L196" s="90">
        <f t="shared" ca="1" si="224"/>
        <v>0</v>
      </c>
      <c r="M196" s="90">
        <f t="shared" ca="1" si="224"/>
        <v>0</v>
      </c>
      <c r="N196" s="90">
        <f t="shared" ca="1" si="224"/>
        <v>0</v>
      </c>
      <c r="O196" s="90">
        <f t="shared" ca="1" si="224"/>
        <v>0</v>
      </c>
      <c r="P196" s="90">
        <f t="shared" ca="1" si="224"/>
        <v>0</v>
      </c>
      <c r="Q196" s="90">
        <f t="shared" ca="1" si="224"/>
        <v>0</v>
      </c>
      <c r="R196" s="90">
        <f t="shared" ca="1" si="224"/>
        <v>0</v>
      </c>
      <c r="S196" s="90">
        <f t="shared" ref="S196:AC196" ca="1" si="225">S298+S227</f>
        <v>0</v>
      </c>
      <c r="T196" s="90">
        <f t="shared" ca="1" si="225"/>
        <v>0</v>
      </c>
      <c r="U196" s="90">
        <f t="shared" ca="1" si="225"/>
        <v>0</v>
      </c>
      <c r="V196" s="90">
        <f t="shared" ca="1" si="225"/>
        <v>0</v>
      </c>
      <c r="W196" s="90">
        <f t="shared" ca="1" si="225"/>
        <v>0</v>
      </c>
      <c r="X196" s="90">
        <f t="shared" ca="1" si="225"/>
        <v>0</v>
      </c>
      <c r="Y196" s="90">
        <f t="shared" ca="1" si="225"/>
        <v>0</v>
      </c>
      <c r="Z196" s="90">
        <f t="shared" ca="1" si="225"/>
        <v>0</v>
      </c>
      <c r="AA196" s="90">
        <f t="shared" ca="1" si="225"/>
        <v>0</v>
      </c>
      <c r="AB196" s="90">
        <f t="shared" ca="1" si="225"/>
        <v>0</v>
      </c>
      <c r="AC196" s="90">
        <f t="shared" ca="1" si="225"/>
        <v>0</v>
      </c>
    </row>
    <row r="197" spans="1:29">
      <c r="A197" s="77" t="str">
        <f t="shared" si="217"/>
        <v>Total Current Liabilities</v>
      </c>
      <c r="C197" s="90"/>
      <c r="D197" s="90"/>
      <c r="E197" s="92">
        <f t="shared" ref="E197:N197" si="226">E192+E193+E195+E194+E196</f>
        <v>0</v>
      </c>
      <c r="F197" s="92">
        <f t="shared" si="226"/>
        <v>0</v>
      </c>
      <c r="G197" s="92">
        <f t="shared" si="226"/>
        <v>0</v>
      </c>
      <c r="H197" s="96">
        <f t="shared" si="226"/>
        <v>0</v>
      </c>
      <c r="I197" s="92">
        <f t="shared" ca="1" si="226"/>
        <v>0</v>
      </c>
      <c r="J197" s="92">
        <f t="shared" ca="1" si="226"/>
        <v>0</v>
      </c>
      <c r="K197" s="92">
        <f t="shared" ca="1" si="226"/>
        <v>0</v>
      </c>
      <c r="L197" s="92">
        <f t="shared" ca="1" si="226"/>
        <v>0</v>
      </c>
      <c r="M197" s="92">
        <f t="shared" ca="1" si="226"/>
        <v>0</v>
      </c>
      <c r="N197" s="92">
        <f t="shared" ca="1" si="226"/>
        <v>0</v>
      </c>
      <c r="O197" s="92">
        <f t="shared" ref="O197:AC197" ca="1" si="227">O192+O193+O195+O194+O196</f>
        <v>0</v>
      </c>
      <c r="P197" s="92">
        <f t="shared" ca="1" si="227"/>
        <v>0</v>
      </c>
      <c r="Q197" s="92">
        <f t="shared" ca="1" si="227"/>
        <v>0</v>
      </c>
      <c r="R197" s="92">
        <f t="shared" ca="1" si="227"/>
        <v>0</v>
      </c>
      <c r="S197" s="92">
        <f t="shared" ca="1" si="227"/>
        <v>0</v>
      </c>
      <c r="T197" s="92">
        <f t="shared" ca="1" si="227"/>
        <v>0</v>
      </c>
      <c r="U197" s="92">
        <f t="shared" ca="1" si="227"/>
        <v>0</v>
      </c>
      <c r="V197" s="92">
        <f t="shared" ca="1" si="227"/>
        <v>0</v>
      </c>
      <c r="W197" s="92">
        <f t="shared" ca="1" si="227"/>
        <v>0</v>
      </c>
      <c r="X197" s="92">
        <f t="shared" ca="1" si="227"/>
        <v>0</v>
      </c>
      <c r="Y197" s="92">
        <f t="shared" ca="1" si="227"/>
        <v>0</v>
      </c>
      <c r="Z197" s="92">
        <f t="shared" ca="1" si="227"/>
        <v>0</v>
      </c>
      <c r="AA197" s="92">
        <f t="shared" ca="1" si="227"/>
        <v>0</v>
      </c>
      <c r="AB197" s="92">
        <f t="shared" ca="1" si="227"/>
        <v>0</v>
      </c>
      <c r="AC197" s="92">
        <f t="shared" ca="1" si="227"/>
        <v>0</v>
      </c>
    </row>
    <row r="198" spans="1:29">
      <c r="C198" s="89"/>
      <c r="D198" s="89"/>
      <c r="E198" s="89"/>
      <c r="F198" s="89"/>
      <c r="G198" s="90"/>
      <c r="H198" s="94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</row>
    <row r="199" spans="1:29">
      <c r="A199" s="5" t="str">
        <f t="shared" ref="A199:A204" si="228">A415</f>
        <v>Senior Debt</v>
      </c>
      <c r="E199" s="90">
        <f t="shared" ref="E199:G203" si="229">E415</f>
        <v>0</v>
      </c>
      <c r="F199" s="90">
        <f t="shared" si="229"/>
        <v>0</v>
      </c>
      <c r="G199" s="90">
        <f t="shared" si="229"/>
        <v>0</v>
      </c>
      <c r="H199" s="94">
        <f>N415</f>
        <v>0</v>
      </c>
      <c r="I199" s="5">
        <f t="shared" ref="I199:R199" ca="1" si="230">I259+I265+I304+I236+I245+I271-J270-J243-J303-J264-J258-J233</f>
        <v>504.85591119790752</v>
      </c>
      <c r="J199" s="5">
        <f t="shared" ca="1" si="230"/>
        <v>0</v>
      </c>
      <c r="K199" s="5">
        <f t="shared" ca="1" si="230"/>
        <v>0</v>
      </c>
      <c r="L199" s="5">
        <f t="shared" ca="1" si="230"/>
        <v>0</v>
      </c>
      <c r="M199" s="5">
        <f t="shared" ca="1" si="230"/>
        <v>0</v>
      </c>
      <c r="N199" s="5">
        <f t="shared" ca="1" si="230"/>
        <v>0</v>
      </c>
      <c r="O199" s="5">
        <f t="shared" ca="1" si="230"/>
        <v>0</v>
      </c>
      <c r="P199" s="5">
        <f t="shared" ca="1" si="230"/>
        <v>0</v>
      </c>
      <c r="Q199" s="5">
        <f t="shared" ca="1" si="230"/>
        <v>0</v>
      </c>
      <c r="R199" s="5">
        <f t="shared" ca="1" si="230"/>
        <v>0</v>
      </c>
      <c r="S199" s="5">
        <f t="shared" ref="S199:AC199" ca="1" si="231">S259+S265+S304+S236+S245+S271-T270-T243-T303-T264-T258-T233</f>
        <v>0</v>
      </c>
      <c r="T199" s="5">
        <f t="shared" ca="1" si="231"/>
        <v>0</v>
      </c>
      <c r="U199" s="5">
        <f t="shared" ca="1" si="231"/>
        <v>0</v>
      </c>
      <c r="V199" s="5">
        <f t="shared" ca="1" si="231"/>
        <v>0</v>
      </c>
      <c r="W199" s="5">
        <f t="shared" ca="1" si="231"/>
        <v>0</v>
      </c>
      <c r="X199" s="5">
        <f t="shared" ca="1" si="231"/>
        <v>0</v>
      </c>
      <c r="Y199" s="5">
        <f t="shared" ca="1" si="231"/>
        <v>0</v>
      </c>
      <c r="Z199" s="5">
        <f t="shared" ca="1" si="231"/>
        <v>0</v>
      </c>
      <c r="AA199" s="5">
        <f t="shared" ca="1" si="231"/>
        <v>0</v>
      </c>
      <c r="AB199" s="5">
        <f t="shared" ca="1" si="231"/>
        <v>0</v>
      </c>
      <c r="AC199" s="5">
        <f t="shared" ca="1" si="231"/>
        <v>0</v>
      </c>
    </row>
    <row r="200" spans="1:29">
      <c r="A200" s="5" t="str">
        <f t="shared" si="228"/>
        <v>Subordinated Debt</v>
      </c>
      <c r="C200" s="89"/>
      <c r="D200" s="89"/>
      <c r="E200" s="90">
        <f t="shared" si="229"/>
        <v>0</v>
      </c>
      <c r="F200" s="90">
        <f t="shared" si="229"/>
        <v>0</v>
      </c>
      <c r="G200" s="90">
        <f t="shared" si="229"/>
        <v>0</v>
      </c>
      <c r="H200" s="94">
        <f>N416</f>
        <v>0</v>
      </c>
      <c r="I200" s="90">
        <f t="shared" ref="I200:R200" ca="1" si="232">I286+I280+I310-J309-J278-J285</f>
        <v>0</v>
      </c>
      <c r="J200" s="90">
        <f t="shared" ca="1" si="232"/>
        <v>0</v>
      </c>
      <c r="K200" s="90">
        <f t="shared" ca="1" si="232"/>
        <v>0</v>
      </c>
      <c r="L200" s="90">
        <f t="shared" ca="1" si="232"/>
        <v>0</v>
      </c>
      <c r="M200" s="90">
        <f t="shared" ca="1" si="232"/>
        <v>0</v>
      </c>
      <c r="N200" s="90">
        <f t="shared" ca="1" si="232"/>
        <v>0</v>
      </c>
      <c r="O200" s="90">
        <f t="shared" ca="1" si="232"/>
        <v>0</v>
      </c>
      <c r="P200" s="90">
        <f t="shared" ca="1" si="232"/>
        <v>0</v>
      </c>
      <c r="Q200" s="90">
        <f t="shared" ca="1" si="232"/>
        <v>0</v>
      </c>
      <c r="R200" s="90">
        <f t="shared" ca="1" si="232"/>
        <v>0</v>
      </c>
      <c r="S200" s="90">
        <f t="shared" ref="S200:AC200" ca="1" si="233">S286+S280+S310-T309-T278-T285</f>
        <v>0</v>
      </c>
      <c r="T200" s="90">
        <f t="shared" ca="1" si="233"/>
        <v>0</v>
      </c>
      <c r="U200" s="90">
        <f t="shared" ca="1" si="233"/>
        <v>0</v>
      </c>
      <c r="V200" s="90">
        <f t="shared" ca="1" si="233"/>
        <v>0</v>
      </c>
      <c r="W200" s="90">
        <f t="shared" ca="1" si="233"/>
        <v>0</v>
      </c>
      <c r="X200" s="90">
        <f t="shared" ca="1" si="233"/>
        <v>0</v>
      </c>
      <c r="Y200" s="90">
        <f t="shared" ca="1" si="233"/>
        <v>0</v>
      </c>
      <c r="Z200" s="90">
        <f t="shared" ca="1" si="233"/>
        <v>0</v>
      </c>
      <c r="AA200" s="90">
        <f t="shared" ca="1" si="233"/>
        <v>0</v>
      </c>
      <c r="AB200" s="90">
        <f t="shared" ca="1" si="233"/>
        <v>0</v>
      </c>
      <c r="AC200" s="90">
        <f t="shared" ca="1" si="233"/>
        <v>0</v>
      </c>
    </row>
    <row r="201" spans="1:29">
      <c r="A201" s="5" t="str">
        <f t="shared" si="228"/>
        <v>Deferred Taxes</v>
      </c>
      <c r="C201" s="89"/>
      <c r="D201" s="89"/>
      <c r="E201" s="90">
        <f t="shared" si="229"/>
        <v>0</v>
      </c>
      <c r="F201" s="90">
        <f t="shared" si="229"/>
        <v>0</v>
      </c>
      <c r="G201" s="90">
        <f t="shared" si="229"/>
        <v>0</v>
      </c>
      <c r="H201" s="91">
        <f>N417</f>
        <v>0</v>
      </c>
      <c r="I201" s="90">
        <f t="shared" ref="I201:R201" ca="1" si="234">I121+H201</f>
        <v>-3.7315654718329143</v>
      </c>
      <c r="J201" s="90">
        <f t="shared" ca="1" si="234"/>
        <v>-3.7315654718329143</v>
      </c>
      <c r="K201" s="90">
        <f t="shared" ca="1" si="234"/>
        <v>-825.76801214009026</v>
      </c>
      <c r="L201" s="90">
        <f t="shared" ca="1" si="234"/>
        <v>-1163.6503082415436</v>
      </c>
      <c r="M201" s="90">
        <f t="shared" ca="1" si="234"/>
        <v>-492.58070701962697</v>
      </c>
      <c r="N201" s="90">
        <f t="shared" ca="1" si="234"/>
        <v>129.51860421198467</v>
      </c>
      <c r="O201" s="90">
        <f t="shared" ca="1" si="234"/>
        <v>688.58752874804236</v>
      </c>
      <c r="P201" s="90">
        <f t="shared" ca="1" si="234"/>
        <v>1207.7643795348372</v>
      </c>
      <c r="Q201" s="90">
        <f t="shared" ca="1" si="234"/>
        <v>1715.5476042144173</v>
      </c>
      <c r="R201" s="90">
        <f t="shared" ca="1" si="234"/>
        <v>2205.9873760796918</v>
      </c>
      <c r="S201" s="90">
        <f t="shared" ref="S201:AC201" ca="1" si="235">S121+R201</f>
        <v>2205.9873760796918</v>
      </c>
      <c r="T201" s="90">
        <f t="shared" ca="1" si="235"/>
        <v>2205.9873760796918</v>
      </c>
      <c r="U201" s="90">
        <f t="shared" ca="1" si="235"/>
        <v>2205.9873760796918</v>
      </c>
      <c r="V201" s="90">
        <f t="shared" ca="1" si="235"/>
        <v>2205.9873760796918</v>
      </c>
      <c r="W201" s="90">
        <f t="shared" ca="1" si="235"/>
        <v>2205.9873760796918</v>
      </c>
      <c r="X201" s="90">
        <f t="shared" ca="1" si="235"/>
        <v>2205.9873760796918</v>
      </c>
      <c r="Y201" s="90">
        <f t="shared" ca="1" si="235"/>
        <v>2205.9873760796918</v>
      </c>
      <c r="Z201" s="90">
        <f t="shared" ca="1" si="235"/>
        <v>2205.9873760796918</v>
      </c>
      <c r="AA201" s="90">
        <f t="shared" ca="1" si="235"/>
        <v>2205.9873760796918</v>
      </c>
      <c r="AB201" s="90">
        <f t="shared" ca="1" si="235"/>
        <v>2205.9873760796918</v>
      </c>
      <c r="AC201" s="90">
        <f t="shared" ca="1" si="235"/>
        <v>2205.9873760796918</v>
      </c>
    </row>
    <row r="202" spans="1:29">
      <c r="A202" s="231" t="str">
        <f t="shared" si="228"/>
        <v>Commitments and Contingencies</v>
      </c>
      <c r="C202" s="89"/>
      <c r="D202" s="89"/>
      <c r="E202" s="90">
        <f t="shared" si="229"/>
        <v>0</v>
      </c>
      <c r="F202" s="90">
        <f t="shared" si="229"/>
        <v>0</v>
      </c>
      <c r="G202" s="90">
        <f t="shared" si="229"/>
        <v>0</v>
      </c>
      <c r="H202" s="91">
        <f>N418</f>
        <v>0</v>
      </c>
      <c r="I202" s="90">
        <f t="shared" ref="I202:R202" si="236">H202-I253</f>
        <v>0</v>
      </c>
      <c r="J202" s="90">
        <f t="shared" si="236"/>
        <v>0</v>
      </c>
      <c r="K202" s="90">
        <f t="shared" si="236"/>
        <v>0</v>
      </c>
      <c r="L202" s="90">
        <f t="shared" si="236"/>
        <v>0</v>
      </c>
      <c r="M202" s="90">
        <f t="shared" si="236"/>
        <v>0</v>
      </c>
      <c r="N202" s="90">
        <f t="shared" si="236"/>
        <v>0</v>
      </c>
      <c r="O202" s="90">
        <f t="shared" si="236"/>
        <v>0</v>
      </c>
      <c r="P202" s="90">
        <f t="shared" si="236"/>
        <v>0</v>
      </c>
      <c r="Q202" s="90">
        <f t="shared" si="236"/>
        <v>0</v>
      </c>
      <c r="R202" s="90">
        <f t="shared" si="236"/>
        <v>0</v>
      </c>
      <c r="S202" s="90">
        <f t="shared" ref="S202:AC202" si="237">R202-S253</f>
        <v>0</v>
      </c>
      <c r="T202" s="90">
        <f t="shared" si="237"/>
        <v>0</v>
      </c>
      <c r="U202" s="90">
        <f t="shared" si="237"/>
        <v>0</v>
      </c>
      <c r="V202" s="90">
        <f t="shared" si="237"/>
        <v>0</v>
      </c>
      <c r="W202" s="90">
        <f t="shared" si="237"/>
        <v>0</v>
      </c>
      <c r="X202" s="90">
        <f t="shared" si="237"/>
        <v>0</v>
      </c>
      <c r="Y202" s="90">
        <f t="shared" si="237"/>
        <v>0</v>
      </c>
      <c r="Z202" s="90">
        <f t="shared" si="237"/>
        <v>0</v>
      </c>
      <c r="AA202" s="90">
        <f t="shared" si="237"/>
        <v>0</v>
      </c>
      <c r="AB202" s="90">
        <f t="shared" si="237"/>
        <v>0</v>
      </c>
      <c r="AC202" s="90">
        <f t="shared" si="237"/>
        <v>0</v>
      </c>
    </row>
    <row r="203" spans="1:29">
      <c r="A203" s="5" t="str">
        <f t="shared" si="228"/>
        <v>Other Liabilities</v>
      </c>
      <c r="E203" s="90">
        <f t="shared" si="229"/>
        <v>0</v>
      </c>
      <c r="F203" s="90">
        <f t="shared" si="229"/>
        <v>0</v>
      </c>
      <c r="G203" s="90">
        <f t="shared" si="229"/>
        <v>0</v>
      </c>
      <c r="H203" s="91">
        <f>N419</f>
        <v>0</v>
      </c>
      <c r="I203" s="5">
        <f t="shared" ref="I203:R203" si="238">H203+I123</f>
        <v>0</v>
      </c>
      <c r="J203" s="5">
        <f t="shared" si="238"/>
        <v>0</v>
      </c>
      <c r="K203" s="5">
        <f t="shared" si="238"/>
        <v>0</v>
      </c>
      <c r="L203" s="5">
        <f t="shared" si="238"/>
        <v>0</v>
      </c>
      <c r="M203" s="5">
        <f t="shared" si="238"/>
        <v>0</v>
      </c>
      <c r="N203" s="5">
        <f t="shared" si="238"/>
        <v>0</v>
      </c>
      <c r="O203" s="5">
        <f t="shared" si="238"/>
        <v>0</v>
      </c>
      <c r="P203" s="5">
        <f t="shared" si="238"/>
        <v>0</v>
      </c>
      <c r="Q203" s="5">
        <f t="shared" si="238"/>
        <v>0</v>
      </c>
      <c r="R203" s="5">
        <f t="shared" si="238"/>
        <v>0</v>
      </c>
      <c r="S203" s="5">
        <f t="shared" ref="S203:AC203" si="239">R203+S123</f>
        <v>0</v>
      </c>
      <c r="T203" s="5">
        <f t="shared" si="239"/>
        <v>0</v>
      </c>
      <c r="U203" s="5">
        <f t="shared" si="239"/>
        <v>0</v>
      </c>
      <c r="V203" s="5">
        <f t="shared" si="239"/>
        <v>0</v>
      </c>
      <c r="W203" s="5">
        <f t="shared" si="239"/>
        <v>0</v>
      </c>
      <c r="X203" s="5">
        <f t="shared" si="239"/>
        <v>0</v>
      </c>
      <c r="Y203" s="5">
        <f t="shared" si="239"/>
        <v>0</v>
      </c>
      <c r="Z203" s="5">
        <f t="shared" si="239"/>
        <v>0</v>
      </c>
      <c r="AA203" s="5">
        <f t="shared" si="239"/>
        <v>0</v>
      </c>
      <c r="AB203" s="5">
        <f t="shared" si="239"/>
        <v>0</v>
      </c>
      <c r="AC203" s="5">
        <f t="shared" si="239"/>
        <v>0</v>
      </c>
    </row>
    <row r="204" spans="1:29">
      <c r="A204" s="77" t="str">
        <f t="shared" si="228"/>
        <v>Total Long-term Liabilities</v>
      </c>
      <c r="C204" s="90"/>
      <c r="D204" s="90"/>
      <c r="E204" s="92">
        <f t="shared" ref="E204:N204" si="240">E199+E200+E201+E203+E202</f>
        <v>0</v>
      </c>
      <c r="F204" s="92">
        <f t="shared" si="240"/>
        <v>0</v>
      </c>
      <c r="G204" s="92">
        <f t="shared" si="240"/>
        <v>0</v>
      </c>
      <c r="H204" s="93">
        <f t="shared" si="240"/>
        <v>0</v>
      </c>
      <c r="I204" s="92">
        <f t="shared" ca="1" si="240"/>
        <v>501.12434572607458</v>
      </c>
      <c r="J204" s="92">
        <f t="shared" ca="1" si="240"/>
        <v>-3.7315654718329143</v>
      </c>
      <c r="K204" s="92">
        <f t="shared" ca="1" si="240"/>
        <v>-825.76801214009026</v>
      </c>
      <c r="L204" s="92">
        <f t="shared" ca="1" si="240"/>
        <v>-1163.6503082415436</v>
      </c>
      <c r="M204" s="92">
        <f t="shared" ca="1" si="240"/>
        <v>-492.58070701962697</v>
      </c>
      <c r="N204" s="92">
        <f t="shared" ca="1" si="240"/>
        <v>129.51860421198467</v>
      </c>
      <c r="O204" s="92">
        <f t="shared" ref="O204:AC204" ca="1" si="241">O199+O200+O201+O203+O202</f>
        <v>688.58752874804236</v>
      </c>
      <c r="P204" s="92">
        <f t="shared" ca="1" si="241"/>
        <v>1207.7643795348372</v>
      </c>
      <c r="Q204" s="92">
        <f t="shared" ca="1" si="241"/>
        <v>1715.5476042144173</v>
      </c>
      <c r="R204" s="92">
        <f t="shared" ca="1" si="241"/>
        <v>2205.9873760796918</v>
      </c>
      <c r="S204" s="92">
        <f t="shared" ca="1" si="241"/>
        <v>2205.9873760796918</v>
      </c>
      <c r="T204" s="92">
        <f t="shared" ca="1" si="241"/>
        <v>2205.9873760796918</v>
      </c>
      <c r="U204" s="92">
        <f t="shared" ca="1" si="241"/>
        <v>2205.9873760796918</v>
      </c>
      <c r="V204" s="92">
        <f t="shared" ca="1" si="241"/>
        <v>2205.9873760796918</v>
      </c>
      <c r="W204" s="92">
        <f t="shared" ca="1" si="241"/>
        <v>2205.9873760796918</v>
      </c>
      <c r="X204" s="92">
        <f t="shared" ca="1" si="241"/>
        <v>2205.9873760796918</v>
      </c>
      <c r="Y204" s="92">
        <f t="shared" ca="1" si="241"/>
        <v>2205.9873760796918</v>
      </c>
      <c r="Z204" s="92">
        <f t="shared" ca="1" si="241"/>
        <v>2205.9873760796918</v>
      </c>
      <c r="AA204" s="92">
        <f t="shared" ca="1" si="241"/>
        <v>2205.9873760796918</v>
      </c>
      <c r="AB204" s="92">
        <f t="shared" ca="1" si="241"/>
        <v>2205.9873760796918</v>
      </c>
      <c r="AC204" s="92">
        <f t="shared" ca="1" si="241"/>
        <v>2205.9873760796918</v>
      </c>
    </row>
    <row r="205" spans="1:29">
      <c r="C205" s="90"/>
      <c r="D205" s="90"/>
      <c r="E205" s="90"/>
      <c r="F205" s="90"/>
      <c r="G205" s="90"/>
      <c r="H205" s="91"/>
      <c r="I205" s="90"/>
      <c r="J205" s="703"/>
      <c r="K205" s="703"/>
      <c r="L205" s="703"/>
      <c r="M205" s="703"/>
      <c r="N205" s="703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</row>
    <row r="206" spans="1:29">
      <c r="A206" s="77" t="str">
        <f>A422</f>
        <v>Total Liabilities</v>
      </c>
      <c r="C206" s="90"/>
      <c r="D206" s="90"/>
      <c r="E206" s="90">
        <f t="shared" ref="E206:N206" si="242">E204+E197</f>
        <v>0</v>
      </c>
      <c r="F206" s="90">
        <f t="shared" si="242"/>
        <v>0</v>
      </c>
      <c r="G206" s="90">
        <f t="shared" si="242"/>
        <v>0</v>
      </c>
      <c r="H206" s="91">
        <f t="shared" si="242"/>
        <v>0</v>
      </c>
      <c r="I206" s="90">
        <f t="shared" ca="1" si="242"/>
        <v>501.12434572607458</v>
      </c>
      <c r="J206" s="90">
        <f t="shared" ca="1" si="242"/>
        <v>-3.7315654718329143</v>
      </c>
      <c r="K206" s="90">
        <f t="shared" ca="1" si="242"/>
        <v>-825.76801214009026</v>
      </c>
      <c r="L206" s="90">
        <f t="shared" ca="1" si="242"/>
        <v>-1163.6503082415436</v>
      </c>
      <c r="M206" s="90">
        <f t="shared" ca="1" si="242"/>
        <v>-492.58070701962697</v>
      </c>
      <c r="N206" s="90">
        <f t="shared" ca="1" si="242"/>
        <v>129.51860421198467</v>
      </c>
      <c r="O206" s="90">
        <f t="shared" ref="O206:AC206" ca="1" si="243">O204+O197</f>
        <v>688.58752874804236</v>
      </c>
      <c r="P206" s="90">
        <f t="shared" ca="1" si="243"/>
        <v>1207.7643795348372</v>
      </c>
      <c r="Q206" s="90">
        <f t="shared" ca="1" si="243"/>
        <v>1715.5476042144173</v>
      </c>
      <c r="R206" s="90">
        <f t="shared" ca="1" si="243"/>
        <v>2205.9873760796918</v>
      </c>
      <c r="S206" s="90">
        <f t="shared" ca="1" si="243"/>
        <v>2205.9873760796918</v>
      </c>
      <c r="T206" s="90">
        <f t="shared" ca="1" si="243"/>
        <v>2205.9873760796918</v>
      </c>
      <c r="U206" s="90">
        <f t="shared" ca="1" si="243"/>
        <v>2205.9873760796918</v>
      </c>
      <c r="V206" s="90">
        <f t="shared" ca="1" si="243"/>
        <v>2205.9873760796918</v>
      </c>
      <c r="W206" s="90">
        <f t="shared" ca="1" si="243"/>
        <v>2205.9873760796918</v>
      </c>
      <c r="X206" s="90">
        <f t="shared" ca="1" si="243"/>
        <v>2205.9873760796918</v>
      </c>
      <c r="Y206" s="90">
        <f t="shared" ca="1" si="243"/>
        <v>2205.9873760796918</v>
      </c>
      <c r="Z206" s="90">
        <f t="shared" ca="1" si="243"/>
        <v>2205.9873760796918</v>
      </c>
      <c r="AA206" s="90">
        <f t="shared" ca="1" si="243"/>
        <v>2205.9873760796918</v>
      </c>
      <c r="AB206" s="90">
        <f t="shared" ca="1" si="243"/>
        <v>2205.9873760796918</v>
      </c>
      <c r="AC206" s="90">
        <f t="shared" ca="1" si="243"/>
        <v>2205.9873760796918</v>
      </c>
    </row>
    <row r="207" spans="1:29">
      <c r="C207" s="89"/>
      <c r="D207" s="89"/>
      <c r="E207" s="89"/>
      <c r="F207" s="89"/>
      <c r="G207" s="90"/>
      <c r="H207" s="91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</row>
    <row r="208" spans="1:29">
      <c r="A208" s="5" t="str">
        <f t="shared" ref="A208:A213" si="244">A424</f>
        <v>Preferred Stock</v>
      </c>
      <c r="C208" s="89"/>
      <c r="D208" s="89"/>
      <c r="E208" s="90">
        <f t="shared" ref="E208:G213" si="245">E424</f>
        <v>0</v>
      </c>
      <c r="F208" s="90">
        <f t="shared" si="245"/>
        <v>0</v>
      </c>
      <c r="G208" s="90">
        <f t="shared" si="245"/>
        <v>0</v>
      </c>
      <c r="H208" s="94">
        <f t="shared" ref="H208:H213" si="246">N424</f>
        <v>0</v>
      </c>
      <c r="I208" s="90">
        <f t="shared" ref="I208:R208" ca="1" si="247">H208-I290-I291-I314-I315</f>
        <v>0</v>
      </c>
      <c r="J208" s="90">
        <f t="shared" ca="1" si="247"/>
        <v>0</v>
      </c>
      <c r="K208" s="90">
        <f t="shared" ca="1" si="247"/>
        <v>0</v>
      </c>
      <c r="L208" s="90">
        <f t="shared" ca="1" si="247"/>
        <v>0</v>
      </c>
      <c r="M208" s="90">
        <f t="shared" ca="1" si="247"/>
        <v>0</v>
      </c>
      <c r="N208" s="90">
        <f t="shared" ca="1" si="247"/>
        <v>0</v>
      </c>
      <c r="O208" s="90">
        <f t="shared" ca="1" si="247"/>
        <v>0</v>
      </c>
      <c r="P208" s="90">
        <f t="shared" ca="1" si="247"/>
        <v>0</v>
      </c>
      <c r="Q208" s="90">
        <f t="shared" ca="1" si="247"/>
        <v>0</v>
      </c>
      <c r="R208" s="90">
        <f t="shared" ca="1" si="247"/>
        <v>0</v>
      </c>
      <c r="S208" s="90">
        <f t="shared" ref="S208:AC208" ca="1" si="248">R208-S290-S291-S314-S315</f>
        <v>0</v>
      </c>
      <c r="T208" s="90">
        <f t="shared" ca="1" si="248"/>
        <v>0</v>
      </c>
      <c r="U208" s="90">
        <f t="shared" ca="1" si="248"/>
        <v>0</v>
      </c>
      <c r="V208" s="90">
        <f t="shared" ca="1" si="248"/>
        <v>0</v>
      </c>
      <c r="W208" s="90">
        <f t="shared" ca="1" si="248"/>
        <v>0</v>
      </c>
      <c r="X208" s="90">
        <f t="shared" ca="1" si="248"/>
        <v>0</v>
      </c>
      <c r="Y208" s="90">
        <f t="shared" ca="1" si="248"/>
        <v>0</v>
      </c>
      <c r="Z208" s="90">
        <f t="shared" ca="1" si="248"/>
        <v>0</v>
      </c>
      <c r="AA208" s="90">
        <f t="shared" ca="1" si="248"/>
        <v>0</v>
      </c>
      <c r="AB208" s="90">
        <f t="shared" ca="1" si="248"/>
        <v>0</v>
      </c>
      <c r="AC208" s="90">
        <f t="shared" ca="1" si="248"/>
        <v>0</v>
      </c>
    </row>
    <row r="209" spans="1:33">
      <c r="A209" s="5" t="str">
        <f t="shared" si="244"/>
        <v>Common Stock</v>
      </c>
      <c r="C209" s="89"/>
      <c r="D209" s="89"/>
      <c r="E209" s="90">
        <f t="shared" si="245"/>
        <v>0</v>
      </c>
      <c r="F209" s="90">
        <f t="shared" si="245"/>
        <v>0</v>
      </c>
      <c r="G209" s="90">
        <f t="shared" si="245"/>
        <v>0</v>
      </c>
      <c r="H209" s="94">
        <f t="shared" si="246"/>
        <v>0</v>
      </c>
      <c r="I209" s="90">
        <f t="shared" ref="I209:AC209" si="249">H209</f>
        <v>0</v>
      </c>
      <c r="J209" s="90">
        <f t="shared" si="249"/>
        <v>0</v>
      </c>
      <c r="K209" s="90">
        <f t="shared" si="249"/>
        <v>0</v>
      </c>
      <c r="L209" s="90">
        <f t="shared" si="249"/>
        <v>0</v>
      </c>
      <c r="M209" s="90">
        <f t="shared" si="249"/>
        <v>0</v>
      </c>
      <c r="N209" s="90">
        <f t="shared" si="249"/>
        <v>0</v>
      </c>
      <c r="O209" s="90">
        <f t="shared" si="249"/>
        <v>0</v>
      </c>
      <c r="P209" s="90">
        <f t="shared" si="249"/>
        <v>0</v>
      </c>
      <c r="Q209" s="90">
        <f t="shared" si="249"/>
        <v>0</v>
      </c>
      <c r="R209" s="90">
        <f t="shared" si="249"/>
        <v>0</v>
      </c>
      <c r="S209" s="90">
        <f t="shared" si="249"/>
        <v>0</v>
      </c>
      <c r="T209" s="90">
        <f t="shared" si="249"/>
        <v>0</v>
      </c>
      <c r="U209" s="90">
        <f t="shared" si="249"/>
        <v>0</v>
      </c>
      <c r="V209" s="90">
        <f t="shared" si="249"/>
        <v>0</v>
      </c>
      <c r="W209" s="90">
        <f t="shared" si="249"/>
        <v>0</v>
      </c>
      <c r="X209" s="90">
        <f t="shared" si="249"/>
        <v>0</v>
      </c>
      <c r="Y209" s="90">
        <f t="shared" si="249"/>
        <v>0</v>
      </c>
      <c r="Z209" s="90">
        <f t="shared" si="249"/>
        <v>0</v>
      </c>
      <c r="AA209" s="90">
        <f t="shared" si="249"/>
        <v>0</v>
      </c>
      <c r="AB209" s="90">
        <f t="shared" si="249"/>
        <v>0</v>
      </c>
      <c r="AC209" s="90">
        <f t="shared" si="249"/>
        <v>0</v>
      </c>
    </row>
    <row r="210" spans="1:33">
      <c r="A210" s="5" t="str">
        <f t="shared" si="244"/>
        <v>Paid in Capital</v>
      </c>
      <c r="C210" s="89"/>
      <c r="D210" s="89"/>
      <c r="E210" s="90">
        <f t="shared" si="245"/>
        <v>0</v>
      </c>
      <c r="F210" s="90">
        <f t="shared" si="245"/>
        <v>0</v>
      </c>
      <c r="G210" s="90">
        <f t="shared" si="245"/>
        <v>0</v>
      </c>
      <c r="H210" s="94">
        <f t="shared" si="246"/>
        <v>0</v>
      </c>
      <c r="I210" s="90">
        <f t="shared" ref="I210:R210" si="250">H210-I536</f>
        <v>0</v>
      </c>
      <c r="J210" s="90">
        <f t="shared" si="250"/>
        <v>0</v>
      </c>
      <c r="K210" s="90">
        <f t="shared" si="250"/>
        <v>0</v>
      </c>
      <c r="L210" s="90">
        <f t="shared" si="250"/>
        <v>0</v>
      </c>
      <c r="M210" s="90">
        <f t="shared" si="250"/>
        <v>0</v>
      </c>
      <c r="N210" s="90">
        <f t="shared" si="250"/>
        <v>0</v>
      </c>
      <c r="O210" s="90">
        <f t="shared" si="250"/>
        <v>0</v>
      </c>
      <c r="P210" s="90">
        <f t="shared" si="250"/>
        <v>0</v>
      </c>
      <c r="Q210" s="90">
        <f t="shared" si="250"/>
        <v>0</v>
      </c>
      <c r="R210" s="90">
        <f t="shared" si="250"/>
        <v>0</v>
      </c>
      <c r="S210" s="90">
        <f t="shared" ref="S210:AC210" si="251">R210-S536</f>
        <v>0</v>
      </c>
      <c r="T210" s="90">
        <f t="shared" si="251"/>
        <v>0</v>
      </c>
      <c r="U210" s="90">
        <f t="shared" si="251"/>
        <v>0</v>
      </c>
      <c r="V210" s="90">
        <f t="shared" si="251"/>
        <v>0</v>
      </c>
      <c r="W210" s="90">
        <f t="shared" si="251"/>
        <v>0</v>
      </c>
      <c r="X210" s="90">
        <f t="shared" si="251"/>
        <v>0</v>
      </c>
      <c r="Y210" s="90">
        <f t="shared" si="251"/>
        <v>0</v>
      </c>
      <c r="Z210" s="90">
        <f t="shared" si="251"/>
        <v>0</v>
      </c>
      <c r="AA210" s="90">
        <f t="shared" si="251"/>
        <v>0</v>
      </c>
      <c r="AB210" s="90">
        <f t="shared" si="251"/>
        <v>0</v>
      </c>
      <c r="AC210" s="90">
        <f t="shared" si="251"/>
        <v>0</v>
      </c>
    </row>
    <row r="211" spans="1:33">
      <c r="A211" s="5" t="str">
        <f t="shared" si="244"/>
        <v>ESOP Equity</v>
      </c>
      <c r="E211" s="90">
        <f t="shared" si="245"/>
        <v>0</v>
      </c>
      <c r="F211" s="90">
        <f t="shared" si="245"/>
        <v>0</v>
      </c>
      <c r="G211" s="90">
        <f t="shared" si="245"/>
        <v>0</v>
      </c>
      <c r="H211" s="94">
        <f t="shared" si="246"/>
        <v>0</v>
      </c>
      <c r="I211" s="5">
        <f t="shared" ref="I211:AC211" si="252">H211</f>
        <v>0</v>
      </c>
      <c r="J211" s="5">
        <f t="shared" si="252"/>
        <v>0</v>
      </c>
      <c r="K211" s="5">
        <f t="shared" si="252"/>
        <v>0</v>
      </c>
      <c r="L211" s="5">
        <f t="shared" si="252"/>
        <v>0</v>
      </c>
      <c r="M211" s="5">
        <f t="shared" si="252"/>
        <v>0</v>
      </c>
      <c r="N211" s="5">
        <f t="shared" si="252"/>
        <v>0</v>
      </c>
      <c r="O211" s="5">
        <f t="shared" si="252"/>
        <v>0</v>
      </c>
      <c r="P211" s="5">
        <f t="shared" si="252"/>
        <v>0</v>
      </c>
      <c r="Q211" s="5">
        <f t="shared" si="252"/>
        <v>0</v>
      </c>
      <c r="R211" s="5">
        <f t="shared" si="252"/>
        <v>0</v>
      </c>
      <c r="S211" s="5">
        <f t="shared" si="252"/>
        <v>0</v>
      </c>
      <c r="T211" s="5">
        <f t="shared" si="252"/>
        <v>0</v>
      </c>
      <c r="U211" s="5">
        <f t="shared" si="252"/>
        <v>0</v>
      </c>
      <c r="V211" s="5">
        <f t="shared" si="252"/>
        <v>0</v>
      </c>
      <c r="W211" s="5">
        <f t="shared" si="252"/>
        <v>0</v>
      </c>
      <c r="X211" s="5">
        <f t="shared" si="252"/>
        <v>0</v>
      </c>
      <c r="Y211" s="5">
        <f t="shared" si="252"/>
        <v>0</v>
      </c>
      <c r="Z211" s="5">
        <f t="shared" si="252"/>
        <v>0</v>
      </c>
      <c r="AA211" s="5">
        <f t="shared" si="252"/>
        <v>0</v>
      </c>
      <c r="AB211" s="5">
        <f t="shared" si="252"/>
        <v>0</v>
      </c>
      <c r="AC211" s="5">
        <f t="shared" si="252"/>
        <v>0</v>
      </c>
    </row>
    <row r="212" spans="1:33">
      <c r="A212" s="5" t="str">
        <f t="shared" si="244"/>
        <v>Treasury Stock</v>
      </c>
      <c r="C212" s="89"/>
      <c r="D212" s="89"/>
      <c r="E212" s="90">
        <f t="shared" si="245"/>
        <v>0</v>
      </c>
      <c r="F212" s="90">
        <f t="shared" si="245"/>
        <v>0</v>
      </c>
      <c r="G212" s="90">
        <f t="shared" si="245"/>
        <v>0</v>
      </c>
      <c r="H212" s="94">
        <f t="shared" si="246"/>
        <v>0</v>
      </c>
      <c r="I212" s="90">
        <f t="shared" ref="I212:R212" si="253">H212-I535</f>
        <v>0</v>
      </c>
      <c r="J212" s="90">
        <f t="shared" si="253"/>
        <v>0</v>
      </c>
      <c r="K212" s="90">
        <f t="shared" si="253"/>
        <v>0</v>
      </c>
      <c r="L212" s="90">
        <f t="shared" si="253"/>
        <v>0</v>
      </c>
      <c r="M212" s="90">
        <f t="shared" si="253"/>
        <v>0</v>
      </c>
      <c r="N212" s="90">
        <f t="shared" si="253"/>
        <v>0</v>
      </c>
      <c r="O212" s="90">
        <f t="shared" si="253"/>
        <v>0</v>
      </c>
      <c r="P212" s="90">
        <f t="shared" si="253"/>
        <v>0</v>
      </c>
      <c r="Q212" s="90">
        <f t="shared" si="253"/>
        <v>0</v>
      </c>
      <c r="R212" s="90">
        <f t="shared" si="253"/>
        <v>0</v>
      </c>
      <c r="S212" s="90">
        <f t="shared" ref="S212:AC212" si="254">R212-S535</f>
        <v>0</v>
      </c>
      <c r="T212" s="90">
        <f t="shared" si="254"/>
        <v>0</v>
      </c>
      <c r="U212" s="90">
        <f t="shared" si="254"/>
        <v>0</v>
      </c>
      <c r="V212" s="90">
        <f t="shared" si="254"/>
        <v>0</v>
      </c>
      <c r="W212" s="90">
        <f t="shared" si="254"/>
        <v>0</v>
      </c>
      <c r="X212" s="90">
        <f t="shared" si="254"/>
        <v>0</v>
      </c>
      <c r="Y212" s="90">
        <f t="shared" si="254"/>
        <v>0</v>
      </c>
      <c r="Z212" s="90">
        <f t="shared" si="254"/>
        <v>0</v>
      </c>
      <c r="AA212" s="90">
        <f t="shared" si="254"/>
        <v>0</v>
      </c>
      <c r="AB212" s="90">
        <f t="shared" si="254"/>
        <v>0</v>
      </c>
      <c r="AC212" s="90">
        <f t="shared" si="254"/>
        <v>0</v>
      </c>
    </row>
    <row r="213" spans="1:33">
      <c r="A213" s="5" t="str">
        <f t="shared" si="244"/>
        <v>Retained Earnings</v>
      </c>
      <c r="C213" s="89"/>
      <c r="D213" s="89"/>
      <c r="E213" s="90">
        <f t="shared" si="245"/>
        <v>0</v>
      </c>
      <c r="F213" s="90">
        <f t="shared" si="245"/>
        <v>0</v>
      </c>
      <c r="G213" s="90">
        <f t="shared" si="245"/>
        <v>0</v>
      </c>
      <c r="H213" s="94">
        <f t="shared" si="246"/>
        <v>0</v>
      </c>
      <c r="I213" s="90">
        <f t="shared" ref="I213:R213" ca="1" si="255">H213+H215+I107</f>
        <v>-501.12434572607458</v>
      </c>
      <c r="J213" s="90">
        <f t="shared" ca="1" si="255"/>
        <v>5741.8120488183758</v>
      </c>
      <c r="K213" s="90">
        <f t="shared" ca="1" si="255"/>
        <v>11015.585423883958</v>
      </c>
      <c r="L213" s="90">
        <f t="shared" ca="1" si="255"/>
        <v>15391.575794357937</v>
      </c>
      <c r="M213" s="90">
        <f t="shared" ca="1" si="255"/>
        <v>18671.469381785493</v>
      </c>
      <c r="N213" s="90">
        <f t="shared" ca="1" si="255"/>
        <v>21808.423096192477</v>
      </c>
      <c r="O213" s="90">
        <f t="shared" ca="1" si="255"/>
        <v>24738.941428766579</v>
      </c>
      <c r="P213" s="90">
        <f t="shared" ca="1" si="255"/>
        <v>27470.589628866888</v>
      </c>
      <c r="Q213" s="90">
        <f t="shared" ca="1" si="255"/>
        <v>30063.138359186254</v>
      </c>
      <c r="R213" s="90">
        <f t="shared" ca="1" si="255"/>
        <v>32540.197169465533</v>
      </c>
      <c r="S213" s="90">
        <f t="shared" ref="S213:AC213" ca="1" si="256">R213+R215+S107</f>
        <v>34936.09907714829</v>
      </c>
      <c r="T213" s="90">
        <f t="shared" ca="1" si="256"/>
        <v>37252.390650837428</v>
      </c>
      <c r="U213" s="90">
        <f t="shared" ca="1" si="256"/>
        <v>39512.55473396038</v>
      </c>
      <c r="V213" s="90">
        <f t="shared" ca="1" si="256"/>
        <v>41717.963012814202</v>
      </c>
      <c r="W213" s="90">
        <f t="shared" ca="1" si="256"/>
        <v>43898.620461492152</v>
      </c>
      <c r="X213" s="90">
        <f t="shared" ca="1" si="256"/>
        <v>46050.382252827592</v>
      </c>
      <c r="Y213" s="90">
        <f t="shared" ca="1" si="256"/>
        <v>48182.135074048972</v>
      </c>
      <c r="Z213" s="90">
        <f t="shared" ca="1" si="256"/>
        <v>50273.958240255684</v>
      </c>
      <c r="AA213" s="90">
        <f t="shared" ca="1" si="256"/>
        <v>52359.780135601533</v>
      </c>
      <c r="AB213" s="90">
        <f t="shared" ca="1" si="256"/>
        <v>54455.389380526518</v>
      </c>
      <c r="AC213" s="90">
        <f t="shared" ca="1" si="256"/>
        <v>56588.121645373372</v>
      </c>
    </row>
    <row r="214" spans="1:33">
      <c r="A214" s="5" t="str">
        <f>A431</f>
        <v>Contra Account</v>
      </c>
      <c r="E214" s="90">
        <f>E431</f>
        <v>0</v>
      </c>
      <c r="F214" s="90">
        <f>F431</f>
        <v>0</v>
      </c>
      <c r="G214" s="90">
        <f>G431</f>
        <v>0</v>
      </c>
      <c r="H214" s="94">
        <f>N431</f>
        <v>0</v>
      </c>
      <c r="I214" s="5">
        <f t="shared" ref="I214:R214" si="257">H214+I135</f>
        <v>0</v>
      </c>
      <c r="J214" s="5">
        <f t="shared" si="257"/>
        <v>0</v>
      </c>
      <c r="K214" s="5">
        <f t="shared" si="257"/>
        <v>0</v>
      </c>
      <c r="L214" s="5">
        <f t="shared" si="257"/>
        <v>0</v>
      </c>
      <c r="M214" s="5">
        <f t="shared" si="257"/>
        <v>0</v>
      </c>
      <c r="N214" s="5">
        <f t="shared" si="257"/>
        <v>0</v>
      </c>
      <c r="O214" s="5">
        <f t="shared" si="257"/>
        <v>0</v>
      </c>
      <c r="P214" s="5">
        <f t="shared" si="257"/>
        <v>0</v>
      </c>
      <c r="Q214" s="5">
        <f t="shared" si="257"/>
        <v>0</v>
      </c>
      <c r="R214" s="5">
        <f t="shared" si="257"/>
        <v>0</v>
      </c>
      <c r="S214" s="5">
        <f t="shared" ref="S214:AC214" si="258">R214+S135</f>
        <v>0</v>
      </c>
      <c r="T214" s="5">
        <f t="shared" si="258"/>
        <v>0</v>
      </c>
      <c r="U214" s="5">
        <f t="shared" si="258"/>
        <v>0</v>
      </c>
      <c r="V214" s="5">
        <f t="shared" si="258"/>
        <v>0</v>
      </c>
      <c r="W214" s="5">
        <f t="shared" si="258"/>
        <v>0</v>
      </c>
      <c r="X214" s="5">
        <f t="shared" si="258"/>
        <v>0</v>
      </c>
      <c r="Y214" s="5">
        <f t="shared" si="258"/>
        <v>0</v>
      </c>
      <c r="Z214" s="5">
        <f t="shared" si="258"/>
        <v>0</v>
      </c>
      <c r="AA214" s="5">
        <f t="shared" si="258"/>
        <v>0</v>
      </c>
      <c r="AB214" s="5">
        <f t="shared" si="258"/>
        <v>0</v>
      </c>
      <c r="AC214" s="5">
        <f t="shared" si="258"/>
        <v>0</v>
      </c>
    </row>
    <row r="215" spans="1:33">
      <c r="A215" s="5" t="str">
        <f>A430</f>
        <v>Preferred and Common Dividends</v>
      </c>
      <c r="E215" s="90">
        <f>E430</f>
        <v>0</v>
      </c>
      <c r="F215" s="90">
        <f>F430</f>
        <v>0</v>
      </c>
      <c r="G215" s="90">
        <f>G430</f>
        <v>0</v>
      </c>
      <c r="H215" s="94">
        <f>N430</f>
        <v>0</v>
      </c>
      <c r="I215" s="90">
        <f t="shared" ref="I215:R215" ca="1" si="259">-I109-I112</f>
        <v>0</v>
      </c>
      <c r="J215" s="90">
        <f t="shared" ca="1" si="259"/>
        <v>0</v>
      </c>
      <c r="K215" s="90">
        <f t="shared" ca="1" si="259"/>
        <v>0</v>
      </c>
      <c r="L215" s="90">
        <f t="shared" ca="1" si="259"/>
        <v>0</v>
      </c>
      <c r="M215" s="90">
        <f t="shared" ca="1" si="259"/>
        <v>0</v>
      </c>
      <c r="N215" s="90">
        <f t="shared" ca="1" si="259"/>
        <v>0</v>
      </c>
      <c r="O215" s="90">
        <f t="shared" ca="1" si="259"/>
        <v>0</v>
      </c>
      <c r="P215" s="90">
        <f t="shared" ca="1" si="259"/>
        <v>0</v>
      </c>
      <c r="Q215" s="90">
        <f t="shared" ca="1" si="259"/>
        <v>0</v>
      </c>
      <c r="R215" s="90">
        <f t="shared" ca="1" si="259"/>
        <v>0</v>
      </c>
      <c r="S215" s="90">
        <f t="shared" ref="S215:AC215" ca="1" si="260">-S109-S112</f>
        <v>0</v>
      </c>
      <c r="T215" s="90">
        <f t="shared" ca="1" si="260"/>
        <v>0</v>
      </c>
      <c r="U215" s="90">
        <f t="shared" ca="1" si="260"/>
        <v>0</v>
      </c>
      <c r="V215" s="90">
        <f t="shared" ca="1" si="260"/>
        <v>0</v>
      </c>
      <c r="W215" s="90">
        <f t="shared" ca="1" si="260"/>
        <v>0</v>
      </c>
      <c r="X215" s="90">
        <f t="shared" ca="1" si="260"/>
        <v>0</v>
      </c>
      <c r="Y215" s="90">
        <f t="shared" ca="1" si="260"/>
        <v>0</v>
      </c>
      <c r="Z215" s="90">
        <f t="shared" ca="1" si="260"/>
        <v>0</v>
      </c>
      <c r="AA215" s="90">
        <f t="shared" ca="1" si="260"/>
        <v>0</v>
      </c>
      <c r="AB215" s="90">
        <f t="shared" ca="1" si="260"/>
        <v>0</v>
      </c>
      <c r="AC215" s="90">
        <f t="shared" ca="1" si="260"/>
        <v>0</v>
      </c>
    </row>
    <row r="216" spans="1:33">
      <c r="A216" s="77" t="str">
        <f>A432</f>
        <v>Total Stockholders' Equity</v>
      </c>
      <c r="C216" s="90"/>
      <c r="D216" s="90"/>
      <c r="E216" s="92">
        <f t="shared" ref="E216:N216" si="261">SUM(E208:E215)</f>
        <v>0</v>
      </c>
      <c r="F216" s="92">
        <f t="shared" si="261"/>
        <v>0</v>
      </c>
      <c r="G216" s="92">
        <f t="shared" si="261"/>
        <v>0</v>
      </c>
      <c r="H216" s="96">
        <f t="shared" si="261"/>
        <v>0</v>
      </c>
      <c r="I216" s="92">
        <f t="shared" ca="1" si="261"/>
        <v>-501.12434572607458</v>
      </c>
      <c r="J216" s="92">
        <f t="shared" ca="1" si="261"/>
        <v>5741.8120488183758</v>
      </c>
      <c r="K216" s="92">
        <f t="shared" ca="1" si="261"/>
        <v>11015.585423883958</v>
      </c>
      <c r="L216" s="92">
        <f t="shared" ca="1" si="261"/>
        <v>15391.575794357937</v>
      </c>
      <c r="M216" s="92">
        <f t="shared" ca="1" si="261"/>
        <v>18671.469381785493</v>
      </c>
      <c r="N216" s="92">
        <f t="shared" ca="1" si="261"/>
        <v>21808.423096192477</v>
      </c>
      <c r="O216" s="92">
        <f t="shared" ref="O216:AC216" ca="1" si="262">SUM(O208:O215)</f>
        <v>24738.941428766579</v>
      </c>
      <c r="P216" s="92">
        <f t="shared" ca="1" si="262"/>
        <v>27470.589628866888</v>
      </c>
      <c r="Q216" s="92">
        <f t="shared" ca="1" si="262"/>
        <v>30063.138359186254</v>
      </c>
      <c r="R216" s="92">
        <f t="shared" ca="1" si="262"/>
        <v>32540.197169465533</v>
      </c>
      <c r="S216" s="92">
        <f t="shared" ca="1" si="262"/>
        <v>34936.09907714829</v>
      </c>
      <c r="T216" s="92">
        <f t="shared" ca="1" si="262"/>
        <v>37252.390650837428</v>
      </c>
      <c r="U216" s="92">
        <f t="shared" ca="1" si="262"/>
        <v>39512.55473396038</v>
      </c>
      <c r="V216" s="92">
        <f t="shared" ca="1" si="262"/>
        <v>41717.963012814202</v>
      </c>
      <c r="W216" s="92">
        <f t="shared" ca="1" si="262"/>
        <v>43898.620461492152</v>
      </c>
      <c r="X216" s="92">
        <f t="shared" ca="1" si="262"/>
        <v>46050.382252827592</v>
      </c>
      <c r="Y216" s="92">
        <f t="shared" ca="1" si="262"/>
        <v>48182.135074048972</v>
      </c>
      <c r="Z216" s="92">
        <f t="shared" ca="1" si="262"/>
        <v>50273.958240255684</v>
      </c>
      <c r="AA216" s="92">
        <f t="shared" ca="1" si="262"/>
        <v>52359.780135601533</v>
      </c>
      <c r="AB216" s="92">
        <f t="shared" ca="1" si="262"/>
        <v>54455.389380526518</v>
      </c>
      <c r="AC216" s="92">
        <f t="shared" ca="1" si="262"/>
        <v>56588.121645373372</v>
      </c>
    </row>
    <row r="217" spans="1:33" ht="12" thickBot="1">
      <c r="A217" s="77" t="str">
        <f>A433</f>
        <v>Total Liabilities &amp; Equity</v>
      </c>
      <c r="C217" s="90"/>
      <c r="D217" s="90"/>
      <c r="E217" s="101">
        <f t="shared" ref="E217:N217" si="263">E206+E216</f>
        <v>0</v>
      </c>
      <c r="F217" s="101">
        <f t="shared" si="263"/>
        <v>0</v>
      </c>
      <c r="G217" s="101">
        <f t="shared" si="263"/>
        <v>0</v>
      </c>
      <c r="H217" s="102">
        <f t="shared" si="263"/>
        <v>0</v>
      </c>
      <c r="I217" s="101">
        <f t="shared" ca="1" si="263"/>
        <v>0</v>
      </c>
      <c r="J217" s="101">
        <f t="shared" ca="1" si="263"/>
        <v>5738.0804833465427</v>
      </c>
      <c r="K217" s="101">
        <f t="shared" ca="1" si="263"/>
        <v>10189.817411743868</v>
      </c>
      <c r="L217" s="101">
        <f t="shared" ca="1" si="263"/>
        <v>14227.925486116394</v>
      </c>
      <c r="M217" s="101">
        <f t="shared" ca="1" si="263"/>
        <v>18178.888674765865</v>
      </c>
      <c r="N217" s="101">
        <f t="shared" ca="1" si="263"/>
        <v>21937.941700404463</v>
      </c>
      <c r="O217" s="101">
        <f t="shared" ref="O217:AC217" ca="1" si="264">O206+O216</f>
        <v>25427.52895751462</v>
      </c>
      <c r="P217" s="101">
        <f t="shared" ca="1" si="264"/>
        <v>28678.354008401726</v>
      </c>
      <c r="Q217" s="101">
        <f t="shared" ca="1" si="264"/>
        <v>31778.685963400672</v>
      </c>
      <c r="R217" s="101">
        <f t="shared" ca="1" si="264"/>
        <v>34746.184545545228</v>
      </c>
      <c r="S217" s="101">
        <f t="shared" ca="1" si="264"/>
        <v>37142.086453227981</v>
      </c>
      <c r="T217" s="101">
        <f t="shared" ca="1" si="264"/>
        <v>39458.378026917118</v>
      </c>
      <c r="U217" s="101">
        <f t="shared" ca="1" si="264"/>
        <v>41718.542110040071</v>
      </c>
      <c r="V217" s="101">
        <f t="shared" ca="1" si="264"/>
        <v>43923.950388893893</v>
      </c>
      <c r="W217" s="101">
        <f t="shared" ca="1" si="264"/>
        <v>46104.607837571843</v>
      </c>
      <c r="X217" s="101">
        <f t="shared" ca="1" si="264"/>
        <v>48256.369628907283</v>
      </c>
      <c r="Y217" s="101">
        <f t="shared" ca="1" si="264"/>
        <v>50388.122450128663</v>
      </c>
      <c r="Z217" s="101">
        <f t="shared" ca="1" si="264"/>
        <v>52479.945616335375</v>
      </c>
      <c r="AA217" s="101">
        <f t="shared" ca="1" si="264"/>
        <v>54565.767511681224</v>
      </c>
      <c r="AB217" s="101">
        <f t="shared" ca="1" si="264"/>
        <v>56661.376756606209</v>
      </c>
      <c r="AC217" s="101">
        <f t="shared" ca="1" si="264"/>
        <v>58794.109021453063</v>
      </c>
    </row>
    <row r="218" spans="1:33" ht="12" thickTop="1">
      <c r="C218" s="90"/>
      <c r="D218" s="90"/>
      <c r="E218" s="90"/>
      <c r="F218" s="90"/>
      <c r="G218" s="90"/>
      <c r="H218" s="90"/>
      <c r="I218"/>
      <c r="J218" s="79"/>
      <c r="K218"/>
      <c r="L218"/>
      <c r="M218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</row>
    <row r="219" spans="1:33">
      <c r="A219" s="70" t="s">
        <v>703</v>
      </c>
      <c r="C219" s="90"/>
      <c r="D219" s="90"/>
      <c r="E219" s="706">
        <f t="shared" ref="E219:N219" si="265">E189-E217</f>
        <v>0</v>
      </c>
      <c r="F219" s="706">
        <f t="shared" si="265"/>
        <v>0</v>
      </c>
      <c r="G219" s="706">
        <f t="shared" si="265"/>
        <v>0</v>
      </c>
      <c r="H219" s="706">
        <f t="shared" si="265"/>
        <v>0</v>
      </c>
      <c r="I219" s="706">
        <f t="shared" ca="1" si="265"/>
        <v>0</v>
      </c>
      <c r="J219" s="706">
        <f t="shared" ca="1" si="265"/>
        <v>0</v>
      </c>
      <c r="K219" s="706">
        <f t="shared" ca="1" si="265"/>
        <v>0</v>
      </c>
      <c r="L219" s="706">
        <f t="shared" ca="1" si="265"/>
        <v>0</v>
      </c>
      <c r="M219" s="706">
        <f t="shared" ca="1" si="265"/>
        <v>0</v>
      </c>
      <c r="N219" s="706">
        <f t="shared" ca="1" si="265"/>
        <v>0</v>
      </c>
      <c r="O219" s="706">
        <f t="shared" ref="O219:AC219" ca="1" si="266">O189-O217</f>
        <v>0</v>
      </c>
      <c r="P219" s="706">
        <f t="shared" ca="1" si="266"/>
        <v>0</v>
      </c>
      <c r="Q219" s="706">
        <f t="shared" ca="1" si="266"/>
        <v>0</v>
      </c>
      <c r="R219" s="706">
        <f t="shared" ca="1" si="266"/>
        <v>0</v>
      </c>
      <c r="S219" s="706">
        <f t="shared" ca="1" si="266"/>
        <v>0</v>
      </c>
      <c r="T219" s="706">
        <f t="shared" ca="1" si="266"/>
        <v>0</v>
      </c>
      <c r="U219" s="706">
        <f t="shared" ca="1" si="266"/>
        <v>0</v>
      </c>
      <c r="V219" s="706">
        <f t="shared" ca="1" si="266"/>
        <v>0</v>
      </c>
      <c r="W219" s="706">
        <f t="shared" ca="1" si="266"/>
        <v>0</v>
      </c>
      <c r="X219" s="706">
        <f t="shared" ca="1" si="266"/>
        <v>0</v>
      </c>
      <c r="Y219" s="706">
        <f t="shared" ca="1" si="266"/>
        <v>0</v>
      </c>
      <c r="Z219" s="706">
        <f t="shared" ca="1" si="266"/>
        <v>0</v>
      </c>
      <c r="AA219" s="706">
        <f t="shared" ca="1" si="266"/>
        <v>0</v>
      </c>
      <c r="AB219" s="706">
        <f t="shared" ca="1" si="266"/>
        <v>0</v>
      </c>
      <c r="AC219" s="706">
        <f t="shared" ca="1" si="266"/>
        <v>0</v>
      </c>
    </row>
    <row r="220" spans="1:33">
      <c r="A220" s="7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</row>
    <row r="221" spans="1:33" ht="12" thickBot="1">
      <c r="A221" s="7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</row>
    <row r="222" spans="1:33" ht="12.75" thickTop="1" thickBot="1">
      <c r="G222" s="90"/>
      <c r="H222" s="86" t="str">
        <f ca="1">$H$579&amp;"/"&amp;TEXT($H$580,"0")</f>
        <v>6 M/1999</v>
      </c>
      <c r="I222" s="86" t="str">
        <f ca="1">$I$579&amp;"/"&amp;TEXT($I$580,"0")</f>
        <v>6 M/1999</v>
      </c>
      <c r="J222" s="104">
        <f t="shared" ref="J222:AC222" si="267">J580</f>
        <v>2000</v>
      </c>
      <c r="K222" s="104">
        <f t="shared" si="267"/>
        <v>2001</v>
      </c>
      <c r="L222" s="104">
        <f t="shared" si="267"/>
        <v>2002</v>
      </c>
      <c r="M222" s="104">
        <f t="shared" si="267"/>
        <v>2003</v>
      </c>
      <c r="N222" s="104">
        <f t="shared" si="267"/>
        <v>2004</v>
      </c>
      <c r="O222" s="104">
        <f t="shared" si="267"/>
        <v>2005</v>
      </c>
      <c r="P222" s="104">
        <f t="shared" si="267"/>
        <v>2006</v>
      </c>
      <c r="Q222" s="104">
        <f t="shared" si="267"/>
        <v>2007</v>
      </c>
      <c r="R222" s="104">
        <f t="shared" si="267"/>
        <v>2008</v>
      </c>
      <c r="S222" s="104">
        <f t="shared" si="267"/>
        <v>2009</v>
      </c>
      <c r="T222" s="104">
        <f t="shared" si="267"/>
        <v>2010</v>
      </c>
      <c r="U222" s="104">
        <f t="shared" si="267"/>
        <v>2011</v>
      </c>
      <c r="V222" s="104">
        <f t="shared" si="267"/>
        <v>2012</v>
      </c>
      <c r="W222" s="104">
        <f t="shared" si="267"/>
        <v>2013</v>
      </c>
      <c r="X222" s="104">
        <f t="shared" si="267"/>
        <v>2014</v>
      </c>
      <c r="Y222" s="104">
        <f t="shared" si="267"/>
        <v>2015</v>
      </c>
      <c r="Z222" s="104">
        <f t="shared" si="267"/>
        <v>2016</v>
      </c>
      <c r="AA222" s="104">
        <f t="shared" si="267"/>
        <v>2017</v>
      </c>
      <c r="AB222" s="104">
        <f t="shared" si="267"/>
        <v>2018</v>
      </c>
      <c r="AC222" s="104">
        <f t="shared" si="267"/>
        <v>2019</v>
      </c>
    </row>
    <row r="223" spans="1:33" ht="12" thickTop="1">
      <c r="A223" s="19" t="s">
        <v>704</v>
      </c>
      <c r="D223" s="22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33">
      <c r="A224" s="70" t="s">
        <v>705</v>
      </c>
      <c r="C224" s="74" t="s">
        <v>706</v>
      </c>
      <c r="F224"/>
      <c r="G224" s="90"/>
      <c r="H224" s="94">
        <v>0</v>
      </c>
      <c r="I224" s="90">
        <f t="shared" ref="I224:AC224" si="268">H227</f>
        <v>0</v>
      </c>
      <c r="J224" s="90">
        <f t="shared" ca="1" si="268"/>
        <v>0</v>
      </c>
      <c r="K224" s="90">
        <f t="shared" ca="1" si="268"/>
        <v>0</v>
      </c>
      <c r="L224" s="90">
        <f t="shared" ca="1" si="268"/>
        <v>0</v>
      </c>
      <c r="M224" s="90">
        <f t="shared" ca="1" si="268"/>
        <v>0</v>
      </c>
      <c r="N224" s="90">
        <f t="shared" ca="1" si="268"/>
        <v>0</v>
      </c>
      <c r="O224" s="90">
        <f t="shared" ca="1" si="268"/>
        <v>0</v>
      </c>
      <c r="P224" s="90">
        <f t="shared" ca="1" si="268"/>
        <v>0</v>
      </c>
      <c r="Q224" s="90">
        <f t="shared" ca="1" si="268"/>
        <v>0</v>
      </c>
      <c r="R224" s="90">
        <f t="shared" ca="1" si="268"/>
        <v>0</v>
      </c>
      <c r="S224" s="90">
        <f t="shared" ca="1" si="268"/>
        <v>0</v>
      </c>
      <c r="T224" s="90">
        <f t="shared" ca="1" si="268"/>
        <v>0</v>
      </c>
      <c r="U224" s="90">
        <f t="shared" ca="1" si="268"/>
        <v>0</v>
      </c>
      <c r="V224" s="90">
        <f t="shared" ca="1" si="268"/>
        <v>0</v>
      </c>
      <c r="W224" s="90">
        <f t="shared" ca="1" si="268"/>
        <v>0</v>
      </c>
      <c r="X224" s="90">
        <f t="shared" ca="1" si="268"/>
        <v>0</v>
      </c>
      <c r="Y224" s="90">
        <f t="shared" ca="1" si="268"/>
        <v>0</v>
      </c>
      <c r="Z224" s="90">
        <f t="shared" ca="1" si="268"/>
        <v>0</v>
      </c>
      <c r="AA224" s="90">
        <f t="shared" ca="1" si="268"/>
        <v>0</v>
      </c>
      <c r="AB224" s="90">
        <f t="shared" ca="1" si="268"/>
        <v>0</v>
      </c>
      <c r="AC224" s="90">
        <f t="shared" ca="1" si="268"/>
        <v>0</v>
      </c>
      <c r="AD224"/>
      <c r="AE224"/>
      <c r="AF224"/>
      <c r="AG224"/>
    </row>
    <row r="225" spans="1:33">
      <c r="C225" s="74" t="s">
        <v>707</v>
      </c>
      <c r="F225"/>
      <c r="G225" s="90"/>
      <c r="H225" s="94">
        <v>0</v>
      </c>
      <c r="I225" s="90">
        <f t="shared" ref="I225:X225" ca="1" si="269">IF(I142+I154+I156+(I162+I163-I450)&lt;=0,I142+I154+I156+(I162+I163-I450),0)</f>
        <v>0</v>
      </c>
      <c r="J225" s="90">
        <f t="shared" ca="1" si="269"/>
        <v>0</v>
      </c>
      <c r="K225" s="90">
        <f t="shared" ca="1" si="269"/>
        <v>0</v>
      </c>
      <c r="L225" s="90">
        <f t="shared" ca="1" si="269"/>
        <v>0</v>
      </c>
      <c r="M225" s="90">
        <f t="shared" ca="1" si="269"/>
        <v>0</v>
      </c>
      <c r="N225" s="90">
        <f t="shared" ca="1" si="269"/>
        <v>0</v>
      </c>
      <c r="O225" s="90">
        <f t="shared" ca="1" si="269"/>
        <v>0</v>
      </c>
      <c r="P225" s="90">
        <f t="shared" ca="1" si="269"/>
        <v>0</v>
      </c>
      <c r="Q225" s="90">
        <f t="shared" ca="1" si="269"/>
        <v>0</v>
      </c>
      <c r="R225" s="90">
        <f t="shared" ca="1" si="269"/>
        <v>0</v>
      </c>
      <c r="S225" s="90">
        <f t="shared" ca="1" si="269"/>
        <v>0</v>
      </c>
      <c r="T225" s="90">
        <f t="shared" ca="1" si="269"/>
        <v>0</v>
      </c>
      <c r="U225" s="90">
        <f t="shared" ca="1" si="269"/>
        <v>0</v>
      </c>
      <c r="V225" s="90">
        <f t="shared" ca="1" si="269"/>
        <v>0</v>
      </c>
      <c r="W225" s="90">
        <f t="shared" ca="1" si="269"/>
        <v>0</v>
      </c>
      <c r="X225" s="90">
        <f t="shared" ca="1" si="269"/>
        <v>0</v>
      </c>
      <c r="Y225" s="90">
        <f ca="1">IF(Y142+Y154+Y156+(Y162+Y163-Y450)&lt;=0,Y142+Y154+Y156+(Y162+Y163-Y450),0)</f>
        <v>0</v>
      </c>
      <c r="Z225" s="90">
        <f ca="1">IF(Z142+Z154+Z156+(Z162+Z163-Z450)&lt;=0,Z142+Z154+Z156+(Z162+Z163-Z450),0)</f>
        <v>0</v>
      </c>
      <c r="AA225" s="90">
        <f ca="1">IF(AA142+AA154+AA156+(AA162+AA163-AA450)&lt;=0,AA142+AA154+AA156+(AA162+AA163-AA450),0)</f>
        <v>0</v>
      </c>
      <c r="AB225" s="90">
        <f ca="1">IF(AB142+AB154+AB156+(AB162+AB163-AB450)&lt;=0,AB142+AB154+AB156+(AB162+AB163-AB450),0)</f>
        <v>0</v>
      </c>
      <c r="AC225" s="90">
        <f ca="1">IF(AC142+AC154+AC156+(AC162+AC163-AC450)&lt;=0,AC142+AC154+AC156+(AC162+AC163-AC450),0)</f>
        <v>0</v>
      </c>
      <c r="AD225"/>
      <c r="AE225"/>
      <c r="AF225"/>
      <c r="AG225"/>
    </row>
    <row r="226" spans="1:33">
      <c r="C226" s="74" t="s">
        <v>708</v>
      </c>
      <c r="F226"/>
      <c r="G226" s="90"/>
      <c r="H226" s="94">
        <v>0</v>
      </c>
      <c r="I226" s="90">
        <f t="shared" ref="I226:V226" ca="1" si="270">IF(I142+I154+I156&gt;0,MIN(I142+I154+I156,I224),0)</f>
        <v>0</v>
      </c>
      <c r="J226" s="90">
        <f t="shared" ca="1" si="270"/>
        <v>0</v>
      </c>
      <c r="K226" s="90">
        <f t="shared" ca="1" si="270"/>
        <v>0</v>
      </c>
      <c r="L226" s="90">
        <f t="shared" ca="1" si="270"/>
        <v>0</v>
      </c>
      <c r="M226" s="90">
        <f t="shared" ca="1" si="270"/>
        <v>0</v>
      </c>
      <c r="N226" s="90">
        <f t="shared" ca="1" si="270"/>
        <v>0</v>
      </c>
      <c r="O226" s="90">
        <f t="shared" ca="1" si="270"/>
        <v>0</v>
      </c>
      <c r="P226" s="90">
        <f t="shared" ca="1" si="270"/>
        <v>0</v>
      </c>
      <c r="Q226" s="90">
        <f t="shared" ca="1" si="270"/>
        <v>0</v>
      </c>
      <c r="R226" s="90">
        <f t="shared" ca="1" si="270"/>
        <v>0</v>
      </c>
      <c r="S226" s="90">
        <f t="shared" ca="1" si="270"/>
        <v>0</v>
      </c>
      <c r="T226" s="90">
        <f t="shared" ca="1" si="270"/>
        <v>0</v>
      </c>
      <c r="U226" s="90">
        <f t="shared" ca="1" si="270"/>
        <v>0</v>
      </c>
      <c r="V226" s="90">
        <f t="shared" ca="1" si="270"/>
        <v>0</v>
      </c>
      <c r="W226" s="90">
        <f t="shared" ref="W226:AC226" ca="1" si="271">IF(W142+W154+W156&gt;0,MIN(W142+W154+W156,W224),0)</f>
        <v>0</v>
      </c>
      <c r="X226" s="90">
        <f t="shared" ca="1" si="271"/>
        <v>0</v>
      </c>
      <c r="Y226" s="90">
        <f t="shared" ca="1" si="271"/>
        <v>0</v>
      </c>
      <c r="Z226" s="90">
        <f t="shared" ca="1" si="271"/>
        <v>0</v>
      </c>
      <c r="AA226" s="90">
        <f t="shared" ca="1" si="271"/>
        <v>0</v>
      </c>
      <c r="AB226" s="90">
        <f t="shared" ca="1" si="271"/>
        <v>0</v>
      </c>
      <c r="AC226" s="90">
        <f t="shared" ca="1" si="271"/>
        <v>0</v>
      </c>
      <c r="AD226"/>
      <c r="AE226"/>
      <c r="AF226"/>
      <c r="AG226"/>
    </row>
    <row r="227" spans="1:33">
      <c r="C227" s="74" t="s">
        <v>709</v>
      </c>
      <c r="F227"/>
      <c r="G227" s="90"/>
      <c r="H227" s="96">
        <f t="shared" ref="H227:U227" si="272">H224-H225-H226</f>
        <v>0</v>
      </c>
      <c r="I227" s="715">
        <f t="shared" ca="1" si="272"/>
        <v>0</v>
      </c>
      <c r="J227" s="715">
        <f t="shared" ca="1" si="272"/>
        <v>0</v>
      </c>
      <c r="K227" s="715">
        <f t="shared" ca="1" si="272"/>
        <v>0</v>
      </c>
      <c r="L227" s="715">
        <f t="shared" ca="1" si="272"/>
        <v>0</v>
      </c>
      <c r="M227" s="715">
        <f t="shared" ca="1" si="272"/>
        <v>0</v>
      </c>
      <c r="N227" s="715">
        <f t="shared" ca="1" si="272"/>
        <v>0</v>
      </c>
      <c r="O227" s="715">
        <f t="shared" ca="1" si="272"/>
        <v>0</v>
      </c>
      <c r="P227" s="715">
        <f t="shared" ca="1" si="272"/>
        <v>0</v>
      </c>
      <c r="Q227" s="715">
        <f t="shared" ca="1" si="272"/>
        <v>0</v>
      </c>
      <c r="R227" s="715">
        <f t="shared" ca="1" si="272"/>
        <v>0</v>
      </c>
      <c r="S227" s="715">
        <f t="shared" ca="1" si="272"/>
        <v>0</v>
      </c>
      <c r="T227" s="715">
        <f t="shared" ca="1" si="272"/>
        <v>0</v>
      </c>
      <c r="U227" s="715">
        <f t="shared" ca="1" si="272"/>
        <v>0</v>
      </c>
      <c r="V227" s="715">
        <f t="shared" ref="V227:AC227" ca="1" si="273">V224-V225-V226</f>
        <v>0</v>
      </c>
      <c r="W227" s="715">
        <f t="shared" ca="1" si="273"/>
        <v>0</v>
      </c>
      <c r="X227" s="715">
        <f t="shared" ca="1" si="273"/>
        <v>0</v>
      </c>
      <c r="Y227" s="715">
        <f t="shared" ca="1" si="273"/>
        <v>0</v>
      </c>
      <c r="Z227" s="715">
        <f t="shared" ca="1" si="273"/>
        <v>0</v>
      </c>
      <c r="AA227" s="715">
        <f t="shared" ca="1" si="273"/>
        <v>0</v>
      </c>
      <c r="AB227" s="715">
        <f t="shared" ca="1" si="273"/>
        <v>0</v>
      </c>
      <c r="AC227" s="715">
        <f t="shared" ca="1" si="273"/>
        <v>0</v>
      </c>
      <c r="AD227"/>
      <c r="AE227"/>
      <c r="AF227"/>
      <c r="AG227"/>
    </row>
    <row r="228" spans="1:33">
      <c r="C228" s="74" t="s">
        <v>710</v>
      </c>
      <c r="F228"/>
      <c r="H228" s="95"/>
      <c r="I228" s="55">
        <f t="shared" ref="I228:AC228" si="274">I559</f>
        <v>0.09</v>
      </c>
      <c r="J228" s="55">
        <f t="shared" si="274"/>
        <v>0.09</v>
      </c>
      <c r="K228" s="55">
        <f t="shared" si="274"/>
        <v>0.09</v>
      </c>
      <c r="L228" s="55">
        <f t="shared" si="274"/>
        <v>0.09</v>
      </c>
      <c r="M228" s="55">
        <f t="shared" si="274"/>
        <v>0.09</v>
      </c>
      <c r="N228" s="55">
        <f t="shared" si="274"/>
        <v>0.09</v>
      </c>
      <c r="O228" s="55">
        <f t="shared" si="274"/>
        <v>0.09</v>
      </c>
      <c r="P228" s="55">
        <f t="shared" si="274"/>
        <v>0.09</v>
      </c>
      <c r="Q228" s="55">
        <f t="shared" si="274"/>
        <v>0.09</v>
      </c>
      <c r="R228" s="55">
        <f t="shared" si="274"/>
        <v>0.09</v>
      </c>
      <c r="S228" s="55">
        <f t="shared" si="274"/>
        <v>0.09</v>
      </c>
      <c r="T228" s="55">
        <f t="shared" si="274"/>
        <v>0.09</v>
      </c>
      <c r="U228" s="55">
        <f t="shared" si="274"/>
        <v>0.09</v>
      </c>
      <c r="V228" s="55">
        <f t="shared" si="274"/>
        <v>0.09</v>
      </c>
      <c r="W228" s="55">
        <f t="shared" si="274"/>
        <v>0.09</v>
      </c>
      <c r="X228" s="55">
        <f t="shared" si="274"/>
        <v>0.09</v>
      </c>
      <c r="Y228" s="55">
        <f t="shared" si="274"/>
        <v>0.09</v>
      </c>
      <c r="Z228" s="55">
        <f t="shared" si="274"/>
        <v>0.09</v>
      </c>
      <c r="AA228" s="55">
        <f t="shared" si="274"/>
        <v>0.09</v>
      </c>
      <c r="AB228" s="55">
        <f t="shared" si="274"/>
        <v>0.09</v>
      </c>
      <c r="AC228" s="55">
        <f t="shared" si="274"/>
        <v>0.09</v>
      </c>
      <c r="AD228"/>
      <c r="AE228"/>
      <c r="AF228"/>
      <c r="AG228"/>
    </row>
    <row r="229" spans="1:33">
      <c r="F229"/>
      <c r="H229" s="95"/>
      <c r="AD229"/>
      <c r="AE229"/>
      <c r="AF229"/>
      <c r="AG229"/>
    </row>
    <row r="230" spans="1:33">
      <c r="A230" s="77" t="str">
        <f>B337&amp;":"</f>
        <v>Revolving Loan:</v>
      </c>
      <c r="C230" s="74" t="s">
        <v>706</v>
      </c>
      <c r="F230"/>
      <c r="H230" s="95">
        <f>$I$415+$I$411</f>
        <v>0</v>
      </c>
      <c r="I230" s="5">
        <f t="shared" ref="I230:AC230" si="275">H236</f>
        <v>0</v>
      </c>
      <c r="J230" s="5">
        <f t="shared" ca="1" si="275"/>
        <v>504.85591119790752</v>
      </c>
      <c r="K230" s="5">
        <f t="shared" ca="1" si="275"/>
        <v>0</v>
      </c>
      <c r="L230" s="5">
        <f t="shared" ca="1" si="275"/>
        <v>0</v>
      </c>
      <c r="M230" s="5">
        <f t="shared" ca="1" si="275"/>
        <v>0</v>
      </c>
      <c r="N230" s="5">
        <f t="shared" ca="1" si="275"/>
        <v>0</v>
      </c>
      <c r="O230" s="5">
        <f t="shared" ca="1" si="275"/>
        <v>0</v>
      </c>
      <c r="P230" s="5">
        <f t="shared" ca="1" si="275"/>
        <v>0</v>
      </c>
      <c r="Q230" s="5">
        <f t="shared" ca="1" si="275"/>
        <v>0</v>
      </c>
      <c r="R230" s="5">
        <f t="shared" ca="1" si="275"/>
        <v>0</v>
      </c>
      <c r="S230" s="5">
        <f t="shared" ca="1" si="275"/>
        <v>0</v>
      </c>
      <c r="T230" s="5">
        <f t="shared" ca="1" si="275"/>
        <v>0</v>
      </c>
      <c r="U230" s="5">
        <f t="shared" ca="1" si="275"/>
        <v>0</v>
      </c>
      <c r="V230" s="5">
        <f t="shared" ca="1" si="275"/>
        <v>0</v>
      </c>
      <c r="W230" s="5">
        <f t="shared" ca="1" si="275"/>
        <v>0</v>
      </c>
      <c r="X230" s="5">
        <f t="shared" ca="1" si="275"/>
        <v>0</v>
      </c>
      <c r="Y230" s="5">
        <f t="shared" ca="1" si="275"/>
        <v>0</v>
      </c>
      <c r="Z230" s="5">
        <f t="shared" ca="1" si="275"/>
        <v>0</v>
      </c>
      <c r="AA230" s="5">
        <f t="shared" ca="1" si="275"/>
        <v>0</v>
      </c>
      <c r="AB230" s="5">
        <f t="shared" ca="1" si="275"/>
        <v>0</v>
      </c>
      <c r="AC230" s="5">
        <f t="shared" ca="1" si="275"/>
        <v>0</v>
      </c>
      <c r="AD230"/>
      <c r="AE230"/>
      <c r="AF230"/>
      <c r="AG230"/>
    </row>
    <row r="231" spans="1:33">
      <c r="C231" s="74" t="s">
        <v>711</v>
      </c>
      <c r="F231"/>
      <c r="H231" s="95">
        <f>-H337</f>
        <v>0</v>
      </c>
      <c r="I231" s="5">
        <f t="shared" ref="I231:AC231" si="276">I482</f>
        <v>0</v>
      </c>
      <c r="J231" s="5">
        <f t="shared" si="276"/>
        <v>0</v>
      </c>
      <c r="K231" s="5">
        <f t="shared" si="276"/>
        <v>0</v>
      </c>
      <c r="L231" s="5">
        <f t="shared" si="276"/>
        <v>0</v>
      </c>
      <c r="M231" s="5">
        <f t="shared" si="276"/>
        <v>0</v>
      </c>
      <c r="N231" s="5">
        <f t="shared" si="276"/>
        <v>0</v>
      </c>
      <c r="O231" s="5">
        <f t="shared" si="276"/>
        <v>0</v>
      </c>
      <c r="P231" s="5">
        <f t="shared" si="276"/>
        <v>0</v>
      </c>
      <c r="Q231" s="5">
        <f t="shared" si="276"/>
        <v>0</v>
      </c>
      <c r="R231" s="5">
        <f t="shared" si="276"/>
        <v>0</v>
      </c>
      <c r="S231" s="5">
        <f t="shared" si="276"/>
        <v>0</v>
      </c>
      <c r="T231" s="5">
        <f t="shared" si="276"/>
        <v>0</v>
      </c>
      <c r="U231" s="5">
        <f t="shared" si="276"/>
        <v>0</v>
      </c>
      <c r="V231" s="5">
        <f t="shared" si="276"/>
        <v>0</v>
      </c>
      <c r="W231" s="5">
        <f t="shared" si="276"/>
        <v>0</v>
      </c>
      <c r="X231" s="5">
        <f t="shared" si="276"/>
        <v>0</v>
      </c>
      <c r="Y231" s="5">
        <f t="shared" si="276"/>
        <v>0</v>
      </c>
      <c r="Z231" s="5">
        <f t="shared" si="276"/>
        <v>0</v>
      </c>
      <c r="AA231" s="5">
        <f t="shared" si="276"/>
        <v>0</v>
      </c>
      <c r="AB231" s="5">
        <f t="shared" si="276"/>
        <v>0</v>
      </c>
      <c r="AC231" s="5">
        <f t="shared" si="276"/>
        <v>0</v>
      </c>
      <c r="AD231"/>
      <c r="AE231"/>
      <c r="AF231"/>
      <c r="AG231"/>
    </row>
    <row r="232" spans="1:33">
      <c r="C232" s="74" t="s">
        <v>712</v>
      </c>
      <c r="F232"/>
      <c r="G232" s="90"/>
      <c r="H232" s="95">
        <v>0</v>
      </c>
      <c r="I232" s="90">
        <f t="shared" ref="I232:V232" ca="1" si="277">IF(AND(I142+I154+(I162+I163-I450)&lt;=0,I239&gt;=I230-I231-I233),MAX(I142+I154+(I162+I163-I450),-(I239-I230+I231+I233)),0)</f>
        <v>-504.85591119790752</v>
      </c>
      <c r="J232" s="90">
        <f t="shared" ca="1" si="277"/>
        <v>0</v>
      </c>
      <c r="K232" s="90">
        <f t="shared" ca="1" si="277"/>
        <v>0</v>
      </c>
      <c r="L232" s="90">
        <f t="shared" ca="1" si="277"/>
        <v>0</v>
      </c>
      <c r="M232" s="90">
        <f t="shared" ca="1" si="277"/>
        <v>0</v>
      </c>
      <c r="N232" s="90">
        <f t="shared" ca="1" si="277"/>
        <v>0</v>
      </c>
      <c r="O232" s="90">
        <f t="shared" ca="1" si="277"/>
        <v>0</v>
      </c>
      <c r="P232" s="90">
        <f t="shared" ca="1" si="277"/>
        <v>0</v>
      </c>
      <c r="Q232" s="90">
        <f t="shared" ca="1" si="277"/>
        <v>0</v>
      </c>
      <c r="R232" s="90">
        <f t="shared" ca="1" si="277"/>
        <v>0</v>
      </c>
      <c r="S232" s="90">
        <f t="shared" ca="1" si="277"/>
        <v>0</v>
      </c>
      <c r="T232" s="90">
        <f t="shared" ca="1" si="277"/>
        <v>0</v>
      </c>
      <c r="U232" s="90">
        <f t="shared" ca="1" si="277"/>
        <v>0</v>
      </c>
      <c r="V232" s="90">
        <f t="shared" ca="1" si="277"/>
        <v>0</v>
      </c>
      <c r="W232" s="90">
        <f t="shared" ref="W232:AC232" ca="1" si="278">IF(AND(W142+W154+(W162+W163-W450)&lt;=0,W239&gt;=W230-W231-W233),MAX(W142+W154+(W162+W163-W450),-(W239-W230+W231+W233)),0)</f>
        <v>0</v>
      </c>
      <c r="X232" s="90">
        <f t="shared" ca="1" si="278"/>
        <v>0</v>
      </c>
      <c r="Y232" s="90">
        <f t="shared" ca="1" si="278"/>
        <v>0</v>
      </c>
      <c r="Z232" s="90">
        <f t="shared" ca="1" si="278"/>
        <v>0</v>
      </c>
      <c r="AA232" s="90">
        <f t="shared" ca="1" si="278"/>
        <v>0</v>
      </c>
      <c r="AB232" s="90">
        <f t="shared" ca="1" si="278"/>
        <v>0</v>
      </c>
      <c r="AC232" s="90">
        <f t="shared" ca="1" si="278"/>
        <v>0</v>
      </c>
      <c r="AD232"/>
      <c r="AE232"/>
      <c r="AF232"/>
      <c r="AG232"/>
    </row>
    <row r="233" spans="1:33">
      <c r="C233" s="74" t="s">
        <v>713</v>
      </c>
      <c r="F233"/>
      <c r="H233" s="95">
        <v>0</v>
      </c>
      <c r="I233" s="5">
        <f t="shared" ref="I233:V233" ca="1" si="279">IF(I239=0,0,MIN(I481,I230-I231-I232))</f>
        <v>0</v>
      </c>
      <c r="J233" s="5">
        <f t="shared" ca="1" si="279"/>
        <v>0</v>
      </c>
      <c r="K233" s="5">
        <f t="shared" ca="1" si="279"/>
        <v>0</v>
      </c>
      <c r="L233" s="5">
        <f t="shared" ca="1" si="279"/>
        <v>0</v>
      </c>
      <c r="M233" s="5">
        <f t="shared" ca="1" si="279"/>
        <v>0</v>
      </c>
      <c r="N233" s="5">
        <f t="shared" ca="1" si="279"/>
        <v>0</v>
      </c>
      <c r="O233" s="5">
        <f t="shared" ca="1" si="279"/>
        <v>0</v>
      </c>
      <c r="P233" s="5">
        <f t="shared" ca="1" si="279"/>
        <v>0</v>
      </c>
      <c r="Q233" s="5">
        <f t="shared" ca="1" si="279"/>
        <v>0</v>
      </c>
      <c r="R233" s="5">
        <f t="shared" ca="1" si="279"/>
        <v>0</v>
      </c>
      <c r="S233" s="5">
        <f t="shared" ca="1" si="279"/>
        <v>0</v>
      </c>
      <c r="T233" s="5">
        <f t="shared" ca="1" si="279"/>
        <v>0</v>
      </c>
      <c r="U233" s="5">
        <f t="shared" ca="1" si="279"/>
        <v>0</v>
      </c>
      <c r="V233" s="5">
        <f t="shared" ca="1" si="279"/>
        <v>0</v>
      </c>
      <c r="W233" s="5">
        <f t="shared" ref="W233:AC233" ca="1" si="280">IF(W239=0,0,MIN(W481,W230-W231-W232))</f>
        <v>0</v>
      </c>
      <c r="X233" s="5">
        <f t="shared" ca="1" si="280"/>
        <v>0</v>
      </c>
      <c r="Y233" s="5">
        <f t="shared" ca="1" si="280"/>
        <v>0</v>
      </c>
      <c r="Z233" s="5">
        <f t="shared" ca="1" si="280"/>
        <v>0</v>
      </c>
      <c r="AA233" s="5">
        <f t="shared" ca="1" si="280"/>
        <v>0</v>
      </c>
      <c r="AB233" s="5">
        <f t="shared" ca="1" si="280"/>
        <v>0</v>
      </c>
      <c r="AC233" s="5">
        <f t="shared" ca="1" si="280"/>
        <v>0</v>
      </c>
      <c r="AD233"/>
      <c r="AE233"/>
      <c r="AF233"/>
      <c r="AG233"/>
    </row>
    <row r="234" spans="1:33">
      <c r="C234" s="74" t="s">
        <v>714</v>
      </c>
      <c r="F234"/>
      <c r="G234" s="90"/>
      <c r="H234" s="95">
        <v>0</v>
      </c>
      <c r="I234" s="90">
        <f t="shared" ref="I234:V234" ca="1" si="281">IF(I230-I231-I233&gt;I239,MIN(I230-I231-I233-I239,I230-I231),0)</f>
        <v>0</v>
      </c>
      <c r="J234" s="90">
        <f t="shared" ca="1" si="281"/>
        <v>0</v>
      </c>
      <c r="K234" s="90">
        <f t="shared" ca="1" si="281"/>
        <v>0</v>
      </c>
      <c r="L234" s="90">
        <f t="shared" ca="1" si="281"/>
        <v>0</v>
      </c>
      <c r="M234" s="90">
        <f t="shared" ca="1" si="281"/>
        <v>0</v>
      </c>
      <c r="N234" s="90">
        <f t="shared" ca="1" si="281"/>
        <v>0</v>
      </c>
      <c r="O234" s="90">
        <f t="shared" ca="1" si="281"/>
        <v>0</v>
      </c>
      <c r="P234" s="90">
        <f t="shared" ca="1" si="281"/>
        <v>0</v>
      </c>
      <c r="Q234" s="90">
        <f t="shared" ca="1" si="281"/>
        <v>0</v>
      </c>
      <c r="R234" s="90">
        <f t="shared" ca="1" si="281"/>
        <v>0</v>
      </c>
      <c r="S234" s="90">
        <f t="shared" ca="1" si="281"/>
        <v>0</v>
      </c>
      <c r="T234" s="90">
        <f t="shared" ca="1" si="281"/>
        <v>0</v>
      </c>
      <c r="U234" s="90">
        <f t="shared" ca="1" si="281"/>
        <v>0</v>
      </c>
      <c r="V234" s="90">
        <f t="shared" ca="1" si="281"/>
        <v>0</v>
      </c>
      <c r="W234" s="90">
        <f t="shared" ref="W234:AC234" ca="1" si="282">IF(W230-W231-W233&gt;W239,MIN(W230-W231-W233-W239,W230-W231),0)</f>
        <v>0</v>
      </c>
      <c r="X234" s="90">
        <f t="shared" ca="1" si="282"/>
        <v>0</v>
      </c>
      <c r="Y234" s="90">
        <f t="shared" ca="1" si="282"/>
        <v>0</v>
      </c>
      <c r="Z234" s="90">
        <f t="shared" ca="1" si="282"/>
        <v>0</v>
      </c>
      <c r="AA234" s="90">
        <f t="shared" ca="1" si="282"/>
        <v>0</v>
      </c>
      <c r="AB234" s="90">
        <f t="shared" ca="1" si="282"/>
        <v>0</v>
      </c>
      <c r="AC234" s="90">
        <f t="shared" ca="1" si="282"/>
        <v>0</v>
      </c>
      <c r="AD234"/>
      <c r="AE234"/>
      <c r="AF234"/>
      <c r="AG234"/>
    </row>
    <row r="235" spans="1:33">
      <c r="C235" s="74" t="s">
        <v>715</v>
      </c>
      <c r="F235"/>
      <c r="H235" s="95">
        <f t="shared" ref="H235:V235" si="283">-H166</f>
        <v>0</v>
      </c>
      <c r="I235" s="5">
        <f t="shared" ca="1" si="283"/>
        <v>0</v>
      </c>
      <c r="J235" s="5">
        <f t="shared" ca="1" si="283"/>
        <v>504.85591119790752</v>
      </c>
      <c r="K235" s="5">
        <f t="shared" ca="1" si="283"/>
        <v>0</v>
      </c>
      <c r="L235" s="5">
        <f t="shared" ca="1" si="283"/>
        <v>0</v>
      </c>
      <c r="M235" s="5">
        <f t="shared" ca="1" si="283"/>
        <v>0</v>
      </c>
      <c r="N235" s="5">
        <f t="shared" ca="1" si="283"/>
        <v>0</v>
      </c>
      <c r="O235" s="5">
        <f t="shared" ca="1" si="283"/>
        <v>0</v>
      </c>
      <c r="P235" s="5">
        <f t="shared" ca="1" si="283"/>
        <v>0</v>
      </c>
      <c r="Q235" s="5">
        <f t="shared" ca="1" si="283"/>
        <v>0</v>
      </c>
      <c r="R235" s="5">
        <f t="shared" ca="1" si="283"/>
        <v>0</v>
      </c>
      <c r="S235" s="5">
        <f t="shared" ca="1" si="283"/>
        <v>0</v>
      </c>
      <c r="T235" s="5">
        <f t="shared" ca="1" si="283"/>
        <v>0</v>
      </c>
      <c r="U235" s="5">
        <f t="shared" ca="1" si="283"/>
        <v>0</v>
      </c>
      <c r="V235" s="5">
        <f t="shared" ca="1" si="283"/>
        <v>0</v>
      </c>
      <c r="W235" s="5">
        <f t="shared" ref="W235:AC235" ca="1" si="284">-W166</f>
        <v>0</v>
      </c>
      <c r="X235" s="5">
        <f t="shared" ca="1" si="284"/>
        <v>0</v>
      </c>
      <c r="Y235" s="5">
        <f t="shared" ca="1" si="284"/>
        <v>0</v>
      </c>
      <c r="Z235" s="5">
        <f t="shared" ca="1" si="284"/>
        <v>0</v>
      </c>
      <c r="AA235" s="5">
        <f t="shared" ca="1" si="284"/>
        <v>0</v>
      </c>
      <c r="AB235" s="5">
        <f t="shared" ca="1" si="284"/>
        <v>0</v>
      </c>
      <c r="AC235" s="5">
        <f t="shared" ca="1" si="284"/>
        <v>0</v>
      </c>
      <c r="AD235"/>
      <c r="AE235"/>
      <c r="AF235"/>
      <c r="AG235"/>
    </row>
    <row r="236" spans="1:33">
      <c r="C236" s="74" t="s">
        <v>709</v>
      </c>
      <c r="F236"/>
      <c r="G236" s="5">
        <f ca="1">MAX(I236:T236)</f>
        <v>504.85591119790752</v>
      </c>
      <c r="H236" s="97">
        <f t="shared" ref="H236:U236" si="285">H230-H231-H232-H233-H234-H235</f>
        <v>0</v>
      </c>
      <c r="I236" s="716">
        <f t="shared" ca="1" si="285"/>
        <v>504.85591119790752</v>
      </c>
      <c r="J236" s="716">
        <f t="shared" ca="1" si="285"/>
        <v>0</v>
      </c>
      <c r="K236" s="716">
        <f t="shared" ca="1" si="285"/>
        <v>0</v>
      </c>
      <c r="L236" s="716">
        <f t="shared" ca="1" si="285"/>
        <v>0</v>
      </c>
      <c r="M236" s="716">
        <f t="shared" ca="1" si="285"/>
        <v>0</v>
      </c>
      <c r="N236" s="716">
        <f t="shared" ca="1" si="285"/>
        <v>0</v>
      </c>
      <c r="O236" s="716">
        <f t="shared" ca="1" si="285"/>
        <v>0</v>
      </c>
      <c r="P236" s="716">
        <f t="shared" ca="1" si="285"/>
        <v>0</v>
      </c>
      <c r="Q236" s="716">
        <f t="shared" ca="1" si="285"/>
        <v>0</v>
      </c>
      <c r="R236" s="716">
        <f t="shared" ca="1" si="285"/>
        <v>0</v>
      </c>
      <c r="S236" s="716">
        <f t="shared" ca="1" si="285"/>
        <v>0</v>
      </c>
      <c r="T236" s="716">
        <f t="shared" ca="1" si="285"/>
        <v>0</v>
      </c>
      <c r="U236" s="716">
        <f t="shared" ca="1" si="285"/>
        <v>0</v>
      </c>
      <c r="V236" s="716">
        <f t="shared" ref="V236:AC236" ca="1" si="286">V230-V231-V232-V233-V234-V235</f>
        <v>0</v>
      </c>
      <c r="W236" s="716">
        <f t="shared" ca="1" si="286"/>
        <v>0</v>
      </c>
      <c r="X236" s="716">
        <f t="shared" ca="1" si="286"/>
        <v>0</v>
      </c>
      <c r="Y236" s="716">
        <f t="shared" ca="1" si="286"/>
        <v>0</v>
      </c>
      <c r="Z236" s="716">
        <f t="shared" ca="1" si="286"/>
        <v>0</v>
      </c>
      <c r="AA236" s="716">
        <f t="shared" ca="1" si="286"/>
        <v>0</v>
      </c>
      <c r="AB236" s="716">
        <f t="shared" ca="1" si="286"/>
        <v>0</v>
      </c>
      <c r="AC236" s="716">
        <f t="shared" ca="1" si="286"/>
        <v>0</v>
      </c>
      <c r="AD236"/>
      <c r="AE236"/>
      <c r="AF236"/>
      <c r="AG236"/>
    </row>
    <row r="237" spans="1:33">
      <c r="C237" s="74" t="s">
        <v>710</v>
      </c>
      <c r="F237"/>
      <c r="H237" s="95"/>
      <c r="I237" s="55">
        <f t="shared" ref="I237:AC237" si="287">I560</f>
        <v>0.09</v>
      </c>
      <c r="J237" s="55">
        <f t="shared" si="287"/>
        <v>0.09</v>
      </c>
      <c r="K237" s="55">
        <f t="shared" si="287"/>
        <v>0.09</v>
      </c>
      <c r="L237" s="55">
        <f t="shared" si="287"/>
        <v>0.09</v>
      </c>
      <c r="M237" s="55">
        <f t="shared" si="287"/>
        <v>0.09</v>
      </c>
      <c r="N237" s="55">
        <f t="shared" si="287"/>
        <v>0.09</v>
      </c>
      <c r="O237" s="55">
        <f t="shared" si="287"/>
        <v>0.09</v>
      </c>
      <c r="P237" s="55">
        <f t="shared" si="287"/>
        <v>0.09</v>
      </c>
      <c r="Q237" s="55">
        <f t="shared" si="287"/>
        <v>0.09</v>
      </c>
      <c r="R237" s="55">
        <f t="shared" si="287"/>
        <v>0.09</v>
      </c>
      <c r="S237" s="55">
        <f t="shared" si="287"/>
        <v>0.09</v>
      </c>
      <c r="T237" s="55">
        <f t="shared" si="287"/>
        <v>0.09</v>
      </c>
      <c r="U237" s="55">
        <f t="shared" si="287"/>
        <v>0.09</v>
      </c>
      <c r="V237" s="55">
        <f t="shared" si="287"/>
        <v>0.09</v>
      </c>
      <c r="W237" s="55">
        <f t="shared" si="287"/>
        <v>0.09</v>
      </c>
      <c r="X237" s="55">
        <f t="shared" si="287"/>
        <v>0.09</v>
      </c>
      <c r="Y237" s="55">
        <f t="shared" si="287"/>
        <v>0.09</v>
      </c>
      <c r="Z237" s="55">
        <f t="shared" si="287"/>
        <v>0.09</v>
      </c>
      <c r="AA237" s="55">
        <f t="shared" si="287"/>
        <v>0.09</v>
      </c>
      <c r="AB237" s="55">
        <f t="shared" si="287"/>
        <v>0.09</v>
      </c>
      <c r="AC237" s="55">
        <f t="shared" si="287"/>
        <v>0.09</v>
      </c>
      <c r="AD237"/>
      <c r="AE237"/>
      <c r="AF237"/>
      <c r="AG237"/>
    </row>
    <row r="238" spans="1:33">
      <c r="F238"/>
      <c r="H238" s="95"/>
      <c r="AD238"/>
      <c r="AE238"/>
      <c r="AF238"/>
      <c r="AG238"/>
    </row>
    <row r="239" spans="1:33">
      <c r="C239" s="74" t="s">
        <v>716</v>
      </c>
      <c r="F239"/>
      <c r="H239" s="95">
        <f t="shared" ref="H239:AC239" si="288">H474</f>
        <v>0</v>
      </c>
      <c r="I239" s="5">
        <f t="shared" ca="1" si="288"/>
        <v>24227.661288862102</v>
      </c>
      <c r="J239" s="5">
        <f t="shared" ca="1" si="288"/>
        <v>41011.225319889047</v>
      </c>
      <c r="K239" s="5">
        <f t="shared" ca="1" si="288"/>
        <v>48807.187448386539</v>
      </c>
      <c r="L239" s="5">
        <f t="shared" ca="1" si="288"/>
        <v>56448.809835081222</v>
      </c>
      <c r="M239" s="5">
        <f t="shared" ca="1" si="288"/>
        <v>62978.208219352557</v>
      </c>
      <c r="N239" s="5">
        <f t="shared" ca="1" si="288"/>
        <v>68028.975167083277</v>
      </c>
      <c r="O239" s="5">
        <f t="shared" ca="1" si="288"/>
        <v>70955.892113116046</v>
      </c>
      <c r="P239" s="5">
        <f t="shared" ca="1" si="288"/>
        <v>75631.803354725111</v>
      </c>
      <c r="Q239" s="5">
        <f t="shared" ca="1" si="288"/>
        <v>71589.215046717407</v>
      </c>
      <c r="R239" s="5">
        <f t="shared" ca="1" si="288"/>
        <v>60130.430636780089</v>
      </c>
      <c r="S239" s="5">
        <f t="shared" ca="1" si="288"/>
        <v>49539.268007623767</v>
      </c>
      <c r="T239" s="5">
        <f t="shared" ca="1" si="288"/>
        <v>40030.083489593773</v>
      </c>
      <c r="U239" s="5">
        <f t="shared" ca="1" si="288"/>
        <v>31859.537119863649</v>
      </c>
      <c r="V239" s="5">
        <f t="shared" ca="1" si="288"/>
        <v>25173.014345118198</v>
      </c>
      <c r="W239" s="5">
        <f t="shared" ca="1" si="288"/>
        <v>19722.773889256194</v>
      </c>
      <c r="X239" s="5">
        <f t="shared" ca="1" si="288"/>
        <v>15241.822789045931</v>
      </c>
      <c r="Y239" s="5">
        <f t="shared" ca="1" si="288"/>
        <v>11492.92493907427</v>
      </c>
      <c r="Z239" s="5">
        <f t="shared" ca="1" si="288"/>
        <v>8341.6256325552258</v>
      </c>
      <c r="AA239" s="5">
        <f t="shared" ca="1" si="288"/>
        <v>5730.6336326460178</v>
      </c>
      <c r="AB239" s="5">
        <f t="shared" ca="1" si="288"/>
        <v>3529.885851015028</v>
      </c>
      <c r="AC239" s="5">
        <f t="shared" ca="1" si="288"/>
        <v>1647.0566654537877</v>
      </c>
      <c r="AD239"/>
      <c r="AE239"/>
      <c r="AF239"/>
      <c r="AG239"/>
    </row>
    <row r="240" spans="1:33">
      <c r="F240"/>
      <c r="G240" s="90"/>
      <c r="H240" s="94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/>
      <c r="AE240"/>
      <c r="AF240"/>
      <c r="AG240"/>
    </row>
    <row r="241" spans="1:33">
      <c r="A241" s="77" t="str">
        <f>B338&amp;":"</f>
        <v>Term Loan:</v>
      </c>
      <c r="C241" s="74" t="s">
        <v>706</v>
      </c>
      <c r="F241"/>
      <c r="G241" s="90"/>
      <c r="H241" s="94">
        <v>0</v>
      </c>
      <c r="I241" s="90">
        <f t="shared" ref="I241:AC241" si="289">H245</f>
        <v>0</v>
      </c>
      <c r="J241" s="90">
        <f t="shared" ca="1" si="289"/>
        <v>0</v>
      </c>
      <c r="K241" s="90">
        <f t="shared" ca="1" si="289"/>
        <v>0</v>
      </c>
      <c r="L241" s="90">
        <f t="shared" ca="1" si="289"/>
        <v>0</v>
      </c>
      <c r="M241" s="90">
        <f t="shared" ca="1" si="289"/>
        <v>0</v>
      </c>
      <c r="N241" s="90">
        <f t="shared" ca="1" si="289"/>
        <v>0</v>
      </c>
      <c r="O241" s="90">
        <f t="shared" ca="1" si="289"/>
        <v>0</v>
      </c>
      <c r="P241" s="90">
        <f t="shared" ca="1" si="289"/>
        <v>0</v>
      </c>
      <c r="Q241" s="90">
        <f t="shared" ca="1" si="289"/>
        <v>0</v>
      </c>
      <c r="R241" s="90">
        <f t="shared" ca="1" si="289"/>
        <v>0</v>
      </c>
      <c r="S241" s="90">
        <f t="shared" ca="1" si="289"/>
        <v>0</v>
      </c>
      <c r="T241" s="90">
        <f t="shared" ca="1" si="289"/>
        <v>0</v>
      </c>
      <c r="U241" s="90">
        <f t="shared" ca="1" si="289"/>
        <v>0</v>
      </c>
      <c r="V241" s="90">
        <f t="shared" ca="1" si="289"/>
        <v>0</v>
      </c>
      <c r="W241" s="90">
        <f t="shared" ca="1" si="289"/>
        <v>0</v>
      </c>
      <c r="X241" s="90">
        <f t="shared" ca="1" si="289"/>
        <v>0</v>
      </c>
      <c r="Y241" s="90">
        <f t="shared" ca="1" si="289"/>
        <v>0</v>
      </c>
      <c r="Z241" s="90">
        <f t="shared" ca="1" si="289"/>
        <v>0</v>
      </c>
      <c r="AA241" s="90">
        <f t="shared" ca="1" si="289"/>
        <v>0</v>
      </c>
      <c r="AB241" s="90">
        <f t="shared" ca="1" si="289"/>
        <v>0</v>
      </c>
      <c r="AC241" s="90">
        <f t="shared" ca="1" si="289"/>
        <v>0</v>
      </c>
      <c r="AD241"/>
      <c r="AE241"/>
      <c r="AF241"/>
      <c r="AG241"/>
    </row>
    <row r="242" spans="1:33">
      <c r="C242" s="74" t="s">
        <v>707</v>
      </c>
      <c r="D242" s="16"/>
      <c r="F242"/>
      <c r="G242" s="90"/>
      <c r="H242" s="94">
        <f>-H338</f>
        <v>0</v>
      </c>
      <c r="I242" s="90">
        <f t="shared" ref="I242:AC242" si="290">I487</f>
        <v>0</v>
      </c>
      <c r="J242" s="90">
        <f t="shared" si="290"/>
        <v>0</v>
      </c>
      <c r="K242" s="90">
        <f t="shared" si="290"/>
        <v>0</v>
      </c>
      <c r="L242" s="90">
        <f t="shared" si="290"/>
        <v>0</v>
      </c>
      <c r="M242" s="90">
        <f t="shared" si="290"/>
        <v>0</v>
      </c>
      <c r="N242" s="90">
        <f t="shared" si="290"/>
        <v>0</v>
      </c>
      <c r="O242" s="90">
        <f t="shared" si="290"/>
        <v>0</v>
      </c>
      <c r="P242" s="90">
        <f t="shared" si="290"/>
        <v>0</v>
      </c>
      <c r="Q242" s="90">
        <f t="shared" si="290"/>
        <v>0</v>
      </c>
      <c r="R242" s="90">
        <f t="shared" si="290"/>
        <v>0</v>
      </c>
      <c r="S242" s="90">
        <f t="shared" si="290"/>
        <v>0</v>
      </c>
      <c r="T242" s="90">
        <f t="shared" si="290"/>
        <v>0</v>
      </c>
      <c r="U242" s="90">
        <f t="shared" si="290"/>
        <v>0</v>
      </c>
      <c r="V242" s="90">
        <f t="shared" si="290"/>
        <v>0</v>
      </c>
      <c r="W242" s="90">
        <f t="shared" si="290"/>
        <v>0</v>
      </c>
      <c r="X242" s="90">
        <f t="shared" si="290"/>
        <v>0</v>
      </c>
      <c r="Y242" s="90">
        <f t="shared" si="290"/>
        <v>0</v>
      </c>
      <c r="Z242" s="90">
        <f t="shared" si="290"/>
        <v>0</v>
      </c>
      <c r="AA242" s="90">
        <f t="shared" si="290"/>
        <v>0</v>
      </c>
      <c r="AB242" s="90">
        <f t="shared" si="290"/>
        <v>0</v>
      </c>
      <c r="AC242" s="90">
        <f t="shared" si="290"/>
        <v>0</v>
      </c>
      <c r="AD242"/>
      <c r="AE242"/>
      <c r="AF242"/>
      <c r="AG242"/>
    </row>
    <row r="243" spans="1:33">
      <c r="C243" s="74" t="s">
        <v>713</v>
      </c>
      <c r="D243" s="16"/>
      <c r="F243"/>
      <c r="G243" s="90"/>
      <c r="H243" s="94">
        <f>H486</f>
        <v>0</v>
      </c>
      <c r="I243" s="90">
        <f t="shared" ref="I243:X243" si="291">IF(I241&lt;I486,I241,I486)</f>
        <v>0</v>
      </c>
      <c r="J243" s="90">
        <f t="shared" ca="1" si="291"/>
        <v>0</v>
      </c>
      <c r="K243" s="90">
        <f t="shared" ca="1" si="291"/>
        <v>0</v>
      </c>
      <c r="L243" s="90">
        <f t="shared" ca="1" si="291"/>
        <v>0</v>
      </c>
      <c r="M243" s="90">
        <f t="shared" ca="1" si="291"/>
        <v>0</v>
      </c>
      <c r="N243" s="90">
        <f t="shared" ca="1" si="291"/>
        <v>0</v>
      </c>
      <c r="O243" s="90">
        <f t="shared" ca="1" si="291"/>
        <v>0</v>
      </c>
      <c r="P243" s="90">
        <f t="shared" ca="1" si="291"/>
        <v>0</v>
      </c>
      <c r="Q243" s="90">
        <f t="shared" ca="1" si="291"/>
        <v>0</v>
      </c>
      <c r="R243" s="90">
        <f t="shared" ca="1" si="291"/>
        <v>0</v>
      </c>
      <c r="S243" s="90">
        <f t="shared" ca="1" si="291"/>
        <v>0</v>
      </c>
      <c r="T243" s="90">
        <f t="shared" ca="1" si="291"/>
        <v>0</v>
      </c>
      <c r="U243" s="90">
        <f t="shared" ca="1" si="291"/>
        <v>0</v>
      </c>
      <c r="V243" s="90">
        <f t="shared" ca="1" si="291"/>
        <v>0</v>
      </c>
      <c r="W243" s="90">
        <f t="shared" ca="1" si="291"/>
        <v>0</v>
      </c>
      <c r="X243" s="90">
        <f t="shared" ca="1" si="291"/>
        <v>0</v>
      </c>
      <c r="Y243" s="90">
        <f ca="1">IF(Y241&lt;Y486,Y241,Y486)</f>
        <v>0</v>
      </c>
      <c r="Z243" s="90">
        <f ca="1">IF(Z241&lt;Z486,Z241,Z486)</f>
        <v>0</v>
      </c>
      <c r="AA243" s="90">
        <f ca="1">IF(AA241&lt;AA486,AA241,AA486)</f>
        <v>0</v>
      </c>
      <c r="AB243" s="90">
        <f ca="1">IF(AB241&lt;AB486,AB241,AB486)</f>
        <v>0</v>
      </c>
      <c r="AC243" s="90">
        <f ca="1">IF(AC241&lt;AC486,AC241,AC486)</f>
        <v>0</v>
      </c>
      <c r="AD243"/>
      <c r="AE243"/>
      <c r="AF243"/>
      <c r="AG243"/>
    </row>
    <row r="244" spans="1:33">
      <c r="C244" s="74" t="s">
        <v>715</v>
      </c>
      <c r="F244"/>
      <c r="H244" s="95">
        <f t="shared" ref="H244:U244" si="292">-H165</f>
        <v>0</v>
      </c>
      <c r="I244" s="5">
        <f t="shared" ca="1" si="292"/>
        <v>0</v>
      </c>
      <c r="J244" s="5">
        <f t="shared" ca="1" si="292"/>
        <v>0</v>
      </c>
      <c r="K244" s="5">
        <f t="shared" ca="1" si="292"/>
        <v>0</v>
      </c>
      <c r="L244" s="5">
        <f t="shared" ca="1" si="292"/>
        <v>0</v>
      </c>
      <c r="M244" s="5">
        <f t="shared" ca="1" si="292"/>
        <v>0</v>
      </c>
      <c r="N244" s="5">
        <f t="shared" ca="1" si="292"/>
        <v>0</v>
      </c>
      <c r="O244" s="5">
        <f t="shared" ca="1" si="292"/>
        <v>0</v>
      </c>
      <c r="P244" s="5">
        <f t="shared" ca="1" si="292"/>
        <v>0</v>
      </c>
      <c r="Q244" s="5">
        <f t="shared" ca="1" si="292"/>
        <v>0</v>
      </c>
      <c r="R244" s="5">
        <f t="shared" ca="1" si="292"/>
        <v>0</v>
      </c>
      <c r="S244" s="5">
        <f t="shared" ca="1" si="292"/>
        <v>0</v>
      </c>
      <c r="T244" s="5">
        <f t="shared" ca="1" si="292"/>
        <v>0</v>
      </c>
      <c r="U244" s="5">
        <f t="shared" ca="1" si="292"/>
        <v>0</v>
      </c>
      <c r="V244" s="5">
        <f t="shared" ref="V244:AC244" ca="1" si="293">-V165</f>
        <v>0</v>
      </c>
      <c r="W244" s="5">
        <f t="shared" ca="1" si="293"/>
        <v>0</v>
      </c>
      <c r="X244" s="5">
        <f t="shared" ca="1" si="293"/>
        <v>0</v>
      </c>
      <c r="Y244" s="5">
        <f t="shared" ca="1" si="293"/>
        <v>0</v>
      </c>
      <c r="Z244" s="5">
        <f t="shared" ca="1" si="293"/>
        <v>0</v>
      </c>
      <c r="AA244" s="5">
        <f t="shared" ca="1" si="293"/>
        <v>0</v>
      </c>
      <c r="AB244" s="5">
        <f t="shared" ca="1" si="293"/>
        <v>0</v>
      </c>
      <c r="AC244" s="5">
        <f t="shared" ca="1" si="293"/>
        <v>0</v>
      </c>
      <c r="AD244"/>
      <c r="AE244"/>
      <c r="AF244"/>
      <c r="AG244"/>
    </row>
    <row r="245" spans="1:33">
      <c r="C245" s="74" t="s">
        <v>709</v>
      </c>
      <c r="F245"/>
      <c r="G245" s="90"/>
      <c r="H245" s="96">
        <f t="shared" ref="H245:U245" si="294">H241-H242-H243-H244</f>
        <v>0</v>
      </c>
      <c r="I245" s="92">
        <f t="shared" ca="1" si="294"/>
        <v>0</v>
      </c>
      <c r="J245" s="92">
        <f t="shared" ca="1" si="294"/>
        <v>0</v>
      </c>
      <c r="K245" s="92">
        <f t="shared" ca="1" si="294"/>
        <v>0</v>
      </c>
      <c r="L245" s="92">
        <f t="shared" ca="1" si="294"/>
        <v>0</v>
      </c>
      <c r="M245" s="92">
        <f t="shared" ca="1" si="294"/>
        <v>0</v>
      </c>
      <c r="N245" s="92">
        <f t="shared" ca="1" si="294"/>
        <v>0</v>
      </c>
      <c r="O245" s="92">
        <f t="shared" ca="1" si="294"/>
        <v>0</v>
      </c>
      <c r="P245" s="92">
        <f t="shared" ca="1" si="294"/>
        <v>0</v>
      </c>
      <c r="Q245" s="92">
        <f t="shared" ca="1" si="294"/>
        <v>0</v>
      </c>
      <c r="R245" s="92">
        <f t="shared" ca="1" si="294"/>
        <v>0</v>
      </c>
      <c r="S245" s="92">
        <f t="shared" ca="1" si="294"/>
        <v>0</v>
      </c>
      <c r="T245" s="92">
        <f t="shared" ca="1" si="294"/>
        <v>0</v>
      </c>
      <c r="U245" s="92">
        <f t="shared" ca="1" si="294"/>
        <v>0</v>
      </c>
      <c r="V245" s="92">
        <f t="shared" ref="V245:AC245" ca="1" si="295">V241-V242-V243-V244</f>
        <v>0</v>
      </c>
      <c r="W245" s="92">
        <f t="shared" ca="1" si="295"/>
        <v>0</v>
      </c>
      <c r="X245" s="92">
        <f t="shared" ca="1" si="295"/>
        <v>0</v>
      </c>
      <c r="Y245" s="92">
        <f t="shared" ca="1" si="295"/>
        <v>0</v>
      </c>
      <c r="Z245" s="92">
        <f t="shared" ca="1" si="295"/>
        <v>0</v>
      </c>
      <c r="AA245" s="92">
        <f t="shared" ca="1" si="295"/>
        <v>0</v>
      </c>
      <c r="AB245" s="92">
        <f t="shared" ca="1" si="295"/>
        <v>0</v>
      </c>
      <c r="AC245" s="92">
        <f t="shared" ca="1" si="295"/>
        <v>0</v>
      </c>
      <c r="AD245"/>
      <c r="AE245"/>
      <c r="AF245"/>
      <c r="AG245"/>
    </row>
    <row r="246" spans="1:33">
      <c r="C246" s="74" t="s">
        <v>710</v>
      </c>
      <c r="F246"/>
      <c r="H246" s="95"/>
      <c r="I246" s="55">
        <f t="shared" ref="I246:AC246" si="296">I561</f>
        <v>0</v>
      </c>
      <c r="J246" s="55">
        <f t="shared" si="296"/>
        <v>0</v>
      </c>
      <c r="K246" s="55">
        <f t="shared" si="296"/>
        <v>0</v>
      </c>
      <c r="L246" s="55">
        <f t="shared" si="296"/>
        <v>0</v>
      </c>
      <c r="M246" s="55">
        <f t="shared" si="296"/>
        <v>0</v>
      </c>
      <c r="N246" s="55">
        <f t="shared" si="296"/>
        <v>0</v>
      </c>
      <c r="O246" s="55">
        <f t="shared" si="296"/>
        <v>0</v>
      </c>
      <c r="P246" s="55">
        <f t="shared" si="296"/>
        <v>0</v>
      </c>
      <c r="Q246" s="55">
        <f t="shared" si="296"/>
        <v>0</v>
      </c>
      <c r="R246" s="55">
        <f t="shared" si="296"/>
        <v>0</v>
      </c>
      <c r="S246" s="55">
        <f t="shared" si="296"/>
        <v>0</v>
      </c>
      <c r="T246" s="55">
        <f t="shared" si="296"/>
        <v>0</v>
      </c>
      <c r="U246" s="55">
        <f t="shared" si="296"/>
        <v>0</v>
      </c>
      <c r="V246" s="55">
        <f t="shared" si="296"/>
        <v>0</v>
      </c>
      <c r="W246" s="55">
        <f t="shared" si="296"/>
        <v>0</v>
      </c>
      <c r="X246" s="55">
        <f t="shared" si="296"/>
        <v>0</v>
      </c>
      <c r="Y246" s="55">
        <f t="shared" si="296"/>
        <v>0</v>
      </c>
      <c r="Z246" s="55">
        <f t="shared" si="296"/>
        <v>0</v>
      </c>
      <c r="AA246" s="55">
        <f t="shared" si="296"/>
        <v>0</v>
      </c>
      <c r="AB246" s="55">
        <f t="shared" si="296"/>
        <v>0</v>
      </c>
      <c r="AC246" s="55">
        <f t="shared" si="296"/>
        <v>0</v>
      </c>
    </row>
    <row r="247" spans="1:33">
      <c r="F247"/>
      <c r="H247" s="95"/>
    </row>
    <row r="248" spans="1:33">
      <c r="A248" s="77" t="str">
        <f>A491</f>
        <v>W/C Line</v>
      </c>
      <c r="B248" s="74"/>
      <c r="C248" s="74" t="s">
        <v>717</v>
      </c>
      <c r="F248"/>
      <c r="H248" s="95">
        <f t="shared" ref="H248:AC248" si="297">H491</f>
        <v>0</v>
      </c>
      <c r="I248" s="5">
        <f t="shared" si="297"/>
        <v>0</v>
      </c>
      <c r="J248" s="5">
        <f t="shared" si="297"/>
        <v>0</v>
      </c>
      <c r="K248" s="5">
        <f t="shared" si="297"/>
        <v>0</v>
      </c>
      <c r="L248" s="5">
        <f t="shared" si="297"/>
        <v>0</v>
      </c>
      <c r="M248" s="5">
        <f t="shared" si="297"/>
        <v>0</v>
      </c>
      <c r="N248" s="5">
        <f t="shared" si="297"/>
        <v>0</v>
      </c>
      <c r="O248" s="5">
        <f t="shared" si="297"/>
        <v>0</v>
      </c>
      <c r="P248" s="5">
        <f t="shared" si="297"/>
        <v>0</v>
      </c>
      <c r="Q248" s="5">
        <f t="shared" si="297"/>
        <v>0</v>
      </c>
      <c r="R248" s="5">
        <f t="shared" si="297"/>
        <v>0</v>
      </c>
      <c r="S248" s="5">
        <f t="shared" si="297"/>
        <v>0</v>
      </c>
      <c r="T248" s="5">
        <f t="shared" si="297"/>
        <v>0</v>
      </c>
      <c r="U248" s="5">
        <f t="shared" si="297"/>
        <v>0</v>
      </c>
      <c r="V248" s="5">
        <f t="shared" si="297"/>
        <v>0</v>
      </c>
      <c r="W248" s="5">
        <f t="shared" si="297"/>
        <v>0</v>
      </c>
      <c r="X248" s="5">
        <f t="shared" si="297"/>
        <v>0</v>
      </c>
      <c r="Y248" s="5">
        <f t="shared" si="297"/>
        <v>0</v>
      </c>
      <c r="Z248" s="5">
        <f t="shared" si="297"/>
        <v>0</v>
      </c>
      <c r="AA248" s="5">
        <f t="shared" si="297"/>
        <v>0</v>
      </c>
      <c r="AB248" s="5">
        <f t="shared" si="297"/>
        <v>0</v>
      </c>
      <c r="AC248" s="5">
        <f t="shared" si="297"/>
        <v>0</v>
      </c>
    </row>
    <row r="249" spans="1:33">
      <c r="C249" s="74" t="s">
        <v>718</v>
      </c>
      <c r="F249"/>
      <c r="H249" s="95"/>
      <c r="I249" s="55">
        <f t="shared" ref="I249:AC249" si="298">I560</f>
        <v>0.09</v>
      </c>
      <c r="J249" s="55">
        <f t="shared" si="298"/>
        <v>0.09</v>
      </c>
      <c r="K249" s="55">
        <f t="shared" si="298"/>
        <v>0.09</v>
      </c>
      <c r="L249" s="55">
        <f t="shared" si="298"/>
        <v>0.09</v>
      </c>
      <c r="M249" s="55">
        <f t="shared" si="298"/>
        <v>0.09</v>
      </c>
      <c r="N249" s="55">
        <f t="shared" si="298"/>
        <v>0.09</v>
      </c>
      <c r="O249" s="55">
        <f t="shared" si="298"/>
        <v>0.09</v>
      </c>
      <c r="P249" s="55">
        <f t="shared" si="298"/>
        <v>0.09</v>
      </c>
      <c r="Q249" s="55">
        <f t="shared" si="298"/>
        <v>0.09</v>
      </c>
      <c r="R249" s="55">
        <f t="shared" si="298"/>
        <v>0.09</v>
      </c>
      <c r="S249" s="55">
        <f t="shared" si="298"/>
        <v>0.09</v>
      </c>
      <c r="T249" s="55">
        <f t="shared" si="298"/>
        <v>0.09</v>
      </c>
      <c r="U249" s="55">
        <f t="shared" si="298"/>
        <v>0.09</v>
      </c>
      <c r="V249" s="55">
        <f t="shared" si="298"/>
        <v>0.09</v>
      </c>
      <c r="W249" s="55">
        <f t="shared" si="298"/>
        <v>0.09</v>
      </c>
      <c r="X249" s="55">
        <f t="shared" si="298"/>
        <v>0.09</v>
      </c>
      <c r="Y249" s="55">
        <f t="shared" si="298"/>
        <v>0.09</v>
      </c>
      <c r="Z249" s="55">
        <f t="shared" si="298"/>
        <v>0.09</v>
      </c>
      <c r="AA249" s="55">
        <f t="shared" si="298"/>
        <v>0.09</v>
      </c>
      <c r="AB249" s="55">
        <f t="shared" si="298"/>
        <v>0.09</v>
      </c>
      <c r="AC249" s="55">
        <f t="shared" si="298"/>
        <v>0.09</v>
      </c>
    </row>
    <row r="250" spans="1:33">
      <c r="F250"/>
      <c r="H250" s="95"/>
    </row>
    <row r="251" spans="1:33">
      <c r="A251" s="397" t="str">
        <f>B339</f>
        <v>Production Payment</v>
      </c>
      <c r="B251" s="231"/>
      <c r="C251" s="229" t="s">
        <v>706</v>
      </c>
      <c r="D251" s="231"/>
      <c r="E251"/>
      <c r="F251"/>
      <c r="H251" s="95">
        <f>I418</f>
        <v>0</v>
      </c>
      <c r="I251" s="90">
        <f t="shared" ref="I251:AC251" si="299">H254</f>
        <v>0</v>
      </c>
      <c r="J251" s="90">
        <f t="shared" si="299"/>
        <v>0</v>
      </c>
      <c r="K251" s="90">
        <f t="shared" si="299"/>
        <v>0</v>
      </c>
      <c r="L251" s="90">
        <f t="shared" si="299"/>
        <v>0</v>
      </c>
      <c r="M251" s="90">
        <f t="shared" si="299"/>
        <v>0</v>
      </c>
      <c r="N251" s="90">
        <f t="shared" si="299"/>
        <v>0</v>
      </c>
      <c r="O251" s="90">
        <f t="shared" si="299"/>
        <v>0</v>
      </c>
      <c r="P251" s="90">
        <f t="shared" si="299"/>
        <v>0</v>
      </c>
      <c r="Q251" s="90">
        <f t="shared" si="299"/>
        <v>0</v>
      </c>
      <c r="R251" s="90">
        <f t="shared" si="299"/>
        <v>0</v>
      </c>
      <c r="S251" s="90">
        <f t="shared" si="299"/>
        <v>0</v>
      </c>
      <c r="T251" s="90">
        <f t="shared" si="299"/>
        <v>0</v>
      </c>
      <c r="U251" s="90">
        <f t="shared" si="299"/>
        <v>0</v>
      </c>
      <c r="V251" s="90">
        <f t="shared" si="299"/>
        <v>0</v>
      </c>
      <c r="W251" s="90">
        <f t="shared" si="299"/>
        <v>0</v>
      </c>
      <c r="X251" s="90">
        <f t="shared" si="299"/>
        <v>0</v>
      </c>
      <c r="Y251" s="90">
        <f t="shared" si="299"/>
        <v>0</v>
      </c>
      <c r="Z251" s="90">
        <f t="shared" si="299"/>
        <v>0</v>
      </c>
      <c r="AA251" s="90">
        <f t="shared" si="299"/>
        <v>0</v>
      </c>
      <c r="AB251" s="90">
        <f t="shared" si="299"/>
        <v>0</v>
      </c>
      <c r="AC251" s="90">
        <f t="shared" si="299"/>
        <v>0</v>
      </c>
    </row>
    <row r="252" spans="1:33">
      <c r="A252" s="231"/>
      <c r="B252" s="231"/>
      <c r="C252" s="229" t="s">
        <v>707</v>
      </c>
      <c r="D252" s="231"/>
      <c r="F252"/>
      <c r="H252" s="95">
        <f>-H339</f>
        <v>0</v>
      </c>
      <c r="I252" s="90">
        <f t="shared" ref="I252:AC252" si="300">I494</f>
        <v>0</v>
      </c>
      <c r="J252" s="90">
        <f t="shared" si="300"/>
        <v>0</v>
      </c>
      <c r="K252" s="90">
        <f t="shared" si="300"/>
        <v>0</v>
      </c>
      <c r="L252" s="90">
        <f t="shared" si="300"/>
        <v>0</v>
      </c>
      <c r="M252" s="90">
        <f t="shared" si="300"/>
        <v>0</v>
      </c>
      <c r="N252" s="90">
        <f t="shared" si="300"/>
        <v>0</v>
      </c>
      <c r="O252" s="90">
        <f t="shared" si="300"/>
        <v>0</v>
      </c>
      <c r="P252" s="90">
        <f t="shared" si="300"/>
        <v>0</v>
      </c>
      <c r="Q252" s="90">
        <f t="shared" si="300"/>
        <v>0</v>
      </c>
      <c r="R252" s="90">
        <f t="shared" si="300"/>
        <v>0</v>
      </c>
      <c r="S252" s="90">
        <f t="shared" si="300"/>
        <v>0</v>
      </c>
      <c r="T252" s="90">
        <f t="shared" si="300"/>
        <v>0</v>
      </c>
      <c r="U252" s="90">
        <f t="shared" si="300"/>
        <v>0</v>
      </c>
      <c r="V252" s="90">
        <f t="shared" si="300"/>
        <v>0</v>
      </c>
      <c r="W252" s="90">
        <f t="shared" si="300"/>
        <v>0</v>
      </c>
      <c r="X252" s="90">
        <f t="shared" si="300"/>
        <v>0</v>
      </c>
      <c r="Y252" s="90">
        <f t="shared" si="300"/>
        <v>0</v>
      </c>
      <c r="Z252" s="90">
        <f t="shared" si="300"/>
        <v>0</v>
      </c>
      <c r="AA252" s="90">
        <f t="shared" si="300"/>
        <v>0</v>
      </c>
      <c r="AB252" s="90">
        <f t="shared" si="300"/>
        <v>0</v>
      </c>
      <c r="AC252" s="90">
        <f t="shared" si="300"/>
        <v>0</v>
      </c>
    </row>
    <row r="253" spans="1:33">
      <c r="A253" s="231"/>
      <c r="B253" s="231"/>
      <c r="C253" s="229" t="s">
        <v>708</v>
      </c>
      <c r="D253" s="231"/>
      <c r="F253"/>
      <c r="H253" s="116">
        <f>L418</f>
        <v>0</v>
      </c>
      <c r="I253" s="90">
        <f t="shared" ref="I253:AC253" si="301">I493</f>
        <v>0</v>
      </c>
      <c r="J253" s="90">
        <f t="shared" si="301"/>
        <v>0</v>
      </c>
      <c r="K253" s="90">
        <f t="shared" si="301"/>
        <v>0</v>
      </c>
      <c r="L253" s="90">
        <f t="shared" si="301"/>
        <v>0</v>
      </c>
      <c r="M253" s="90">
        <f t="shared" si="301"/>
        <v>0</v>
      </c>
      <c r="N253" s="90">
        <f t="shared" si="301"/>
        <v>0</v>
      </c>
      <c r="O253" s="90">
        <f t="shared" si="301"/>
        <v>0</v>
      </c>
      <c r="P253" s="90">
        <f t="shared" si="301"/>
        <v>0</v>
      </c>
      <c r="Q253" s="90">
        <f t="shared" si="301"/>
        <v>0</v>
      </c>
      <c r="R253" s="90">
        <f t="shared" si="301"/>
        <v>0</v>
      </c>
      <c r="S253" s="90">
        <f t="shared" si="301"/>
        <v>0</v>
      </c>
      <c r="T253" s="90">
        <f t="shared" si="301"/>
        <v>0</v>
      </c>
      <c r="U253" s="90">
        <f t="shared" si="301"/>
        <v>0</v>
      </c>
      <c r="V253" s="90">
        <f t="shared" si="301"/>
        <v>0</v>
      </c>
      <c r="W253" s="90">
        <f t="shared" si="301"/>
        <v>0</v>
      </c>
      <c r="X253" s="90">
        <f t="shared" si="301"/>
        <v>0</v>
      </c>
      <c r="Y253" s="90">
        <f t="shared" si="301"/>
        <v>0</v>
      </c>
      <c r="Z253" s="90">
        <f t="shared" si="301"/>
        <v>0</v>
      </c>
      <c r="AA253" s="90">
        <f t="shared" si="301"/>
        <v>0</v>
      </c>
      <c r="AB253" s="90">
        <f t="shared" si="301"/>
        <v>0</v>
      </c>
      <c r="AC253" s="90">
        <f t="shared" si="301"/>
        <v>0</v>
      </c>
    </row>
    <row r="254" spans="1:33">
      <c r="A254" s="231"/>
      <c r="B254" s="231"/>
      <c r="C254" s="229" t="s">
        <v>709</v>
      </c>
      <c r="D254" s="231"/>
      <c r="F254"/>
      <c r="H254" s="97">
        <f t="shared" ref="H254:U254" si="302">H251-H252-H253</f>
        <v>0</v>
      </c>
      <c r="I254" s="92">
        <f t="shared" si="302"/>
        <v>0</v>
      </c>
      <c r="J254" s="92">
        <f t="shared" si="302"/>
        <v>0</v>
      </c>
      <c r="K254" s="92">
        <f t="shared" si="302"/>
        <v>0</v>
      </c>
      <c r="L254" s="92">
        <f t="shared" si="302"/>
        <v>0</v>
      </c>
      <c r="M254" s="92">
        <f t="shared" si="302"/>
        <v>0</v>
      </c>
      <c r="N254" s="92">
        <f t="shared" si="302"/>
        <v>0</v>
      </c>
      <c r="O254" s="92">
        <f t="shared" si="302"/>
        <v>0</v>
      </c>
      <c r="P254" s="92">
        <f t="shared" si="302"/>
        <v>0</v>
      </c>
      <c r="Q254" s="92">
        <f t="shared" si="302"/>
        <v>0</v>
      </c>
      <c r="R254" s="92">
        <f t="shared" si="302"/>
        <v>0</v>
      </c>
      <c r="S254" s="92">
        <f t="shared" si="302"/>
        <v>0</v>
      </c>
      <c r="T254" s="92">
        <f t="shared" si="302"/>
        <v>0</v>
      </c>
      <c r="U254" s="92">
        <f t="shared" si="302"/>
        <v>0</v>
      </c>
      <c r="V254" s="92">
        <f t="shared" ref="V254:AC254" si="303">V251-V252-V253</f>
        <v>0</v>
      </c>
      <c r="W254" s="92">
        <f t="shared" si="303"/>
        <v>0</v>
      </c>
      <c r="X254" s="92">
        <f t="shared" si="303"/>
        <v>0</v>
      </c>
      <c r="Y254" s="92">
        <f t="shared" si="303"/>
        <v>0</v>
      </c>
      <c r="Z254" s="92">
        <f t="shared" si="303"/>
        <v>0</v>
      </c>
      <c r="AA254" s="92">
        <f t="shared" si="303"/>
        <v>0</v>
      </c>
      <c r="AB254" s="92">
        <f t="shared" si="303"/>
        <v>0</v>
      </c>
      <c r="AC254" s="92">
        <f t="shared" si="303"/>
        <v>0</v>
      </c>
    </row>
    <row r="255" spans="1:33">
      <c r="A255" s="231"/>
      <c r="B255" s="231"/>
      <c r="C255" s="231"/>
      <c r="D255" s="231"/>
      <c r="F255"/>
      <c r="G255" s="117"/>
      <c r="H255" s="95"/>
    </row>
    <row r="256" spans="1:33">
      <c r="A256" s="77" t="str">
        <f>B340&amp;":"</f>
        <v>ESOP Notes:</v>
      </c>
      <c r="C256" s="74" t="s">
        <v>706</v>
      </c>
      <c r="F256"/>
      <c r="H256" s="95">
        <v>0</v>
      </c>
      <c r="I256" s="5">
        <f t="shared" ref="I256:AC256" si="304">H259</f>
        <v>0</v>
      </c>
      <c r="J256" s="5">
        <f t="shared" si="304"/>
        <v>0</v>
      </c>
      <c r="K256" s="5">
        <f t="shared" si="304"/>
        <v>0</v>
      </c>
      <c r="L256" s="5">
        <f t="shared" si="304"/>
        <v>0</v>
      </c>
      <c r="M256" s="5">
        <f t="shared" si="304"/>
        <v>0</v>
      </c>
      <c r="N256" s="5">
        <f t="shared" si="304"/>
        <v>0</v>
      </c>
      <c r="O256" s="5">
        <f t="shared" si="304"/>
        <v>0</v>
      </c>
      <c r="P256" s="5">
        <f t="shared" si="304"/>
        <v>0</v>
      </c>
      <c r="Q256" s="5">
        <f t="shared" si="304"/>
        <v>0</v>
      </c>
      <c r="R256" s="5">
        <f t="shared" si="304"/>
        <v>0</v>
      </c>
      <c r="S256" s="5">
        <f t="shared" si="304"/>
        <v>0</v>
      </c>
      <c r="T256" s="5">
        <f t="shared" si="304"/>
        <v>0</v>
      </c>
      <c r="U256" s="5">
        <f t="shared" si="304"/>
        <v>0</v>
      </c>
      <c r="V256" s="5">
        <f t="shared" si="304"/>
        <v>0</v>
      </c>
      <c r="W256" s="5">
        <f t="shared" si="304"/>
        <v>0</v>
      </c>
      <c r="X256" s="5">
        <f t="shared" si="304"/>
        <v>0</v>
      </c>
      <c r="Y256" s="5">
        <f t="shared" si="304"/>
        <v>0</v>
      </c>
      <c r="Z256" s="5">
        <f t="shared" si="304"/>
        <v>0</v>
      </c>
      <c r="AA256" s="5">
        <f t="shared" si="304"/>
        <v>0</v>
      </c>
      <c r="AB256" s="5">
        <f t="shared" si="304"/>
        <v>0</v>
      </c>
      <c r="AC256" s="5">
        <f t="shared" si="304"/>
        <v>0</v>
      </c>
    </row>
    <row r="257" spans="1:31">
      <c r="C257" s="74" t="s">
        <v>707</v>
      </c>
      <c r="F257"/>
      <c r="H257" s="95">
        <f>-H340</f>
        <v>0</v>
      </c>
      <c r="I257" s="5">
        <f t="shared" ref="I257:AC257" si="305">I502</f>
        <v>0</v>
      </c>
      <c r="J257" s="5">
        <f t="shared" si="305"/>
        <v>0</v>
      </c>
      <c r="K257" s="5">
        <f t="shared" si="305"/>
        <v>0</v>
      </c>
      <c r="L257" s="5">
        <f t="shared" si="305"/>
        <v>0</v>
      </c>
      <c r="M257" s="5">
        <f t="shared" si="305"/>
        <v>0</v>
      </c>
      <c r="N257" s="5">
        <f t="shared" si="305"/>
        <v>0</v>
      </c>
      <c r="O257" s="5">
        <f t="shared" si="305"/>
        <v>0</v>
      </c>
      <c r="P257" s="5">
        <f t="shared" si="305"/>
        <v>0</v>
      </c>
      <c r="Q257" s="5">
        <f t="shared" si="305"/>
        <v>0</v>
      </c>
      <c r="R257" s="5">
        <f t="shared" si="305"/>
        <v>0</v>
      </c>
      <c r="S257" s="5">
        <f t="shared" si="305"/>
        <v>0</v>
      </c>
      <c r="T257" s="5">
        <f t="shared" si="305"/>
        <v>0</v>
      </c>
      <c r="U257" s="5">
        <f t="shared" si="305"/>
        <v>0</v>
      </c>
      <c r="V257" s="5">
        <f t="shared" si="305"/>
        <v>0</v>
      </c>
      <c r="W257" s="5">
        <f t="shared" si="305"/>
        <v>0</v>
      </c>
      <c r="X257" s="5">
        <f t="shared" si="305"/>
        <v>0</v>
      </c>
      <c r="Y257" s="5">
        <f t="shared" si="305"/>
        <v>0</v>
      </c>
      <c r="Z257" s="5">
        <f t="shared" si="305"/>
        <v>0</v>
      </c>
      <c r="AA257" s="5">
        <f t="shared" si="305"/>
        <v>0</v>
      </c>
      <c r="AB257" s="5">
        <f t="shared" si="305"/>
        <v>0</v>
      </c>
      <c r="AC257" s="5">
        <f t="shared" si="305"/>
        <v>0</v>
      </c>
    </row>
    <row r="258" spans="1:31">
      <c r="C258" s="74" t="s">
        <v>708</v>
      </c>
      <c r="F258"/>
      <c r="H258" s="95">
        <f t="shared" ref="H258:AC258" si="306">H135</f>
        <v>0</v>
      </c>
      <c r="I258" s="5">
        <f t="shared" si="306"/>
        <v>0</v>
      </c>
      <c r="J258" s="5">
        <f t="shared" si="306"/>
        <v>0</v>
      </c>
      <c r="K258" s="5">
        <f t="shared" si="306"/>
        <v>0</v>
      </c>
      <c r="L258" s="5">
        <f t="shared" si="306"/>
        <v>0</v>
      </c>
      <c r="M258" s="5">
        <f t="shared" si="306"/>
        <v>0</v>
      </c>
      <c r="N258" s="5">
        <f t="shared" si="306"/>
        <v>0</v>
      </c>
      <c r="O258" s="5">
        <f t="shared" si="306"/>
        <v>0</v>
      </c>
      <c r="P258" s="5">
        <f t="shared" si="306"/>
        <v>0</v>
      </c>
      <c r="Q258" s="5">
        <f t="shared" si="306"/>
        <v>0</v>
      </c>
      <c r="R258" s="5">
        <f t="shared" si="306"/>
        <v>0</v>
      </c>
      <c r="S258" s="5">
        <f t="shared" si="306"/>
        <v>0</v>
      </c>
      <c r="T258" s="5">
        <f t="shared" si="306"/>
        <v>0</v>
      </c>
      <c r="U258" s="5">
        <f t="shared" si="306"/>
        <v>0</v>
      </c>
      <c r="V258" s="5">
        <f t="shared" si="306"/>
        <v>0</v>
      </c>
      <c r="W258" s="5">
        <f t="shared" si="306"/>
        <v>0</v>
      </c>
      <c r="X258" s="5">
        <f t="shared" si="306"/>
        <v>0</v>
      </c>
      <c r="Y258" s="5">
        <f t="shared" si="306"/>
        <v>0</v>
      </c>
      <c r="Z258" s="5">
        <f t="shared" si="306"/>
        <v>0</v>
      </c>
      <c r="AA258" s="5">
        <f t="shared" si="306"/>
        <v>0</v>
      </c>
      <c r="AB258" s="5">
        <f t="shared" si="306"/>
        <v>0</v>
      </c>
      <c r="AC258" s="5">
        <f t="shared" si="306"/>
        <v>0</v>
      </c>
    </row>
    <row r="259" spans="1:31">
      <c r="C259" s="74" t="s">
        <v>709</v>
      </c>
      <c r="F259"/>
      <c r="H259" s="97">
        <f t="shared" ref="H259:U259" si="307">H256-H257-H258</f>
        <v>0</v>
      </c>
      <c r="I259" s="50">
        <f t="shared" si="307"/>
        <v>0</v>
      </c>
      <c r="J259" s="50">
        <f t="shared" si="307"/>
        <v>0</v>
      </c>
      <c r="K259" s="50">
        <f t="shared" si="307"/>
        <v>0</v>
      </c>
      <c r="L259" s="50">
        <f t="shared" si="307"/>
        <v>0</v>
      </c>
      <c r="M259" s="50">
        <f t="shared" si="307"/>
        <v>0</v>
      </c>
      <c r="N259" s="50">
        <f t="shared" si="307"/>
        <v>0</v>
      </c>
      <c r="O259" s="50">
        <f t="shared" si="307"/>
        <v>0</v>
      </c>
      <c r="P259" s="50">
        <f t="shared" si="307"/>
        <v>0</v>
      </c>
      <c r="Q259" s="50">
        <f t="shared" si="307"/>
        <v>0</v>
      </c>
      <c r="R259" s="50">
        <f t="shared" si="307"/>
        <v>0</v>
      </c>
      <c r="S259" s="50">
        <f t="shared" si="307"/>
        <v>0</v>
      </c>
      <c r="T259" s="50">
        <f t="shared" si="307"/>
        <v>0</v>
      </c>
      <c r="U259" s="50">
        <f t="shared" si="307"/>
        <v>0</v>
      </c>
      <c r="V259" s="50">
        <f t="shared" ref="V259:AC259" si="308">V256-V257-V258</f>
        <v>0</v>
      </c>
      <c r="W259" s="50">
        <f t="shared" si="308"/>
        <v>0</v>
      </c>
      <c r="X259" s="50">
        <f t="shared" si="308"/>
        <v>0</v>
      </c>
      <c r="Y259" s="50">
        <f t="shared" si="308"/>
        <v>0</v>
      </c>
      <c r="Z259" s="50">
        <f t="shared" si="308"/>
        <v>0</v>
      </c>
      <c r="AA259" s="50">
        <f t="shared" si="308"/>
        <v>0</v>
      </c>
      <c r="AB259" s="50">
        <f t="shared" si="308"/>
        <v>0</v>
      </c>
      <c r="AC259" s="50">
        <f t="shared" si="308"/>
        <v>0</v>
      </c>
    </row>
    <row r="260" spans="1:31">
      <c r="C260" s="74" t="s">
        <v>710</v>
      </c>
      <c r="F260"/>
      <c r="H260" s="95"/>
      <c r="I260" s="55">
        <f t="shared" ref="I260:AC260" si="309">I565</f>
        <v>0</v>
      </c>
      <c r="J260" s="55">
        <f t="shared" si="309"/>
        <v>0</v>
      </c>
      <c r="K260" s="55">
        <f t="shared" si="309"/>
        <v>0</v>
      </c>
      <c r="L260" s="55">
        <f t="shared" si="309"/>
        <v>0</v>
      </c>
      <c r="M260" s="55">
        <f t="shared" si="309"/>
        <v>0</v>
      </c>
      <c r="N260" s="55">
        <f t="shared" si="309"/>
        <v>0</v>
      </c>
      <c r="O260" s="55">
        <f t="shared" si="309"/>
        <v>0</v>
      </c>
      <c r="P260" s="55">
        <f t="shared" si="309"/>
        <v>0</v>
      </c>
      <c r="Q260" s="55">
        <f t="shared" si="309"/>
        <v>0</v>
      </c>
      <c r="R260" s="55">
        <f t="shared" si="309"/>
        <v>0</v>
      </c>
      <c r="S260" s="55">
        <f t="shared" si="309"/>
        <v>0</v>
      </c>
      <c r="T260" s="55">
        <f t="shared" si="309"/>
        <v>0</v>
      </c>
      <c r="U260" s="55">
        <f t="shared" si="309"/>
        <v>0</v>
      </c>
      <c r="V260" s="55">
        <f t="shared" si="309"/>
        <v>0</v>
      </c>
      <c r="W260" s="55">
        <f t="shared" si="309"/>
        <v>0</v>
      </c>
      <c r="X260" s="55">
        <f t="shared" si="309"/>
        <v>0</v>
      </c>
      <c r="Y260" s="55">
        <f t="shared" si="309"/>
        <v>0</v>
      </c>
      <c r="Z260" s="55">
        <f t="shared" si="309"/>
        <v>0</v>
      </c>
      <c r="AA260" s="55">
        <f t="shared" si="309"/>
        <v>0</v>
      </c>
      <c r="AB260" s="55">
        <f t="shared" si="309"/>
        <v>0</v>
      </c>
      <c r="AC260" s="55">
        <f t="shared" si="309"/>
        <v>0</v>
      </c>
    </row>
    <row r="261" spans="1:31">
      <c r="F261"/>
      <c r="H261" s="95"/>
    </row>
    <row r="262" spans="1:31">
      <c r="A262" s="77" t="str">
        <f>B341&amp;":"</f>
        <v>Placement 1:</v>
      </c>
      <c r="C262" s="74" t="s">
        <v>706</v>
      </c>
      <c r="F262"/>
      <c r="G262" s="90"/>
      <c r="H262" s="94">
        <v>0</v>
      </c>
      <c r="I262" s="90">
        <f t="shared" ref="I262:AC262" si="310">H265</f>
        <v>0</v>
      </c>
      <c r="J262" s="90">
        <f t="shared" si="310"/>
        <v>0</v>
      </c>
      <c r="K262" s="90">
        <f t="shared" si="310"/>
        <v>0</v>
      </c>
      <c r="L262" s="90">
        <f t="shared" si="310"/>
        <v>0</v>
      </c>
      <c r="M262" s="90">
        <f t="shared" si="310"/>
        <v>0</v>
      </c>
      <c r="N262" s="90">
        <f t="shared" si="310"/>
        <v>0</v>
      </c>
      <c r="O262" s="90">
        <f t="shared" si="310"/>
        <v>0</v>
      </c>
      <c r="P262" s="90">
        <f t="shared" si="310"/>
        <v>0</v>
      </c>
      <c r="Q262" s="90">
        <f t="shared" si="310"/>
        <v>0</v>
      </c>
      <c r="R262" s="90">
        <f t="shared" si="310"/>
        <v>0</v>
      </c>
      <c r="S262" s="90">
        <f t="shared" si="310"/>
        <v>0</v>
      </c>
      <c r="T262" s="90">
        <f t="shared" si="310"/>
        <v>0</v>
      </c>
      <c r="U262" s="90">
        <f t="shared" si="310"/>
        <v>0</v>
      </c>
      <c r="V262" s="90">
        <f t="shared" si="310"/>
        <v>0</v>
      </c>
      <c r="W262" s="90">
        <f t="shared" si="310"/>
        <v>0</v>
      </c>
      <c r="X262" s="90">
        <f t="shared" si="310"/>
        <v>0</v>
      </c>
      <c r="Y262" s="90">
        <f t="shared" si="310"/>
        <v>0</v>
      </c>
      <c r="Z262" s="90">
        <f t="shared" si="310"/>
        <v>0</v>
      </c>
      <c r="AA262" s="90">
        <f t="shared" si="310"/>
        <v>0</v>
      </c>
      <c r="AB262" s="90">
        <f t="shared" si="310"/>
        <v>0</v>
      </c>
      <c r="AC262" s="90">
        <f t="shared" si="310"/>
        <v>0</v>
      </c>
    </row>
    <row r="263" spans="1:31">
      <c r="C263" s="74" t="s">
        <v>707</v>
      </c>
      <c r="F263"/>
      <c r="G263" s="90"/>
      <c r="H263" s="94">
        <f>-H341</f>
        <v>0</v>
      </c>
      <c r="I263" s="90">
        <f t="shared" ref="I263:AC263" si="311">I505</f>
        <v>0</v>
      </c>
      <c r="J263" s="90">
        <f t="shared" si="311"/>
        <v>0</v>
      </c>
      <c r="K263" s="90">
        <f t="shared" si="311"/>
        <v>0</v>
      </c>
      <c r="L263" s="90">
        <f t="shared" si="311"/>
        <v>0</v>
      </c>
      <c r="M263" s="90">
        <f t="shared" si="311"/>
        <v>0</v>
      </c>
      <c r="N263" s="90">
        <f t="shared" si="311"/>
        <v>0</v>
      </c>
      <c r="O263" s="90">
        <f t="shared" si="311"/>
        <v>0</v>
      </c>
      <c r="P263" s="90">
        <f t="shared" si="311"/>
        <v>0</v>
      </c>
      <c r="Q263" s="90">
        <f t="shared" si="311"/>
        <v>0</v>
      </c>
      <c r="R263" s="90">
        <f t="shared" si="311"/>
        <v>0</v>
      </c>
      <c r="S263" s="90">
        <f t="shared" si="311"/>
        <v>0</v>
      </c>
      <c r="T263" s="90">
        <f t="shared" si="311"/>
        <v>0</v>
      </c>
      <c r="U263" s="90">
        <f t="shared" si="311"/>
        <v>0</v>
      </c>
      <c r="V263" s="90">
        <f t="shared" si="311"/>
        <v>0</v>
      </c>
      <c r="W263" s="90">
        <f t="shared" si="311"/>
        <v>0</v>
      </c>
      <c r="X263" s="90">
        <f t="shared" si="311"/>
        <v>0</v>
      </c>
      <c r="Y263" s="90">
        <f t="shared" si="311"/>
        <v>0</v>
      </c>
      <c r="Z263" s="90">
        <f t="shared" si="311"/>
        <v>0</v>
      </c>
      <c r="AA263" s="90">
        <f t="shared" si="311"/>
        <v>0</v>
      </c>
      <c r="AB263" s="90">
        <f t="shared" si="311"/>
        <v>0</v>
      </c>
      <c r="AC263" s="90">
        <f t="shared" si="311"/>
        <v>0</v>
      </c>
    </row>
    <row r="264" spans="1:31">
      <c r="C264" s="74" t="s">
        <v>708</v>
      </c>
      <c r="F264"/>
      <c r="G264" s="90"/>
      <c r="H264" s="94">
        <f t="shared" ref="H264:AC264" si="312">H504</f>
        <v>0</v>
      </c>
      <c r="I264" s="90">
        <f t="shared" si="312"/>
        <v>0</v>
      </c>
      <c r="J264" s="90">
        <f t="shared" si="312"/>
        <v>0</v>
      </c>
      <c r="K264" s="90">
        <f t="shared" si="312"/>
        <v>0</v>
      </c>
      <c r="L264" s="90">
        <f t="shared" si="312"/>
        <v>0</v>
      </c>
      <c r="M264" s="90">
        <f t="shared" si="312"/>
        <v>0</v>
      </c>
      <c r="N264" s="90">
        <f t="shared" si="312"/>
        <v>0</v>
      </c>
      <c r="O264" s="90">
        <f t="shared" si="312"/>
        <v>0</v>
      </c>
      <c r="P264" s="90">
        <f t="shared" si="312"/>
        <v>0</v>
      </c>
      <c r="Q264" s="90">
        <f t="shared" si="312"/>
        <v>0</v>
      </c>
      <c r="R264" s="90">
        <f t="shared" si="312"/>
        <v>0</v>
      </c>
      <c r="S264" s="90">
        <f t="shared" si="312"/>
        <v>0</v>
      </c>
      <c r="T264" s="90">
        <f t="shared" si="312"/>
        <v>0</v>
      </c>
      <c r="U264" s="90">
        <f t="shared" si="312"/>
        <v>0</v>
      </c>
      <c r="V264" s="90">
        <f t="shared" si="312"/>
        <v>0</v>
      </c>
      <c r="W264" s="90">
        <f t="shared" si="312"/>
        <v>0</v>
      </c>
      <c r="X264" s="90">
        <f t="shared" si="312"/>
        <v>0</v>
      </c>
      <c r="Y264" s="90">
        <f t="shared" si="312"/>
        <v>0</v>
      </c>
      <c r="Z264" s="90">
        <f t="shared" si="312"/>
        <v>0</v>
      </c>
      <c r="AA264" s="90">
        <f t="shared" si="312"/>
        <v>0</v>
      </c>
      <c r="AB264" s="90">
        <f t="shared" si="312"/>
        <v>0</v>
      </c>
      <c r="AC264" s="90">
        <f t="shared" si="312"/>
        <v>0</v>
      </c>
    </row>
    <row r="265" spans="1:31">
      <c r="C265" s="74" t="s">
        <v>709</v>
      </c>
      <c r="F265"/>
      <c r="G265" s="90"/>
      <c r="H265" s="96">
        <f t="shared" ref="H265:U265" si="313">H262-H263-H264</f>
        <v>0</v>
      </c>
      <c r="I265" s="92">
        <f t="shared" si="313"/>
        <v>0</v>
      </c>
      <c r="J265" s="92">
        <f t="shared" si="313"/>
        <v>0</v>
      </c>
      <c r="K265" s="92">
        <f t="shared" si="313"/>
        <v>0</v>
      </c>
      <c r="L265" s="92">
        <f t="shared" si="313"/>
        <v>0</v>
      </c>
      <c r="M265" s="92">
        <f t="shared" si="313"/>
        <v>0</v>
      </c>
      <c r="N265" s="92">
        <f t="shared" si="313"/>
        <v>0</v>
      </c>
      <c r="O265" s="92">
        <f t="shared" si="313"/>
        <v>0</v>
      </c>
      <c r="P265" s="92">
        <f t="shared" si="313"/>
        <v>0</v>
      </c>
      <c r="Q265" s="92">
        <f t="shared" si="313"/>
        <v>0</v>
      </c>
      <c r="R265" s="92">
        <f t="shared" si="313"/>
        <v>0</v>
      </c>
      <c r="S265" s="92">
        <f t="shared" si="313"/>
        <v>0</v>
      </c>
      <c r="T265" s="92">
        <f t="shared" si="313"/>
        <v>0</v>
      </c>
      <c r="U265" s="92">
        <f t="shared" si="313"/>
        <v>0</v>
      </c>
      <c r="V265" s="92">
        <f t="shared" ref="V265:AC265" si="314">V262-V263-V264</f>
        <v>0</v>
      </c>
      <c r="W265" s="92">
        <f t="shared" si="314"/>
        <v>0</v>
      </c>
      <c r="X265" s="92">
        <f t="shared" si="314"/>
        <v>0</v>
      </c>
      <c r="Y265" s="92">
        <f t="shared" si="314"/>
        <v>0</v>
      </c>
      <c r="Z265" s="92">
        <f t="shared" si="314"/>
        <v>0</v>
      </c>
      <c r="AA265" s="92">
        <f t="shared" si="314"/>
        <v>0</v>
      </c>
      <c r="AB265" s="92">
        <f t="shared" si="314"/>
        <v>0</v>
      </c>
      <c r="AC265" s="92">
        <f t="shared" si="314"/>
        <v>0</v>
      </c>
    </row>
    <row r="266" spans="1:31">
      <c r="C266" s="74" t="s">
        <v>710</v>
      </c>
      <c r="F266"/>
      <c r="H266" s="95"/>
      <c r="I266" s="55">
        <f t="shared" ref="I266:AC266" si="315">I566</f>
        <v>0</v>
      </c>
      <c r="J266" s="55">
        <f t="shared" si="315"/>
        <v>0</v>
      </c>
      <c r="K266" s="55">
        <f t="shared" si="315"/>
        <v>0</v>
      </c>
      <c r="L266" s="55">
        <f t="shared" si="315"/>
        <v>0</v>
      </c>
      <c r="M266" s="55">
        <f t="shared" si="315"/>
        <v>0</v>
      </c>
      <c r="N266" s="55">
        <f t="shared" si="315"/>
        <v>0</v>
      </c>
      <c r="O266" s="55">
        <f t="shared" si="315"/>
        <v>0</v>
      </c>
      <c r="P266" s="55">
        <f t="shared" si="315"/>
        <v>0</v>
      </c>
      <c r="Q266" s="55">
        <f t="shared" si="315"/>
        <v>0</v>
      </c>
      <c r="R266" s="55">
        <f t="shared" si="315"/>
        <v>0</v>
      </c>
      <c r="S266" s="55">
        <f t="shared" si="315"/>
        <v>0</v>
      </c>
      <c r="T266" s="55">
        <f t="shared" si="315"/>
        <v>0</v>
      </c>
      <c r="U266" s="55">
        <f t="shared" si="315"/>
        <v>0</v>
      </c>
      <c r="V266" s="55">
        <f t="shared" si="315"/>
        <v>0</v>
      </c>
      <c r="W266" s="55">
        <f t="shared" si="315"/>
        <v>0</v>
      </c>
      <c r="X266" s="55">
        <f t="shared" si="315"/>
        <v>0</v>
      </c>
      <c r="Y266" s="55">
        <f t="shared" si="315"/>
        <v>0</v>
      </c>
      <c r="Z266" s="55">
        <f t="shared" si="315"/>
        <v>0</v>
      </c>
      <c r="AA266" s="55">
        <f t="shared" si="315"/>
        <v>0</v>
      </c>
      <c r="AB266" s="55">
        <f t="shared" si="315"/>
        <v>0</v>
      </c>
      <c r="AC266" s="55">
        <f t="shared" si="315"/>
        <v>0</v>
      </c>
    </row>
    <row r="267" spans="1:31">
      <c r="F267"/>
      <c r="H267" s="95"/>
    </row>
    <row r="268" spans="1:31">
      <c r="A268" s="77" t="str">
        <f>B342&amp;":"</f>
        <v>Placement 2:</v>
      </c>
      <c r="C268" s="74" t="s">
        <v>706</v>
      </c>
      <c r="F268"/>
      <c r="H268" s="95">
        <v>0</v>
      </c>
      <c r="I268" s="5">
        <f t="shared" ref="I268:AC268" si="316">H271</f>
        <v>0</v>
      </c>
      <c r="J268" s="5">
        <f t="shared" ca="1" si="316"/>
        <v>0</v>
      </c>
      <c r="K268" s="5">
        <f t="shared" ca="1" si="316"/>
        <v>0</v>
      </c>
      <c r="L268" s="5">
        <f t="shared" ca="1" si="316"/>
        <v>0</v>
      </c>
      <c r="M268" s="5">
        <f t="shared" ca="1" si="316"/>
        <v>0</v>
      </c>
      <c r="N268" s="5">
        <f t="shared" ca="1" si="316"/>
        <v>0</v>
      </c>
      <c r="O268" s="5">
        <f t="shared" ca="1" si="316"/>
        <v>0</v>
      </c>
      <c r="P268" s="5">
        <f t="shared" ca="1" si="316"/>
        <v>0</v>
      </c>
      <c r="Q268" s="5">
        <f t="shared" ca="1" si="316"/>
        <v>0</v>
      </c>
      <c r="R268" s="5">
        <f t="shared" ca="1" si="316"/>
        <v>0</v>
      </c>
      <c r="S268" s="5">
        <f t="shared" ca="1" si="316"/>
        <v>0</v>
      </c>
      <c r="T268" s="5">
        <f t="shared" ca="1" si="316"/>
        <v>0</v>
      </c>
      <c r="U268" s="5">
        <f t="shared" ca="1" si="316"/>
        <v>0</v>
      </c>
      <c r="V268" s="5">
        <f t="shared" ca="1" si="316"/>
        <v>0</v>
      </c>
      <c r="W268" s="5">
        <f t="shared" ca="1" si="316"/>
        <v>0</v>
      </c>
      <c r="X268" s="5">
        <f t="shared" ca="1" si="316"/>
        <v>0</v>
      </c>
      <c r="Y268" s="5">
        <f t="shared" ca="1" si="316"/>
        <v>0</v>
      </c>
      <c r="Z268" s="5">
        <f t="shared" ca="1" si="316"/>
        <v>0</v>
      </c>
      <c r="AA268" s="5">
        <f t="shared" ca="1" si="316"/>
        <v>0</v>
      </c>
      <c r="AB268" s="5">
        <f t="shared" ca="1" si="316"/>
        <v>0</v>
      </c>
      <c r="AC268" s="5">
        <f t="shared" ca="1" si="316"/>
        <v>0</v>
      </c>
      <c r="AD268"/>
      <c r="AE268"/>
    </row>
    <row r="269" spans="1:31">
      <c r="C269" s="74" t="s">
        <v>707</v>
      </c>
      <c r="F269"/>
      <c r="G269" s="16"/>
      <c r="H269" s="95">
        <f>-H342</f>
        <v>0</v>
      </c>
      <c r="I269" s="5">
        <f t="shared" ref="I269:AC269" si="317">I511</f>
        <v>0</v>
      </c>
      <c r="J269" s="5">
        <f t="shared" si="317"/>
        <v>0</v>
      </c>
      <c r="K269" s="5">
        <f t="shared" si="317"/>
        <v>0</v>
      </c>
      <c r="L269" s="5">
        <f t="shared" si="317"/>
        <v>0</v>
      </c>
      <c r="M269" s="5">
        <f t="shared" si="317"/>
        <v>0</v>
      </c>
      <c r="N269" s="5">
        <f t="shared" si="317"/>
        <v>0</v>
      </c>
      <c r="O269" s="5">
        <f t="shared" si="317"/>
        <v>0</v>
      </c>
      <c r="P269" s="5">
        <f t="shared" si="317"/>
        <v>0</v>
      </c>
      <c r="Q269" s="5">
        <f t="shared" si="317"/>
        <v>0</v>
      </c>
      <c r="R269" s="5">
        <f t="shared" si="317"/>
        <v>0</v>
      </c>
      <c r="S269" s="5">
        <f t="shared" si="317"/>
        <v>0</v>
      </c>
      <c r="T269" s="5">
        <f t="shared" si="317"/>
        <v>0</v>
      </c>
      <c r="U269" s="5">
        <f t="shared" si="317"/>
        <v>0</v>
      </c>
      <c r="V269" s="5">
        <f t="shared" si="317"/>
        <v>0</v>
      </c>
      <c r="W269" s="5">
        <f t="shared" si="317"/>
        <v>0</v>
      </c>
      <c r="X269" s="5">
        <f t="shared" si="317"/>
        <v>0</v>
      </c>
      <c r="Y269" s="5">
        <f t="shared" si="317"/>
        <v>0</v>
      </c>
      <c r="Z269" s="5">
        <f t="shared" si="317"/>
        <v>0</v>
      </c>
      <c r="AA269" s="5">
        <f t="shared" si="317"/>
        <v>0</v>
      </c>
      <c r="AB269" s="5">
        <f t="shared" si="317"/>
        <v>0</v>
      </c>
      <c r="AC269" s="5">
        <f t="shared" si="317"/>
        <v>0</v>
      </c>
      <c r="AD269"/>
      <c r="AE269"/>
    </row>
    <row r="270" spans="1:31">
      <c r="C270" s="74" t="s">
        <v>708</v>
      </c>
      <c r="F270"/>
      <c r="G270" s="16"/>
      <c r="H270" s="95"/>
      <c r="I270" s="5">
        <f t="shared" ref="I270:AC270" ca="1" si="318">I510</f>
        <v>0</v>
      </c>
      <c r="J270" s="5">
        <f t="shared" ca="1" si="318"/>
        <v>0</v>
      </c>
      <c r="K270" s="5">
        <f t="shared" ca="1" si="318"/>
        <v>0</v>
      </c>
      <c r="L270" s="5">
        <f t="shared" ca="1" si="318"/>
        <v>0</v>
      </c>
      <c r="M270" s="5">
        <f t="shared" ca="1" si="318"/>
        <v>0</v>
      </c>
      <c r="N270" s="5">
        <f t="shared" ca="1" si="318"/>
        <v>0</v>
      </c>
      <c r="O270" s="5">
        <f t="shared" ca="1" si="318"/>
        <v>0</v>
      </c>
      <c r="P270" s="5">
        <f t="shared" ca="1" si="318"/>
        <v>0</v>
      </c>
      <c r="Q270" s="5">
        <f t="shared" ca="1" si="318"/>
        <v>0</v>
      </c>
      <c r="R270" s="5">
        <f t="shared" ca="1" si="318"/>
        <v>0</v>
      </c>
      <c r="S270" s="5">
        <f t="shared" ca="1" si="318"/>
        <v>0</v>
      </c>
      <c r="T270" s="5">
        <f t="shared" ca="1" si="318"/>
        <v>0</v>
      </c>
      <c r="U270" s="5">
        <f t="shared" ca="1" si="318"/>
        <v>0</v>
      </c>
      <c r="V270" s="5">
        <f t="shared" ca="1" si="318"/>
        <v>0</v>
      </c>
      <c r="W270" s="5">
        <f t="shared" ca="1" si="318"/>
        <v>0</v>
      </c>
      <c r="X270" s="5">
        <f t="shared" ca="1" si="318"/>
        <v>0</v>
      </c>
      <c r="Y270" s="5">
        <f t="shared" ca="1" si="318"/>
        <v>0</v>
      </c>
      <c r="Z270" s="5">
        <f t="shared" ca="1" si="318"/>
        <v>0</v>
      </c>
      <c r="AA270" s="5">
        <f t="shared" ca="1" si="318"/>
        <v>0</v>
      </c>
      <c r="AB270" s="5">
        <f t="shared" ca="1" si="318"/>
        <v>0</v>
      </c>
      <c r="AC270" s="5">
        <f t="shared" ca="1" si="318"/>
        <v>0</v>
      </c>
      <c r="AD270"/>
      <c r="AE270"/>
    </row>
    <row r="271" spans="1:31">
      <c r="C271" s="74" t="s">
        <v>709</v>
      </c>
      <c r="H271" s="97">
        <f t="shared" ref="H271:Q271" si="319">H268-H269-H270</f>
        <v>0</v>
      </c>
      <c r="I271" s="50">
        <f t="shared" ca="1" si="319"/>
        <v>0</v>
      </c>
      <c r="J271" s="50">
        <f t="shared" ca="1" si="319"/>
        <v>0</v>
      </c>
      <c r="K271" s="50">
        <f t="shared" ca="1" si="319"/>
        <v>0</v>
      </c>
      <c r="L271" s="50">
        <f t="shared" ca="1" si="319"/>
        <v>0</v>
      </c>
      <c r="M271" s="50">
        <f t="shared" ca="1" si="319"/>
        <v>0</v>
      </c>
      <c r="N271" s="50">
        <f t="shared" ca="1" si="319"/>
        <v>0</v>
      </c>
      <c r="O271" s="50">
        <f t="shared" ca="1" si="319"/>
        <v>0</v>
      </c>
      <c r="P271" s="50">
        <f t="shared" ca="1" si="319"/>
        <v>0</v>
      </c>
      <c r="Q271" s="50">
        <f t="shared" ca="1" si="319"/>
        <v>0</v>
      </c>
      <c r="R271" s="50">
        <f t="shared" ref="R271:AC271" ca="1" si="320">R268-R269-R270</f>
        <v>0</v>
      </c>
      <c r="S271" s="50">
        <f t="shared" ca="1" si="320"/>
        <v>0</v>
      </c>
      <c r="T271" s="50">
        <f t="shared" ca="1" si="320"/>
        <v>0</v>
      </c>
      <c r="U271" s="50">
        <f t="shared" ca="1" si="320"/>
        <v>0</v>
      </c>
      <c r="V271" s="50">
        <f t="shared" ca="1" si="320"/>
        <v>0</v>
      </c>
      <c r="W271" s="50">
        <f t="shared" ca="1" si="320"/>
        <v>0</v>
      </c>
      <c r="X271" s="50">
        <f t="shared" ca="1" si="320"/>
        <v>0</v>
      </c>
      <c r="Y271" s="50">
        <f t="shared" ca="1" si="320"/>
        <v>0</v>
      </c>
      <c r="Z271" s="50">
        <f t="shared" ca="1" si="320"/>
        <v>0</v>
      </c>
      <c r="AA271" s="50">
        <f t="shared" ca="1" si="320"/>
        <v>0</v>
      </c>
      <c r="AB271" s="50">
        <f t="shared" ca="1" si="320"/>
        <v>0</v>
      </c>
      <c r="AC271" s="50">
        <f t="shared" ca="1" si="320"/>
        <v>0</v>
      </c>
    </row>
    <row r="272" spans="1:31">
      <c r="C272" s="74" t="s">
        <v>710</v>
      </c>
      <c r="H272" s="95"/>
      <c r="I272" s="55">
        <f t="shared" ref="I272:AC272" si="321">I567</f>
        <v>0</v>
      </c>
      <c r="J272" s="55">
        <f t="shared" si="321"/>
        <v>0</v>
      </c>
      <c r="K272" s="55">
        <f t="shared" si="321"/>
        <v>0</v>
      </c>
      <c r="L272" s="55">
        <f t="shared" si="321"/>
        <v>0</v>
      </c>
      <c r="M272" s="55">
        <f t="shared" si="321"/>
        <v>0</v>
      </c>
      <c r="N272" s="55">
        <f t="shared" si="321"/>
        <v>0</v>
      </c>
      <c r="O272" s="55">
        <f t="shared" si="321"/>
        <v>0</v>
      </c>
      <c r="P272" s="55">
        <f t="shared" si="321"/>
        <v>0</v>
      </c>
      <c r="Q272" s="55">
        <f t="shared" si="321"/>
        <v>0</v>
      </c>
      <c r="R272" s="55">
        <f t="shared" si="321"/>
        <v>0</v>
      </c>
      <c r="S272" s="55">
        <f t="shared" si="321"/>
        <v>0</v>
      </c>
      <c r="T272" s="55">
        <f t="shared" si="321"/>
        <v>0</v>
      </c>
      <c r="U272" s="55">
        <f t="shared" si="321"/>
        <v>0</v>
      </c>
      <c r="V272" s="55">
        <f t="shared" si="321"/>
        <v>0</v>
      </c>
      <c r="W272" s="55">
        <f t="shared" si="321"/>
        <v>0</v>
      </c>
      <c r="X272" s="55">
        <f t="shared" si="321"/>
        <v>0</v>
      </c>
      <c r="Y272" s="55">
        <f t="shared" si="321"/>
        <v>0</v>
      </c>
      <c r="Z272" s="55">
        <f t="shared" si="321"/>
        <v>0</v>
      </c>
      <c r="AA272" s="55">
        <f t="shared" si="321"/>
        <v>0</v>
      </c>
      <c r="AB272" s="55">
        <f t="shared" si="321"/>
        <v>0</v>
      </c>
      <c r="AC272" s="55">
        <f t="shared" si="321"/>
        <v>0</v>
      </c>
    </row>
    <row r="273" spans="1:29" ht="12" thickBot="1">
      <c r="C273" s="74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</row>
    <row r="274" spans="1:29" ht="12.75" thickTop="1" thickBot="1">
      <c r="H274" s="86" t="str">
        <f ca="1">$H$579&amp;"/"&amp;TEXT($H$580,"0")</f>
        <v>6 M/1999</v>
      </c>
      <c r="I274" s="86" t="str">
        <f ca="1">$I$579&amp;"/"&amp;TEXT($I$580,"0")</f>
        <v>6 M/1999</v>
      </c>
      <c r="J274" s="73">
        <f t="shared" ref="J274:AC274" si="322">J580</f>
        <v>2000</v>
      </c>
      <c r="K274" s="73">
        <f t="shared" si="322"/>
        <v>2001</v>
      </c>
      <c r="L274" s="73">
        <f t="shared" si="322"/>
        <v>2002</v>
      </c>
      <c r="M274" s="73">
        <f t="shared" si="322"/>
        <v>2003</v>
      </c>
      <c r="N274" s="73">
        <f t="shared" si="322"/>
        <v>2004</v>
      </c>
      <c r="O274" s="73">
        <f t="shared" si="322"/>
        <v>2005</v>
      </c>
      <c r="P274" s="73">
        <f t="shared" si="322"/>
        <v>2006</v>
      </c>
      <c r="Q274" s="73">
        <f t="shared" si="322"/>
        <v>2007</v>
      </c>
      <c r="R274" s="73">
        <f t="shared" si="322"/>
        <v>2008</v>
      </c>
      <c r="S274" s="73">
        <f t="shared" si="322"/>
        <v>2009</v>
      </c>
      <c r="T274" s="73">
        <f t="shared" si="322"/>
        <v>2010</v>
      </c>
      <c r="U274" s="73">
        <f t="shared" si="322"/>
        <v>2011</v>
      </c>
      <c r="V274" s="73">
        <f t="shared" si="322"/>
        <v>2012</v>
      </c>
      <c r="W274" s="73">
        <f t="shared" si="322"/>
        <v>2013</v>
      </c>
      <c r="X274" s="73">
        <f t="shared" si="322"/>
        <v>2014</v>
      </c>
      <c r="Y274" s="73">
        <f t="shared" si="322"/>
        <v>2015</v>
      </c>
      <c r="Z274" s="73">
        <f t="shared" si="322"/>
        <v>2016</v>
      </c>
      <c r="AA274" s="73">
        <f t="shared" si="322"/>
        <v>2017</v>
      </c>
      <c r="AB274" s="73">
        <f t="shared" si="322"/>
        <v>2018</v>
      </c>
      <c r="AC274" s="73">
        <f t="shared" si="322"/>
        <v>2019</v>
      </c>
    </row>
    <row r="275" spans="1:29" ht="12" thickTop="1">
      <c r="A275" s="19" t="s">
        <v>719</v>
      </c>
      <c r="F275" s="90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>
      <c r="A276" s="77" t="str">
        <f>B343&amp;":"</f>
        <v>Sr Sub Notes:</v>
      </c>
      <c r="C276" s="74" t="s">
        <v>706</v>
      </c>
      <c r="G276" s="90"/>
      <c r="H276" s="94">
        <v>0</v>
      </c>
      <c r="I276" s="90">
        <f t="shared" ref="I276:AC276" si="323">H280</f>
        <v>0</v>
      </c>
      <c r="J276" s="90">
        <f t="shared" ca="1" si="323"/>
        <v>0</v>
      </c>
      <c r="K276" s="90">
        <f t="shared" ca="1" si="323"/>
        <v>0</v>
      </c>
      <c r="L276" s="90">
        <f t="shared" ca="1" si="323"/>
        <v>0</v>
      </c>
      <c r="M276" s="90">
        <f t="shared" ca="1" si="323"/>
        <v>0</v>
      </c>
      <c r="N276" s="90">
        <f t="shared" ca="1" si="323"/>
        <v>0</v>
      </c>
      <c r="O276" s="90">
        <f t="shared" ca="1" si="323"/>
        <v>0</v>
      </c>
      <c r="P276" s="90">
        <f t="shared" ca="1" si="323"/>
        <v>0</v>
      </c>
      <c r="Q276" s="90">
        <f t="shared" ca="1" si="323"/>
        <v>0</v>
      </c>
      <c r="R276" s="90">
        <f t="shared" ca="1" si="323"/>
        <v>0</v>
      </c>
      <c r="S276" s="90">
        <f t="shared" ca="1" si="323"/>
        <v>0</v>
      </c>
      <c r="T276" s="90">
        <f t="shared" ca="1" si="323"/>
        <v>0</v>
      </c>
      <c r="U276" s="90">
        <f t="shared" ca="1" si="323"/>
        <v>0</v>
      </c>
      <c r="V276" s="90">
        <f t="shared" ca="1" si="323"/>
        <v>0</v>
      </c>
      <c r="W276" s="90">
        <f t="shared" ca="1" si="323"/>
        <v>0</v>
      </c>
      <c r="X276" s="90">
        <f t="shared" ca="1" si="323"/>
        <v>0</v>
      </c>
      <c r="Y276" s="90">
        <f t="shared" ca="1" si="323"/>
        <v>0</v>
      </c>
      <c r="Z276" s="90">
        <f t="shared" ca="1" si="323"/>
        <v>0</v>
      </c>
      <c r="AA276" s="90">
        <f t="shared" ca="1" si="323"/>
        <v>0</v>
      </c>
      <c r="AB276" s="90">
        <f t="shared" ca="1" si="323"/>
        <v>0</v>
      </c>
      <c r="AC276" s="90">
        <f t="shared" ca="1" si="323"/>
        <v>0</v>
      </c>
    </row>
    <row r="277" spans="1:29">
      <c r="C277" s="74" t="s">
        <v>707</v>
      </c>
      <c r="D277" s="113"/>
      <c r="E277" s="113"/>
      <c r="F277" s="113"/>
      <c r="G277" s="90"/>
      <c r="H277" s="94">
        <f>-H343+H519</f>
        <v>0</v>
      </c>
      <c r="I277" s="90">
        <f t="shared" ref="I277:R277" ca="1" si="324">I519+I515</f>
        <v>0</v>
      </c>
      <c r="J277" s="90">
        <f t="shared" si="324"/>
        <v>0</v>
      </c>
      <c r="K277" s="90">
        <f t="shared" si="324"/>
        <v>0</v>
      </c>
      <c r="L277" s="90">
        <f t="shared" si="324"/>
        <v>0</v>
      </c>
      <c r="M277" s="90">
        <f t="shared" si="324"/>
        <v>0</v>
      </c>
      <c r="N277" s="90">
        <f t="shared" si="324"/>
        <v>0</v>
      </c>
      <c r="O277" s="90">
        <f t="shared" si="324"/>
        <v>0</v>
      </c>
      <c r="P277" s="90">
        <f t="shared" si="324"/>
        <v>0</v>
      </c>
      <c r="Q277" s="90">
        <f t="shared" si="324"/>
        <v>0</v>
      </c>
      <c r="R277" s="90">
        <f t="shared" si="324"/>
        <v>0</v>
      </c>
      <c r="S277" s="90">
        <f t="shared" ref="S277:AC277" si="325">S519+S515</f>
        <v>0</v>
      </c>
      <c r="T277" s="90">
        <f t="shared" si="325"/>
        <v>0</v>
      </c>
      <c r="U277" s="90">
        <f t="shared" si="325"/>
        <v>0</v>
      </c>
      <c r="V277" s="90">
        <f t="shared" si="325"/>
        <v>0</v>
      </c>
      <c r="W277" s="90">
        <f t="shared" si="325"/>
        <v>0</v>
      </c>
      <c r="X277" s="90">
        <f t="shared" si="325"/>
        <v>0</v>
      </c>
      <c r="Y277" s="90">
        <f t="shared" si="325"/>
        <v>0</v>
      </c>
      <c r="Z277" s="90">
        <f t="shared" si="325"/>
        <v>0</v>
      </c>
      <c r="AA277" s="90">
        <f t="shared" si="325"/>
        <v>0</v>
      </c>
      <c r="AB277" s="90">
        <f t="shared" si="325"/>
        <v>0</v>
      </c>
      <c r="AC277" s="90">
        <f t="shared" si="325"/>
        <v>0</v>
      </c>
    </row>
    <row r="278" spans="1:29">
      <c r="C278" s="74" t="s">
        <v>708</v>
      </c>
      <c r="G278" s="90"/>
      <c r="H278" s="94">
        <f t="shared" ref="H278:AC278" si="326">H514</f>
        <v>0</v>
      </c>
      <c r="I278" s="90">
        <f t="shared" si="326"/>
        <v>0</v>
      </c>
      <c r="J278" s="90">
        <f t="shared" si="326"/>
        <v>0</v>
      </c>
      <c r="K278" s="90">
        <f t="shared" si="326"/>
        <v>0</v>
      </c>
      <c r="L278" s="90">
        <f t="shared" si="326"/>
        <v>0</v>
      </c>
      <c r="M278" s="90">
        <f t="shared" si="326"/>
        <v>0</v>
      </c>
      <c r="N278" s="90">
        <f t="shared" si="326"/>
        <v>0</v>
      </c>
      <c r="O278" s="90">
        <f t="shared" si="326"/>
        <v>0</v>
      </c>
      <c r="P278" s="90">
        <f t="shared" si="326"/>
        <v>0</v>
      </c>
      <c r="Q278" s="90">
        <f t="shared" si="326"/>
        <v>0</v>
      </c>
      <c r="R278" s="90">
        <f t="shared" si="326"/>
        <v>0</v>
      </c>
      <c r="S278" s="90">
        <f t="shared" si="326"/>
        <v>0</v>
      </c>
      <c r="T278" s="90">
        <f t="shared" si="326"/>
        <v>0</v>
      </c>
      <c r="U278" s="90">
        <f t="shared" si="326"/>
        <v>0</v>
      </c>
      <c r="V278" s="90">
        <f t="shared" si="326"/>
        <v>0</v>
      </c>
      <c r="W278" s="90">
        <f t="shared" si="326"/>
        <v>0</v>
      </c>
      <c r="X278" s="90">
        <f t="shared" si="326"/>
        <v>0</v>
      </c>
      <c r="Y278" s="90">
        <f t="shared" si="326"/>
        <v>0</v>
      </c>
      <c r="Z278" s="90">
        <f t="shared" si="326"/>
        <v>0</v>
      </c>
      <c r="AA278" s="90">
        <f t="shared" si="326"/>
        <v>0</v>
      </c>
      <c r="AB278" s="90">
        <f t="shared" si="326"/>
        <v>0</v>
      </c>
      <c r="AC278" s="90">
        <f t="shared" si="326"/>
        <v>0</v>
      </c>
    </row>
    <row r="279" spans="1:29">
      <c r="C279" s="74" t="s">
        <v>715</v>
      </c>
      <c r="G279" s="90"/>
      <c r="H279" s="94">
        <f t="shared" ref="H279:Q279" si="327">-H167</f>
        <v>0</v>
      </c>
      <c r="I279" s="115">
        <f t="shared" ca="1" si="327"/>
        <v>0</v>
      </c>
      <c r="J279" s="115">
        <f t="shared" ca="1" si="327"/>
        <v>0</v>
      </c>
      <c r="K279" s="115">
        <f t="shared" ca="1" si="327"/>
        <v>0</v>
      </c>
      <c r="L279" s="115">
        <f t="shared" ca="1" si="327"/>
        <v>0</v>
      </c>
      <c r="M279" s="115">
        <f t="shared" ca="1" si="327"/>
        <v>0</v>
      </c>
      <c r="N279" s="115">
        <f t="shared" ca="1" si="327"/>
        <v>0</v>
      </c>
      <c r="O279" s="115">
        <f t="shared" ca="1" si="327"/>
        <v>0</v>
      </c>
      <c r="P279" s="115">
        <f t="shared" ca="1" si="327"/>
        <v>0</v>
      </c>
      <c r="Q279" s="115">
        <f t="shared" ca="1" si="327"/>
        <v>0</v>
      </c>
      <c r="R279" s="115">
        <f t="shared" ref="R279:AC279" ca="1" si="328">-R167</f>
        <v>0</v>
      </c>
      <c r="S279" s="115">
        <f t="shared" ca="1" si="328"/>
        <v>0</v>
      </c>
      <c r="T279" s="115">
        <f t="shared" ca="1" si="328"/>
        <v>0</v>
      </c>
      <c r="U279" s="115">
        <f t="shared" ca="1" si="328"/>
        <v>0</v>
      </c>
      <c r="V279" s="115">
        <f t="shared" ca="1" si="328"/>
        <v>0</v>
      </c>
      <c r="W279" s="115">
        <f t="shared" ca="1" si="328"/>
        <v>0</v>
      </c>
      <c r="X279" s="115">
        <f t="shared" ca="1" si="328"/>
        <v>0</v>
      </c>
      <c r="Y279" s="115">
        <f t="shared" ca="1" si="328"/>
        <v>0</v>
      </c>
      <c r="Z279" s="115">
        <f t="shared" ca="1" si="328"/>
        <v>0</v>
      </c>
      <c r="AA279" s="115">
        <f t="shared" ca="1" si="328"/>
        <v>0</v>
      </c>
      <c r="AB279" s="115">
        <f t="shared" ca="1" si="328"/>
        <v>0</v>
      </c>
      <c r="AC279" s="115">
        <f t="shared" ca="1" si="328"/>
        <v>0</v>
      </c>
    </row>
    <row r="280" spans="1:29">
      <c r="C280" s="74" t="s">
        <v>709</v>
      </c>
      <c r="G280" s="90"/>
      <c r="H280" s="96">
        <f t="shared" ref="H280:Q280" si="329">H276-H278-H277-H279</f>
        <v>0</v>
      </c>
      <c r="I280" s="92">
        <f t="shared" ca="1" si="329"/>
        <v>0</v>
      </c>
      <c r="J280" s="92">
        <f t="shared" ca="1" si="329"/>
        <v>0</v>
      </c>
      <c r="K280" s="92">
        <f t="shared" ca="1" si="329"/>
        <v>0</v>
      </c>
      <c r="L280" s="92">
        <f t="shared" ca="1" si="329"/>
        <v>0</v>
      </c>
      <c r="M280" s="92">
        <f t="shared" ca="1" si="329"/>
        <v>0</v>
      </c>
      <c r="N280" s="92">
        <f t="shared" ca="1" si="329"/>
        <v>0</v>
      </c>
      <c r="O280" s="92">
        <f t="shared" ca="1" si="329"/>
        <v>0</v>
      </c>
      <c r="P280" s="92">
        <f t="shared" ca="1" si="329"/>
        <v>0</v>
      </c>
      <c r="Q280" s="92">
        <f t="shared" ca="1" si="329"/>
        <v>0</v>
      </c>
      <c r="R280" s="92">
        <f t="shared" ref="R280:AC280" ca="1" si="330">R276-R278-R277-R279</f>
        <v>0</v>
      </c>
      <c r="S280" s="92">
        <f t="shared" ca="1" si="330"/>
        <v>0</v>
      </c>
      <c r="T280" s="92">
        <f t="shared" ca="1" si="330"/>
        <v>0</v>
      </c>
      <c r="U280" s="92">
        <f t="shared" ca="1" si="330"/>
        <v>0</v>
      </c>
      <c r="V280" s="92">
        <f t="shared" ca="1" si="330"/>
        <v>0</v>
      </c>
      <c r="W280" s="92">
        <f t="shared" ca="1" si="330"/>
        <v>0</v>
      </c>
      <c r="X280" s="92">
        <f t="shared" ca="1" si="330"/>
        <v>0</v>
      </c>
      <c r="Y280" s="92">
        <f t="shared" ca="1" si="330"/>
        <v>0</v>
      </c>
      <c r="Z280" s="92">
        <f t="shared" ca="1" si="330"/>
        <v>0</v>
      </c>
      <c r="AA280" s="92">
        <f t="shared" ca="1" si="330"/>
        <v>0</v>
      </c>
      <c r="AB280" s="92">
        <f t="shared" ca="1" si="330"/>
        <v>0</v>
      </c>
      <c r="AC280" s="92">
        <f t="shared" ca="1" si="330"/>
        <v>0</v>
      </c>
    </row>
    <row r="281" spans="1:29">
      <c r="C281" s="74" t="s">
        <v>710</v>
      </c>
      <c r="H281" s="95"/>
      <c r="I281" s="55">
        <f t="shared" ref="I281:AC281" si="331">I568</f>
        <v>0</v>
      </c>
      <c r="J281" s="55">
        <f t="shared" si="331"/>
        <v>0</v>
      </c>
      <c r="K281" s="55">
        <f t="shared" si="331"/>
        <v>0</v>
      </c>
      <c r="L281" s="55">
        <f t="shared" si="331"/>
        <v>0</v>
      </c>
      <c r="M281" s="55">
        <f t="shared" si="331"/>
        <v>0</v>
      </c>
      <c r="N281" s="55">
        <f t="shared" si="331"/>
        <v>0</v>
      </c>
      <c r="O281" s="55">
        <f t="shared" si="331"/>
        <v>0</v>
      </c>
      <c r="P281" s="55">
        <f t="shared" si="331"/>
        <v>0</v>
      </c>
      <c r="Q281" s="55">
        <f t="shared" si="331"/>
        <v>0</v>
      </c>
      <c r="R281" s="55">
        <f t="shared" si="331"/>
        <v>0</v>
      </c>
      <c r="S281" s="55">
        <f t="shared" si="331"/>
        <v>0</v>
      </c>
      <c r="T281" s="55">
        <f t="shared" si="331"/>
        <v>0</v>
      </c>
      <c r="U281" s="55">
        <f t="shared" si="331"/>
        <v>0</v>
      </c>
      <c r="V281" s="55">
        <f t="shared" si="331"/>
        <v>0</v>
      </c>
      <c r="W281" s="55">
        <f t="shared" si="331"/>
        <v>0</v>
      </c>
      <c r="X281" s="55">
        <f t="shared" si="331"/>
        <v>0</v>
      </c>
      <c r="Y281" s="55">
        <f t="shared" si="331"/>
        <v>0</v>
      </c>
      <c r="Z281" s="55">
        <f t="shared" si="331"/>
        <v>0</v>
      </c>
      <c r="AA281" s="55">
        <f t="shared" si="331"/>
        <v>0</v>
      </c>
      <c r="AB281" s="55">
        <f t="shared" si="331"/>
        <v>0</v>
      </c>
      <c r="AC281" s="55">
        <f t="shared" si="331"/>
        <v>0</v>
      </c>
    </row>
    <row r="282" spans="1:29">
      <c r="H282" s="95"/>
    </row>
    <row r="283" spans="1:29">
      <c r="A283" s="77" t="str">
        <f>B344&amp;":"</f>
        <v>Jr. Sub Notes:</v>
      </c>
      <c r="C283" s="74" t="s">
        <v>706</v>
      </c>
      <c r="G283" s="90"/>
      <c r="H283" s="94">
        <v>0</v>
      </c>
      <c r="I283" s="90">
        <f t="shared" ref="I283:AC283" si="332">H286</f>
        <v>0</v>
      </c>
      <c r="J283" s="90">
        <f t="shared" ca="1" si="332"/>
        <v>0</v>
      </c>
      <c r="K283" s="90">
        <f t="shared" ca="1" si="332"/>
        <v>0</v>
      </c>
      <c r="L283" s="90">
        <f t="shared" ca="1" si="332"/>
        <v>0</v>
      </c>
      <c r="M283" s="90">
        <f t="shared" ca="1" si="332"/>
        <v>0</v>
      </c>
      <c r="N283" s="90">
        <f t="shared" ca="1" si="332"/>
        <v>0</v>
      </c>
      <c r="O283" s="90">
        <f t="shared" ca="1" si="332"/>
        <v>0</v>
      </c>
      <c r="P283" s="90">
        <f t="shared" ca="1" si="332"/>
        <v>0</v>
      </c>
      <c r="Q283" s="90">
        <f t="shared" ca="1" si="332"/>
        <v>0</v>
      </c>
      <c r="R283" s="90">
        <f t="shared" ca="1" si="332"/>
        <v>0</v>
      </c>
      <c r="S283" s="90">
        <f t="shared" ca="1" si="332"/>
        <v>0</v>
      </c>
      <c r="T283" s="90">
        <f t="shared" ca="1" si="332"/>
        <v>0</v>
      </c>
      <c r="U283" s="90">
        <f t="shared" ca="1" si="332"/>
        <v>0</v>
      </c>
      <c r="V283" s="90">
        <f t="shared" ca="1" si="332"/>
        <v>0</v>
      </c>
      <c r="W283" s="90">
        <f t="shared" ca="1" si="332"/>
        <v>0</v>
      </c>
      <c r="X283" s="90">
        <f t="shared" ca="1" si="332"/>
        <v>0</v>
      </c>
      <c r="Y283" s="90">
        <f t="shared" ca="1" si="332"/>
        <v>0</v>
      </c>
      <c r="Z283" s="90">
        <f t="shared" ca="1" si="332"/>
        <v>0</v>
      </c>
      <c r="AA283" s="90">
        <f t="shared" ca="1" si="332"/>
        <v>0</v>
      </c>
      <c r="AB283" s="90">
        <f t="shared" ca="1" si="332"/>
        <v>0</v>
      </c>
      <c r="AC283" s="90">
        <f t="shared" ca="1" si="332"/>
        <v>0</v>
      </c>
    </row>
    <row r="284" spans="1:29">
      <c r="C284" s="74" t="s">
        <v>707</v>
      </c>
      <c r="G284" s="90"/>
      <c r="H284" s="94">
        <f>-H344+H527</f>
        <v>0</v>
      </c>
      <c r="I284" s="90">
        <f t="shared" ref="I284:R284" ca="1" si="333">I527+I523</f>
        <v>0</v>
      </c>
      <c r="J284" s="90">
        <f t="shared" ca="1" si="333"/>
        <v>0</v>
      </c>
      <c r="K284" s="90">
        <f t="shared" ca="1" si="333"/>
        <v>0</v>
      </c>
      <c r="L284" s="90">
        <f t="shared" ca="1" si="333"/>
        <v>0</v>
      </c>
      <c r="M284" s="90">
        <f t="shared" ca="1" si="333"/>
        <v>0</v>
      </c>
      <c r="N284" s="90">
        <f t="shared" ca="1" si="333"/>
        <v>0</v>
      </c>
      <c r="O284" s="90">
        <f t="shared" ca="1" si="333"/>
        <v>0</v>
      </c>
      <c r="P284" s="90">
        <f t="shared" ca="1" si="333"/>
        <v>0</v>
      </c>
      <c r="Q284" s="90">
        <f t="shared" ca="1" si="333"/>
        <v>0</v>
      </c>
      <c r="R284" s="90">
        <f t="shared" ca="1" si="333"/>
        <v>0</v>
      </c>
      <c r="S284" s="90">
        <f t="shared" ref="S284:AC284" ca="1" si="334">S527+S523</f>
        <v>0</v>
      </c>
      <c r="T284" s="90">
        <f t="shared" ca="1" si="334"/>
        <v>0</v>
      </c>
      <c r="U284" s="90">
        <f t="shared" ca="1" si="334"/>
        <v>0</v>
      </c>
      <c r="V284" s="90">
        <f t="shared" ca="1" si="334"/>
        <v>0</v>
      </c>
      <c r="W284" s="90">
        <f t="shared" ca="1" si="334"/>
        <v>0</v>
      </c>
      <c r="X284" s="90">
        <f t="shared" ca="1" si="334"/>
        <v>0</v>
      </c>
      <c r="Y284" s="90">
        <f t="shared" ca="1" si="334"/>
        <v>0</v>
      </c>
      <c r="Z284" s="90">
        <f t="shared" ca="1" si="334"/>
        <v>0</v>
      </c>
      <c r="AA284" s="90">
        <f t="shared" ca="1" si="334"/>
        <v>0</v>
      </c>
      <c r="AB284" s="90">
        <f t="shared" ca="1" si="334"/>
        <v>0</v>
      </c>
      <c r="AC284" s="90">
        <f t="shared" ca="1" si="334"/>
        <v>0</v>
      </c>
    </row>
    <row r="285" spans="1:29">
      <c r="C285" s="74" t="s">
        <v>708</v>
      </c>
      <c r="H285" s="95">
        <f t="shared" ref="H285:AC285" si="335">H522</f>
        <v>0</v>
      </c>
      <c r="I285" s="5">
        <f t="shared" si="335"/>
        <v>0</v>
      </c>
      <c r="J285" s="5">
        <f t="shared" si="335"/>
        <v>0</v>
      </c>
      <c r="K285" s="5">
        <f t="shared" si="335"/>
        <v>0</v>
      </c>
      <c r="L285" s="5">
        <f t="shared" si="335"/>
        <v>0</v>
      </c>
      <c r="M285" s="5">
        <f t="shared" si="335"/>
        <v>0</v>
      </c>
      <c r="N285" s="5">
        <f t="shared" si="335"/>
        <v>0</v>
      </c>
      <c r="O285" s="5">
        <f t="shared" si="335"/>
        <v>0</v>
      </c>
      <c r="P285" s="5">
        <f t="shared" si="335"/>
        <v>0</v>
      </c>
      <c r="Q285" s="5">
        <f t="shared" si="335"/>
        <v>0</v>
      </c>
      <c r="R285" s="5">
        <f t="shared" si="335"/>
        <v>0</v>
      </c>
      <c r="S285" s="5">
        <f t="shared" si="335"/>
        <v>0</v>
      </c>
      <c r="T285" s="5">
        <f t="shared" si="335"/>
        <v>0</v>
      </c>
      <c r="U285" s="5">
        <f t="shared" si="335"/>
        <v>0</v>
      </c>
      <c r="V285" s="5">
        <f t="shared" si="335"/>
        <v>0</v>
      </c>
      <c r="W285" s="5">
        <f t="shared" si="335"/>
        <v>0</v>
      </c>
      <c r="X285" s="5">
        <f t="shared" si="335"/>
        <v>0</v>
      </c>
      <c r="Y285" s="5">
        <f t="shared" si="335"/>
        <v>0</v>
      </c>
      <c r="Z285" s="5">
        <f t="shared" si="335"/>
        <v>0</v>
      </c>
      <c r="AA285" s="5">
        <f t="shared" si="335"/>
        <v>0</v>
      </c>
      <c r="AB285" s="5">
        <f t="shared" si="335"/>
        <v>0</v>
      </c>
      <c r="AC285" s="5">
        <f t="shared" si="335"/>
        <v>0</v>
      </c>
    </row>
    <row r="286" spans="1:29">
      <c r="C286" s="74" t="s">
        <v>709</v>
      </c>
      <c r="F286" s="90"/>
      <c r="G286" s="90"/>
      <c r="H286" s="96">
        <f t="shared" ref="H286:Q286" si="336">H283-H284-H285</f>
        <v>0</v>
      </c>
      <c r="I286" s="92">
        <f t="shared" ca="1" si="336"/>
        <v>0</v>
      </c>
      <c r="J286" s="92">
        <f t="shared" ca="1" si="336"/>
        <v>0</v>
      </c>
      <c r="K286" s="92">
        <f t="shared" ca="1" si="336"/>
        <v>0</v>
      </c>
      <c r="L286" s="92">
        <f t="shared" ca="1" si="336"/>
        <v>0</v>
      </c>
      <c r="M286" s="92">
        <f t="shared" ca="1" si="336"/>
        <v>0</v>
      </c>
      <c r="N286" s="92">
        <f t="shared" ca="1" si="336"/>
        <v>0</v>
      </c>
      <c r="O286" s="92">
        <f t="shared" ca="1" si="336"/>
        <v>0</v>
      </c>
      <c r="P286" s="92">
        <f t="shared" ca="1" si="336"/>
        <v>0</v>
      </c>
      <c r="Q286" s="92">
        <f t="shared" ca="1" si="336"/>
        <v>0</v>
      </c>
      <c r="R286" s="92">
        <f t="shared" ref="R286:AC286" ca="1" si="337">R283-R284-R285</f>
        <v>0</v>
      </c>
      <c r="S286" s="92">
        <f t="shared" ca="1" si="337"/>
        <v>0</v>
      </c>
      <c r="T286" s="92">
        <f t="shared" ca="1" si="337"/>
        <v>0</v>
      </c>
      <c r="U286" s="92">
        <f t="shared" ca="1" si="337"/>
        <v>0</v>
      </c>
      <c r="V286" s="92">
        <f t="shared" ca="1" si="337"/>
        <v>0</v>
      </c>
      <c r="W286" s="92">
        <f t="shared" ca="1" si="337"/>
        <v>0</v>
      </c>
      <c r="X286" s="92">
        <f t="shared" ca="1" si="337"/>
        <v>0</v>
      </c>
      <c r="Y286" s="92">
        <f t="shared" ca="1" si="337"/>
        <v>0</v>
      </c>
      <c r="Z286" s="92">
        <f t="shared" ca="1" si="337"/>
        <v>0</v>
      </c>
      <c r="AA286" s="92">
        <f t="shared" ca="1" si="337"/>
        <v>0</v>
      </c>
      <c r="AB286" s="92">
        <f t="shared" ca="1" si="337"/>
        <v>0</v>
      </c>
      <c r="AC286" s="92">
        <f t="shared" ca="1" si="337"/>
        <v>0</v>
      </c>
    </row>
    <row r="287" spans="1:29">
      <c r="C287" s="74" t="s">
        <v>710</v>
      </c>
      <c r="H287" s="95"/>
      <c r="I287" s="55">
        <f t="shared" ref="I287:AC287" si="338">I569</f>
        <v>0</v>
      </c>
      <c r="J287" s="55">
        <f t="shared" si="338"/>
        <v>0</v>
      </c>
      <c r="K287" s="55">
        <f t="shared" si="338"/>
        <v>0</v>
      </c>
      <c r="L287" s="55">
        <f t="shared" si="338"/>
        <v>0</v>
      </c>
      <c r="M287" s="55">
        <f t="shared" si="338"/>
        <v>0</v>
      </c>
      <c r="N287" s="55">
        <f t="shared" si="338"/>
        <v>0</v>
      </c>
      <c r="O287" s="55">
        <f t="shared" si="338"/>
        <v>0</v>
      </c>
      <c r="P287" s="55">
        <f t="shared" si="338"/>
        <v>0</v>
      </c>
      <c r="Q287" s="55">
        <f t="shared" si="338"/>
        <v>0</v>
      </c>
      <c r="R287" s="55">
        <f t="shared" si="338"/>
        <v>0</v>
      </c>
      <c r="S287" s="55">
        <f t="shared" si="338"/>
        <v>0</v>
      </c>
      <c r="T287" s="55">
        <f t="shared" si="338"/>
        <v>0</v>
      </c>
      <c r="U287" s="55">
        <f t="shared" si="338"/>
        <v>0</v>
      </c>
      <c r="V287" s="55">
        <f t="shared" si="338"/>
        <v>0</v>
      </c>
      <c r="W287" s="55">
        <f t="shared" si="338"/>
        <v>0</v>
      </c>
      <c r="X287" s="55">
        <f t="shared" si="338"/>
        <v>0</v>
      </c>
      <c r="Y287" s="55">
        <f t="shared" si="338"/>
        <v>0</v>
      </c>
      <c r="Z287" s="55">
        <f t="shared" si="338"/>
        <v>0</v>
      </c>
      <c r="AA287" s="55">
        <f t="shared" si="338"/>
        <v>0</v>
      </c>
      <c r="AB287" s="55">
        <f t="shared" si="338"/>
        <v>0</v>
      </c>
      <c r="AC287" s="55">
        <f t="shared" si="338"/>
        <v>0</v>
      </c>
    </row>
    <row r="288" spans="1:29">
      <c r="H288" s="95"/>
    </row>
    <row r="289" spans="1:29">
      <c r="A289" s="77" t="str">
        <f>B345&amp;":"</f>
        <v>Preferred Stock:</v>
      </c>
      <c r="C289" s="74" t="s">
        <v>706</v>
      </c>
      <c r="F289" s="90"/>
      <c r="G289" s="90"/>
      <c r="H289" s="94">
        <v>0</v>
      </c>
      <c r="I289" s="90">
        <f t="shared" ref="I289:AC289" si="339">H292</f>
        <v>0</v>
      </c>
      <c r="J289" s="90">
        <f t="shared" ca="1" si="339"/>
        <v>0</v>
      </c>
      <c r="K289" s="90">
        <f t="shared" ca="1" si="339"/>
        <v>0</v>
      </c>
      <c r="L289" s="90">
        <f t="shared" ca="1" si="339"/>
        <v>0</v>
      </c>
      <c r="M289" s="90">
        <f t="shared" ca="1" si="339"/>
        <v>0</v>
      </c>
      <c r="N289" s="90">
        <f t="shared" ca="1" si="339"/>
        <v>0</v>
      </c>
      <c r="O289" s="90">
        <f t="shared" ca="1" si="339"/>
        <v>0</v>
      </c>
      <c r="P289" s="90">
        <f t="shared" ca="1" si="339"/>
        <v>0</v>
      </c>
      <c r="Q289" s="90">
        <f t="shared" ca="1" si="339"/>
        <v>0</v>
      </c>
      <c r="R289" s="90">
        <f t="shared" ca="1" si="339"/>
        <v>0</v>
      </c>
      <c r="S289" s="90">
        <f t="shared" ca="1" si="339"/>
        <v>0</v>
      </c>
      <c r="T289" s="90">
        <f t="shared" ca="1" si="339"/>
        <v>0</v>
      </c>
      <c r="U289" s="90">
        <f t="shared" ca="1" si="339"/>
        <v>0</v>
      </c>
      <c r="V289" s="90">
        <f t="shared" ca="1" si="339"/>
        <v>0</v>
      </c>
      <c r="W289" s="90">
        <f t="shared" ca="1" si="339"/>
        <v>0</v>
      </c>
      <c r="X289" s="90">
        <f t="shared" ca="1" si="339"/>
        <v>0</v>
      </c>
      <c r="Y289" s="90">
        <f t="shared" ca="1" si="339"/>
        <v>0</v>
      </c>
      <c r="Z289" s="90">
        <f t="shared" ca="1" si="339"/>
        <v>0</v>
      </c>
      <c r="AA289" s="90">
        <f t="shared" ca="1" si="339"/>
        <v>0</v>
      </c>
      <c r="AB289" s="90">
        <f t="shared" ca="1" si="339"/>
        <v>0</v>
      </c>
      <c r="AC289" s="90">
        <f t="shared" ca="1" si="339"/>
        <v>0</v>
      </c>
    </row>
    <row r="290" spans="1:29">
      <c r="C290" s="74" t="s">
        <v>707</v>
      </c>
      <c r="F290" s="90"/>
      <c r="G290" s="90"/>
      <c r="H290" s="94">
        <f>-H533-H345</f>
        <v>0</v>
      </c>
      <c r="I290" s="90">
        <f t="shared" ref="I290:R290" ca="1" si="340">I530-I533</f>
        <v>0</v>
      </c>
      <c r="J290" s="90">
        <f t="shared" ca="1" si="340"/>
        <v>0</v>
      </c>
      <c r="K290" s="90">
        <f t="shared" ca="1" si="340"/>
        <v>0</v>
      </c>
      <c r="L290" s="90">
        <f t="shared" ca="1" si="340"/>
        <v>0</v>
      </c>
      <c r="M290" s="90">
        <f t="shared" ca="1" si="340"/>
        <v>0</v>
      </c>
      <c r="N290" s="90">
        <f t="shared" ca="1" si="340"/>
        <v>0</v>
      </c>
      <c r="O290" s="90">
        <f t="shared" ca="1" si="340"/>
        <v>0</v>
      </c>
      <c r="P290" s="90">
        <f t="shared" ca="1" si="340"/>
        <v>0</v>
      </c>
      <c r="Q290" s="90">
        <f t="shared" ca="1" si="340"/>
        <v>0</v>
      </c>
      <c r="R290" s="90">
        <f t="shared" ca="1" si="340"/>
        <v>0</v>
      </c>
      <c r="S290" s="90">
        <f t="shared" ref="S290:AC290" ca="1" si="341">S530-S533</f>
        <v>0</v>
      </c>
      <c r="T290" s="90">
        <f t="shared" ca="1" si="341"/>
        <v>0</v>
      </c>
      <c r="U290" s="90">
        <f t="shared" ca="1" si="341"/>
        <v>0</v>
      </c>
      <c r="V290" s="90">
        <f t="shared" ca="1" si="341"/>
        <v>0</v>
      </c>
      <c r="W290" s="90">
        <f t="shared" ca="1" si="341"/>
        <v>0</v>
      </c>
      <c r="X290" s="90">
        <f t="shared" ca="1" si="341"/>
        <v>0</v>
      </c>
      <c r="Y290" s="90">
        <f t="shared" ca="1" si="341"/>
        <v>0</v>
      </c>
      <c r="Z290" s="90">
        <f t="shared" ca="1" si="341"/>
        <v>0</v>
      </c>
      <c r="AA290" s="90">
        <f t="shared" ca="1" si="341"/>
        <v>0</v>
      </c>
      <c r="AB290" s="90">
        <f t="shared" ca="1" si="341"/>
        <v>0</v>
      </c>
      <c r="AC290" s="90">
        <f t="shared" ca="1" si="341"/>
        <v>0</v>
      </c>
    </row>
    <row r="291" spans="1:29">
      <c r="C291" s="74" t="s">
        <v>708</v>
      </c>
      <c r="G291" s="90"/>
      <c r="H291" s="94">
        <v>0</v>
      </c>
      <c r="I291" s="90">
        <f t="shared" ref="I291:AC291" si="342">I529</f>
        <v>0</v>
      </c>
      <c r="J291" s="90">
        <f t="shared" si="342"/>
        <v>0</v>
      </c>
      <c r="K291" s="90">
        <f t="shared" si="342"/>
        <v>0</v>
      </c>
      <c r="L291" s="90">
        <f t="shared" si="342"/>
        <v>0</v>
      </c>
      <c r="M291" s="90">
        <f t="shared" si="342"/>
        <v>0</v>
      </c>
      <c r="N291" s="90">
        <f t="shared" si="342"/>
        <v>0</v>
      </c>
      <c r="O291" s="90">
        <f t="shared" si="342"/>
        <v>0</v>
      </c>
      <c r="P291" s="90">
        <f t="shared" si="342"/>
        <v>0</v>
      </c>
      <c r="Q291" s="90">
        <f t="shared" si="342"/>
        <v>0</v>
      </c>
      <c r="R291" s="90">
        <f t="shared" si="342"/>
        <v>0</v>
      </c>
      <c r="S291" s="90">
        <f t="shared" si="342"/>
        <v>0</v>
      </c>
      <c r="T291" s="90">
        <f t="shared" si="342"/>
        <v>0</v>
      </c>
      <c r="U291" s="90">
        <f t="shared" si="342"/>
        <v>0</v>
      </c>
      <c r="V291" s="90">
        <f t="shared" si="342"/>
        <v>0</v>
      </c>
      <c r="W291" s="90">
        <f t="shared" si="342"/>
        <v>0</v>
      </c>
      <c r="X291" s="90">
        <f t="shared" si="342"/>
        <v>0</v>
      </c>
      <c r="Y291" s="90">
        <f t="shared" si="342"/>
        <v>0</v>
      </c>
      <c r="Z291" s="90">
        <f t="shared" si="342"/>
        <v>0</v>
      </c>
      <c r="AA291" s="90">
        <f t="shared" si="342"/>
        <v>0</v>
      </c>
      <c r="AB291" s="90">
        <f t="shared" si="342"/>
        <v>0</v>
      </c>
      <c r="AC291" s="90">
        <f t="shared" si="342"/>
        <v>0</v>
      </c>
    </row>
    <row r="292" spans="1:29">
      <c r="C292" s="74" t="s">
        <v>709</v>
      </c>
      <c r="G292" s="90"/>
      <c r="H292" s="96">
        <f t="shared" ref="H292:Q292" si="343">H289-H290-H291</f>
        <v>0</v>
      </c>
      <c r="I292" s="92">
        <f t="shared" ca="1" si="343"/>
        <v>0</v>
      </c>
      <c r="J292" s="92">
        <f t="shared" ca="1" si="343"/>
        <v>0</v>
      </c>
      <c r="K292" s="92">
        <f t="shared" ca="1" si="343"/>
        <v>0</v>
      </c>
      <c r="L292" s="92">
        <f t="shared" ca="1" si="343"/>
        <v>0</v>
      </c>
      <c r="M292" s="92">
        <f t="shared" ca="1" si="343"/>
        <v>0</v>
      </c>
      <c r="N292" s="92">
        <f t="shared" ca="1" si="343"/>
        <v>0</v>
      </c>
      <c r="O292" s="92">
        <f t="shared" ca="1" si="343"/>
        <v>0</v>
      </c>
      <c r="P292" s="92">
        <f t="shared" ca="1" si="343"/>
        <v>0</v>
      </c>
      <c r="Q292" s="92">
        <f t="shared" ca="1" si="343"/>
        <v>0</v>
      </c>
      <c r="R292" s="92">
        <f t="shared" ref="R292:AC292" ca="1" si="344">R289-R290-R291</f>
        <v>0</v>
      </c>
      <c r="S292" s="92">
        <f t="shared" ca="1" si="344"/>
        <v>0</v>
      </c>
      <c r="T292" s="92">
        <f t="shared" ca="1" si="344"/>
        <v>0</v>
      </c>
      <c r="U292" s="92">
        <f t="shared" ca="1" si="344"/>
        <v>0</v>
      </c>
      <c r="V292" s="92">
        <f t="shared" ca="1" si="344"/>
        <v>0</v>
      </c>
      <c r="W292" s="92">
        <f t="shared" ca="1" si="344"/>
        <v>0</v>
      </c>
      <c r="X292" s="92">
        <f t="shared" ca="1" si="344"/>
        <v>0</v>
      </c>
      <c r="Y292" s="92">
        <f t="shared" ca="1" si="344"/>
        <v>0</v>
      </c>
      <c r="Z292" s="92">
        <f t="shared" ca="1" si="344"/>
        <v>0</v>
      </c>
      <c r="AA292" s="92">
        <f t="shared" ca="1" si="344"/>
        <v>0</v>
      </c>
      <c r="AB292" s="92">
        <f t="shared" ca="1" si="344"/>
        <v>0</v>
      </c>
      <c r="AC292" s="92">
        <f t="shared" ca="1" si="344"/>
        <v>0</v>
      </c>
    </row>
    <row r="293" spans="1:29">
      <c r="C293" s="74" t="s">
        <v>720</v>
      </c>
      <c r="H293" s="95"/>
      <c r="I293" s="55">
        <f t="shared" ref="I293:AC293" si="345">I570</f>
        <v>0.06</v>
      </c>
      <c r="J293" s="55">
        <f t="shared" si="345"/>
        <v>0.06</v>
      </c>
      <c r="K293" s="55">
        <f t="shared" si="345"/>
        <v>0.06</v>
      </c>
      <c r="L293" s="55">
        <f t="shared" si="345"/>
        <v>0.06</v>
      </c>
      <c r="M293" s="55">
        <f t="shared" si="345"/>
        <v>0.06</v>
      </c>
      <c r="N293" s="55">
        <f t="shared" si="345"/>
        <v>0.06</v>
      </c>
      <c r="O293" s="55">
        <f t="shared" si="345"/>
        <v>0.06</v>
      </c>
      <c r="P293" s="55">
        <f t="shared" si="345"/>
        <v>0.06</v>
      </c>
      <c r="Q293" s="55">
        <f t="shared" si="345"/>
        <v>0.06</v>
      </c>
      <c r="R293" s="55">
        <f t="shared" si="345"/>
        <v>0.06</v>
      </c>
      <c r="S293" s="55">
        <f t="shared" si="345"/>
        <v>0.06</v>
      </c>
      <c r="T293" s="55">
        <f t="shared" si="345"/>
        <v>0.06</v>
      </c>
      <c r="U293" s="55">
        <f t="shared" si="345"/>
        <v>0.06</v>
      </c>
      <c r="V293" s="55">
        <f t="shared" si="345"/>
        <v>0.06</v>
      </c>
      <c r="W293" s="55">
        <f t="shared" si="345"/>
        <v>0.06</v>
      </c>
      <c r="X293" s="55">
        <f t="shared" si="345"/>
        <v>0.06</v>
      </c>
      <c r="Y293" s="55">
        <f t="shared" si="345"/>
        <v>0.06</v>
      </c>
      <c r="Z293" s="55">
        <f t="shared" si="345"/>
        <v>0.06</v>
      </c>
      <c r="AA293" s="55">
        <f t="shared" si="345"/>
        <v>0.06</v>
      </c>
      <c r="AB293" s="55">
        <f t="shared" si="345"/>
        <v>0.06</v>
      </c>
      <c r="AC293" s="55">
        <f t="shared" si="345"/>
        <v>0.06</v>
      </c>
    </row>
    <row r="294" spans="1:29">
      <c r="H294" s="95"/>
    </row>
    <row r="295" spans="1:29">
      <c r="A295" s="77" t="str">
        <f>A538</f>
        <v>Existing Sr Debt</v>
      </c>
      <c r="B295"/>
      <c r="C295" s="70" t="s">
        <v>721</v>
      </c>
      <c r="D295" s="74" t="s">
        <v>706</v>
      </c>
      <c r="E295" s="90"/>
      <c r="F295" s="90"/>
      <c r="G295" s="90"/>
      <c r="H295" s="94">
        <f>I412</f>
        <v>0</v>
      </c>
      <c r="I295" s="90">
        <f t="shared" ref="I295:AC295" si="346">H298</f>
        <v>0</v>
      </c>
      <c r="J295" s="90">
        <f t="shared" si="346"/>
        <v>0</v>
      </c>
      <c r="K295" s="90">
        <f t="shared" si="346"/>
        <v>0</v>
      </c>
      <c r="L295" s="90">
        <f t="shared" si="346"/>
        <v>0</v>
      </c>
      <c r="M295" s="90">
        <f t="shared" si="346"/>
        <v>0</v>
      </c>
      <c r="N295" s="90">
        <f t="shared" si="346"/>
        <v>0</v>
      </c>
      <c r="O295" s="90">
        <f t="shared" si="346"/>
        <v>0</v>
      </c>
      <c r="P295" s="90">
        <f t="shared" si="346"/>
        <v>0</v>
      </c>
      <c r="Q295" s="90">
        <f t="shared" si="346"/>
        <v>0</v>
      </c>
      <c r="R295" s="90">
        <f t="shared" si="346"/>
        <v>0</v>
      </c>
      <c r="S295" s="90">
        <f t="shared" si="346"/>
        <v>0</v>
      </c>
      <c r="T295" s="90">
        <f t="shared" si="346"/>
        <v>0</v>
      </c>
      <c r="U295" s="90">
        <f t="shared" si="346"/>
        <v>0</v>
      </c>
      <c r="V295" s="90">
        <f t="shared" si="346"/>
        <v>0</v>
      </c>
      <c r="W295" s="90">
        <f t="shared" si="346"/>
        <v>0</v>
      </c>
      <c r="X295" s="90">
        <f t="shared" si="346"/>
        <v>0</v>
      </c>
      <c r="Y295" s="90">
        <f t="shared" si="346"/>
        <v>0</v>
      </c>
      <c r="Z295" s="90">
        <f t="shared" si="346"/>
        <v>0</v>
      </c>
      <c r="AA295" s="90">
        <f t="shared" si="346"/>
        <v>0</v>
      </c>
      <c r="AB295" s="90">
        <f t="shared" si="346"/>
        <v>0</v>
      </c>
      <c r="AC295" s="90">
        <f t="shared" si="346"/>
        <v>0</v>
      </c>
    </row>
    <row r="296" spans="1:29">
      <c r="B296"/>
      <c r="D296" s="74" t="s">
        <v>707</v>
      </c>
      <c r="H296" s="95">
        <v>0</v>
      </c>
      <c r="I296" s="5">
        <f t="shared" ref="I296:AC296" si="347">I539</f>
        <v>0</v>
      </c>
      <c r="J296" s="5">
        <f t="shared" si="347"/>
        <v>0</v>
      </c>
      <c r="K296" s="5">
        <f t="shared" si="347"/>
        <v>0</v>
      </c>
      <c r="L296" s="5">
        <f t="shared" si="347"/>
        <v>0</v>
      </c>
      <c r="M296" s="5">
        <f t="shared" si="347"/>
        <v>0</v>
      </c>
      <c r="N296" s="5">
        <f t="shared" si="347"/>
        <v>0</v>
      </c>
      <c r="O296" s="5">
        <f t="shared" si="347"/>
        <v>0</v>
      </c>
      <c r="P296" s="5">
        <f t="shared" si="347"/>
        <v>0</v>
      </c>
      <c r="Q296" s="5">
        <f t="shared" si="347"/>
        <v>0</v>
      </c>
      <c r="R296" s="5">
        <f t="shared" si="347"/>
        <v>0</v>
      </c>
      <c r="S296" s="5">
        <f t="shared" si="347"/>
        <v>0</v>
      </c>
      <c r="T296" s="5">
        <f t="shared" si="347"/>
        <v>0</v>
      </c>
      <c r="U296" s="5">
        <f t="shared" si="347"/>
        <v>0</v>
      </c>
      <c r="V296" s="5">
        <f t="shared" si="347"/>
        <v>0</v>
      </c>
      <c r="W296" s="5">
        <f t="shared" si="347"/>
        <v>0</v>
      </c>
      <c r="X296" s="5">
        <f t="shared" si="347"/>
        <v>0</v>
      </c>
      <c r="Y296" s="5">
        <f t="shared" si="347"/>
        <v>0</v>
      </c>
      <c r="Z296" s="5">
        <f t="shared" si="347"/>
        <v>0</v>
      </c>
      <c r="AA296" s="5">
        <f t="shared" si="347"/>
        <v>0</v>
      </c>
      <c r="AB296" s="5">
        <f t="shared" si="347"/>
        <v>0</v>
      </c>
      <c r="AC296" s="5">
        <f t="shared" si="347"/>
        <v>0</v>
      </c>
    </row>
    <row r="297" spans="1:29">
      <c r="B297"/>
      <c r="D297" s="74" t="s">
        <v>708</v>
      </c>
      <c r="H297" s="94">
        <f>L412</f>
        <v>0</v>
      </c>
      <c r="I297" s="90">
        <f t="shared" ref="I297:AC297" si="348">I538</f>
        <v>0</v>
      </c>
      <c r="J297" s="90">
        <f t="shared" si="348"/>
        <v>0</v>
      </c>
      <c r="K297" s="90">
        <f t="shared" si="348"/>
        <v>0</v>
      </c>
      <c r="L297" s="90">
        <f t="shared" si="348"/>
        <v>0</v>
      </c>
      <c r="M297" s="90">
        <f t="shared" si="348"/>
        <v>0</v>
      </c>
      <c r="N297" s="90">
        <f t="shared" si="348"/>
        <v>0</v>
      </c>
      <c r="O297" s="90">
        <f t="shared" si="348"/>
        <v>0</v>
      </c>
      <c r="P297" s="90">
        <f t="shared" si="348"/>
        <v>0</v>
      </c>
      <c r="Q297" s="90">
        <f t="shared" si="348"/>
        <v>0</v>
      </c>
      <c r="R297" s="90">
        <f t="shared" si="348"/>
        <v>0</v>
      </c>
      <c r="S297" s="90">
        <f t="shared" si="348"/>
        <v>0</v>
      </c>
      <c r="T297" s="90">
        <f t="shared" si="348"/>
        <v>0</v>
      </c>
      <c r="U297" s="90">
        <f t="shared" si="348"/>
        <v>0</v>
      </c>
      <c r="V297" s="90">
        <f t="shared" si="348"/>
        <v>0</v>
      </c>
      <c r="W297" s="90">
        <f t="shared" si="348"/>
        <v>0</v>
      </c>
      <c r="X297" s="90">
        <f t="shared" si="348"/>
        <v>0</v>
      </c>
      <c r="Y297" s="90">
        <f t="shared" si="348"/>
        <v>0</v>
      </c>
      <c r="Z297" s="90">
        <f t="shared" si="348"/>
        <v>0</v>
      </c>
      <c r="AA297" s="90">
        <f t="shared" si="348"/>
        <v>0</v>
      </c>
      <c r="AB297" s="90">
        <f t="shared" si="348"/>
        <v>0</v>
      </c>
      <c r="AC297" s="90">
        <f t="shared" si="348"/>
        <v>0</v>
      </c>
    </row>
    <row r="298" spans="1:29">
      <c r="B298"/>
      <c r="D298" s="74" t="s">
        <v>709</v>
      </c>
      <c r="H298" s="96">
        <f t="shared" ref="H298:Q298" si="349">H295-H296-H297</f>
        <v>0</v>
      </c>
      <c r="I298" s="92">
        <f t="shared" si="349"/>
        <v>0</v>
      </c>
      <c r="J298" s="92">
        <f t="shared" si="349"/>
        <v>0</v>
      </c>
      <c r="K298" s="92">
        <f t="shared" si="349"/>
        <v>0</v>
      </c>
      <c r="L298" s="92">
        <f t="shared" si="349"/>
        <v>0</v>
      </c>
      <c r="M298" s="92">
        <f t="shared" si="349"/>
        <v>0</v>
      </c>
      <c r="N298" s="92">
        <f t="shared" si="349"/>
        <v>0</v>
      </c>
      <c r="O298" s="92">
        <f t="shared" si="349"/>
        <v>0</v>
      </c>
      <c r="P298" s="92">
        <f t="shared" si="349"/>
        <v>0</v>
      </c>
      <c r="Q298" s="92">
        <f t="shared" si="349"/>
        <v>0</v>
      </c>
      <c r="R298" s="92">
        <f t="shared" ref="R298:AC298" si="350">R295-R296-R297</f>
        <v>0</v>
      </c>
      <c r="S298" s="92">
        <f t="shared" si="350"/>
        <v>0</v>
      </c>
      <c r="T298" s="92">
        <f t="shared" si="350"/>
        <v>0</v>
      </c>
      <c r="U298" s="92">
        <f t="shared" si="350"/>
        <v>0</v>
      </c>
      <c r="V298" s="92">
        <f t="shared" si="350"/>
        <v>0</v>
      </c>
      <c r="W298" s="92">
        <f t="shared" si="350"/>
        <v>0</v>
      </c>
      <c r="X298" s="92">
        <f t="shared" si="350"/>
        <v>0</v>
      </c>
      <c r="Y298" s="92">
        <f t="shared" si="350"/>
        <v>0</v>
      </c>
      <c r="Z298" s="92">
        <f t="shared" si="350"/>
        <v>0</v>
      </c>
      <c r="AA298" s="92">
        <f t="shared" si="350"/>
        <v>0</v>
      </c>
      <c r="AB298" s="92">
        <f t="shared" si="350"/>
        <v>0</v>
      </c>
      <c r="AC298" s="92">
        <f t="shared" si="350"/>
        <v>0</v>
      </c>
    </row>
    <row r="299" spans="1:29">
      <c r="B299"/>
      <c r="D299" s="74" t="s">
        <v>710</v>
      </c>
      <c r="H299" s="95"/>
      <c r="I299" s="55">
        <f t="shared" ref="I299:AC299" si="351">I554</f>
        <v>0</v>
      </c>
      <c r="J299" s="55">
        <f t="shared" si="351"/>
        <v>0</v>
      </c>
      <c r="K299" s="55">
        <f t="shared" si="351"/>
        <v>0</v>
      </c>
      <c r="L299" s="55">
        <f t="shared" si="351"/>
        <v>0</v>
      </c>
      <c r="M299" s="55">
        <f t="shared" si="351"/>
        <v>0</v>
      </c>
      <c r="N299" s="55">
        <f t="shared" si="351"/>
        <v>0</v>
      </c>
      <c r="O299" s="55">
        <f t="shared" si="351"/>
        <v>0</v>
      </c>
      <c r="P299" s="55">
        <f t="shared" si="351"/>
        <v>0</v>
      </c>
      <c r="Q299" s="55">
        <f t="shared" si="351"/>
        <v>0</v>
      </c>
      <c r="R299" s="55">
        <f t="shared" si="351"/>
        <v>0</v>
      </c>
      <c r="S299" s="55">
        <f t="shared" si="351"/>
        <v>0</v>
      </c>
      <c r="T299" s="55">
        <f t="shared" si="351"/>
        <v>0</v>
      </c>
      <c r="U299" s="55">
        <f t="shared" si="351"/>
        <v>0</v>
      </c>
      <c r="V299" s="55">
        <f t="shared" si="351"/>
        <v>0</v>
      </c>
      <c r="W299" s="55">
        <f t="shared" si="351"/>
        <v>0</v>
      </c>
      <c r="X299" s="55">
        <f t="shared" si="351"/>
        <v>0</v>
      </c>
      <c r="Y299" s="55">
        <f t="shared" si="351"/>
        <v>0</v>
      </c>
      <c r="Z299" s="55">
        <f t="shared" si="351"/>
        <v>0</v>
      </c>
      <c r="AA299" s="55">
        <f t="shared" si="351"/>
        <v>0</v>
      </c>
      <c r="AB299" s="55">
        <f t="shared" si="351"/>
        <v>0</v>
      </c>
      <c r="AC299" s="55">
        <f t="shared" si="351"/>
        <v>0</v>
      </c>
    </row>
    <row r="300" spans="1:29">
      <c r="B300"/>
      <c r="H300" s="95"/>
    </row>
    <row r="301" spans="1:29">
      <c r="B301"/>
      <c r="C301" s="70" t="s">
        <v>722</v>
      </c>
      <c r="D301" s="74" t="s">
        <v>706</v>
      </c>
      <c r="G301" s="90"/>
      <c r="H301" s="94">
        <v>0</v>
      </c>
      <c r="I301" s="90">
        <f t="shared" ref="I301:AC301" si="352">H304</f>
        <v>0</v>
      </c>
      <c r="J301" s="90">
        <f t="shared" si="352"/>
        <v>0</v>
      </c>
      <c r="K301" s="90">
        <f t="shared" si="352"/>
        <v>0</v>
      </c>
      <c r="L301" s="90">
        <f t="shared" si="352"/>
        <v>0</v>
      </c>
      <c r="M301" s="90">
        <f t="shared" si="352"/>
        <v>0</v>
      </c>
      <c r="N301" s="90">
        <f t="shared" si="352"/>
        <v>0</v>
      </c>
      <c r="O301" s="90">
        <f t="shared" si="352"/>
        <v>0</v>
      </c>
      <c r="P301" s="90">
        <f t="shared" si="352"/>
        <v>0</v>
      </c>
      <c r="Q301" s="90">
        <f t="shared" si="352"/>
        <v>0</v>
      </c>
      <c r="R301" s="90">
        <f t="shared" si="352"/>
        <v>0</v>
      </c>
      <c r="S301" s="90">
        <f t="shared" si="352"/>
        <v>0</v>
      </c>
      <c r="T301" s="90">
        <f t="shared" si="352"/>
        <v>0</v>
      </c>
      <c r="U301" s="90">
        <f t="shared" si="352"/>
        <v>0</v>
      </c>
      <c r="V301" s="90">
        <f t="shared" si="352"/>
        <v>0</v>
      </c>
      <c r="W301" s="90">
        <f t="shared" si="352"/>
        <v>0</v>
      </c>
      <c r="X301" s="90">
        <f t="shared" si="352"/>
        <v>0</v>
      </c>
      <c r="Y301" s="90">
        <f t="shared" si="352"/>
        <v>0</v>
      </c>
      <c r="Z301" s="90">
        <f t="shared" si="352"/>
        <v>0</v>
      </c>
      <c r="AA301" s="90">
        <f t="shared" si="352"/>
        <v>0</v>
      </c>
      <c r="AB301" s="90">
        <f t="shared" si="352"/>
        <v>0</v>
      </c>
      <c r="AC301" s="90">
        <f t="shared" si="352"/>
        <v>0</v>
      </c>
    </row>
    <row r="302" spans="1:29">
      <c r="B302"/>
      <c r="D302" s="74" t="s">
        <v>707</v>
      </c>
      <c r="H302" s="94">
        <v>0</v>
      </c>
      <c r="I302" s="90">
        <f t="shared" ref="I302:AC302" si="353">I541</f>
        <v>0</v>
      </c>
      <c r="J302" s="90">
        <f t="shared" si="353"/>
        <v>0</v>
      </c>
      <c r="K302" s="90">
        <f t="shared" si="353"/>
        <v>0</v>
      </c>
      <c r="L302" s="90">
        <f t="shared" si="353"/>
        <v>0</v>
      </c>
      <c r="M302" s="90">
        <f t="shared" si="353"/>
        <v>0</v>
      </c>
      <c r="N302" s="90">
        <f t="shared" si="353"/>
        <v>0</v>
      </c>
      <c r="O302" s="90">
        <f t="shared" si="353"/>
        <v>0</v>
      </c>
      <c r="P302" s="90">
        <f t="shared" si="353"/>
        <v>0</v>
      </c>
      <c r="Q302" s="90">
        <f t="shared" si="353"/>
        <v>0</v>
      </c>
      <c r="R302" s="90">
        <f t="shared" si="353"/>
        <v>0</v>
      </c>
      <c r="S302" s="90">
        <f t="shared" si="353"/>
        <v>0</v>
      </c>
      <c r="T302" s="90">
        <f t="shared" si="353"/>
        <v>0</v>
      </c>
      <c r="U302" s="90">
        <f t="shared" si="353"/>
        <v>0</v>
      </c>
      <c r="V302" s="90">
        <f t="shared" si="353"/>
        <v>0</v>
      </c>
      <c r="W302" s="90">
        <f t="shared" si="353"/>
        <v>0</v>
      </c>
      <c r="X302" s="90">
        <f t="shared" si="353"/>
        <v>0</v>
      </c>
      <c r="Y302" s="90">
        <f t="shared" si="353"/>
        <v>0</v>
      </c>
      <c r="Z302" s="90">
        <f t="shared" si="353"/>
        <v>0</v>
      </c>
      <c r="AA302" s="90">
        <f t="shared" si="353"/>
        <v>0</v>
      </c>
      <c r="AB302" s="90">
        <f t="shared" si="353"/>
        <v>0</v>
      </c>
      <c r="AC302" s="90">
        <f t="shared" si="353"/>
        <v>0</v>
      </c>
    </row>
    <row r="303" spans="1:29">
      <c r="B303"/>
      <c r="D303" s="74" t="s">
        <v>708</v>
      </c>
      <c r="G303" s="90"/>
      <c r="H303" s="94">
        <f>H358-H297</f>
        <v>0</v>
      </c>
      <c r="I303" s="90">
        <f t="shared" ref="I303:AC303" si="354">I540</f>
        <v>0</v>
      </c>
      <c r="J303" s="90">
        <f t="shared" si="354"/>
        <v>0</v>
      </c>
      <c r="K303" s="90">
        <f t="shared" si="354"/>
        <v>0</v>
      </c>
      <c r="L303" s="90">
        <f t="shared" si="354"/>
        <v>0</v>
      </c>
      <c r="M303" s="90">
        <f t="shared" si="354"/>
        <v>0</v>
      </c>
      <c r="N303" s="90">
        <f t="shared" si="354"/>
        <v>0</v>
      </c>
      <c r="O303" s="90">
        <f t="shared" si="354"/>
        <v>0</v>
      </c>
      <c r="P303" s="90">
        <f t="shared" si="354"/>
        <v>0</v>
      </c>
      <c r="Q303" s="90">
        <f t="shared" si="354"/>
        <v>0</v>
      </c>
      <c r="R303" s="90">
        <f t="shared" si="354"/>
        <v>0</v>
      </c>
      <c r="S303" s="90">
        <f t="shared" si="354"/>
        <v>0</v>
      </c>
      <c r="T303" s="90">
        <f t="shared" si="354"/>
        <v>0</v>
      </c>
      <c r="U303" s="90">
        <f t="shared" si="354"/>
        <v>0</v>
      </c>
      <c r="V303" s="90">
        <f t="shared" si="354"/>
        <v>0</v>
      </c>
      <c r="W303" s="90">
        <f t="shared" si="354"/>
        <v>0</v>
      </c>
      <c r="X303" s="90">
        <f t="shared" si="354"/>
        <v>0</v>
      </c>
      <c r="Y303" s="90">
        <f t="shared" si="354"/>
        <v>0</v>
      </c>
      <c r="Z303" s="90">
        <f t="shared" si="354"/>
        <v>0</v>
      </c>
      <c r="AA303" s="90">
        <f t="shared" si="354"/>
        <v>0</v>
      </c>
      <c r="AB303" s="90">
        <f t="shared" si="354"/>
        <v>0</v>
      </c>
      <c r="AC303" s="90">
        <f t="shared" si="354"/>
        <v>0</v>
      </c>
    </row>
    <row r="304" spans="1:29">
      <c r="B304"/>
      <c r="D304" s="74" t="s">
        <v>709</v>
      </c>
      <c r="G304" s="90"/>
      <c r="H304" s="96">
        <f t="shared" ref="H304:Q304" si="355">H301-H302-H303</f>
        <v>0</v>
      </c>
      <c r="I304" s="92">
        <f t="shared" si="355"/>
        <v>0</v>
      </c>
      <c r="J304" s="92">
        <f t="shared" si="355"/>
        <v>0</v>
      </c>
      <c r="K304" s="92">
        <f t="shared" si="355"/>
        <v>0</v>
      </c>
      <c r="L304" s="92">
        <f t="shared" si="355"/>
        <v>0</v>
      </c>
      <c r="M304" s="92">
        <f t="shared" si="355"/>
        <v>0</v>
      </c>
      <c r="N304" s="92">
        <f t="shared" si="355"/>
        <v>0</v>
      </c>
      <c r="O304" s="92">
        <f t="shared" si="355"/>
        <v>0</v>
      </c>
      <c r="P304" s="92">
        <f t="shared" si="355"/>
        <v>0</v>
      </c>
      <c r="Q304" s="92">
        <f t="shared" si="355"/>
        <v>0</v>
      </c>
      <c r="R304" s="92">
        <f t="shared" ref="R304:AC304" si="356">R301-R302-R303</f>
        <v>0</v>
      </c>
      <c r="S304" s="92">
        <f t="shared" si="356"/>
        <v>0</v>
      </c>
      <c r="T304" s="92">
        <f t="shared" si="356"/>
        <v>0</v>
      </c>
      <c r="U304" s="92">
        <f t="shared" si="356"/>
        <v>0</v>
      </c>
      <c r="V304" s="92">
        <f t="shared" si="356"/>
        <v>0</v>
      </c>
      <c r="W304" s="92">
        <f t="shared" si="356"/>
        <v>0</v>
      </c>
      <c r="X304" s="92">
        <f t="shared" si="356"/>
        <v>0</v>
      </c>
      <c r="Y304" s="92">
        <f t="shared" si="356"/>
        <v>0</v>
      </c>
      <c r="Z304" s="92">
        <f t="shared" si="356"/>
        <v>0</v>
      </c>
      <c r="AA304" s="92">
        <f t="shared" si="356"/>
        <v>0</v>
      </c>
      <c r="AB304" s="92">
        <f t="shared" si="356"/>
        <v>0</v>
      </c>
      <c r="AC304" s="92">
        <f t="shared" si="356"/>
        <v>0</v>
      </c>
    </row>
    <row r="305" spans="1:29">
      <c r="B305"/>
      <c r="D305" s="74" t="s">
        <v>710</v>
      </c>
      <c r="H305" s="95"/>
      <c r="I305" s="55">
        <f t="shared" ref="I305:AC305" si="357">I554</f>
        <v>0</v>
      </c>
      <c r="J305" s="55">
        <f t="shared" si="357"/>
        <v>0</v>
      </c>
      <c r="K305" s="55">
        <f t="shared" si="357"/>
        <v>0</v>
      </c>
      <c r="L305" s="55">
        <f t="shared" si="357"/>
        <v>0</v>
      </c>
      <c r="M305" s="55">
        <f t="shared" si="357"/>
        <v>0</v>
      </c>
      <c r="N305" s="55">
        <f t="shared" si="357"/>
        <v>0</v>
      </c>
      <c r="O305" s="55">
        <f t="shared" si="357"/>
        <v>0</v>
      </c>
      <c r="P305" s="55">
        <f t="shared" si="357"/>
        <v>0</v>
      </c>
      <c r="Q305" s="55">
        <f t="shared" si="357"/>
        <v>0</v>
      </c>
      <c r="R305" s="55">
        <f t="shared" si="357"/>
        <v>0</v>
      </c>
      <c r="S305" s="55">
        <f t="shared" si="357"/>
        <v>0</v>
      </c>
      <c r="T305" s="55">
        <f t="shared" si="357"/>
        <v>0</v>
      </c>
      <c r="U305" s="55">
        <f t="shared" si="357"/>
        <v>0</v>
      </c>
      <c r="V305" s="55">
        <f t="shared" si="357"/>
        <v>0</v>
      </c>
      <c r="W305" s="55">
        <f t="shared" si="357"/>
        <v>0</v>
      </c>
      <c r="X305" s="55">
        <f t="shared" si="357"/>
        <v>0</v>
      </c>
      <c r="Y305" s="55">
        <f t="shared" si="357"/>
        <v>0</v>
      </c>
      <c r="Z305" s="55">
        <f t="shared" si="357"/>
        <v>0</v>
      </c>
      <c r="AA305" s="55">
        <f t="shared" si="357"/>
        <v>0</v>
      </c>
      <c r="AB305" s="55">
        <f t="shared" si="357"/>
        <v>0</v>
      </c>
      <c r="AC305" s="55">
        <f t="shared" si="357"/>
        <v>0</v>
      </c>
    </row>
    <row r="306" spans="1:29">
      <c r="G306" s="90"/>
      <c r="H306" s="94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</row>
    <row r="307" spans="1:29">
      <c r="A307" s="77" t="str">
        <f>A543</f>
        <v>Gas Balancing</v>
      </c>
      <c r="C307" s="74" t="s">
        <v>706</v>
      </c>
      <c r="H307" s="95">
        <f>I416</f>
        <v>0</v>
      </c>
      <c r="I307" s="5">
        <f t="shared" ref="I307:AC307" si="358">H310</f>
        <v>0</v>
      </c>
      <c r="J307" s="5">
        <f t="shared" si="358"/>
        <v>0</v>
      </c>
      <c r="K307" s="5">
        <f t="shared" si="358"/>
        <v>0</v>
      </c>
      <c r="L307" s="5">
        <f t="shared" si="358"/>
        <v>0</v>
      </c>
      <c r="M307" s="5">
        <f t="shared" si="358"/>
        <v>0</v>
      </c>
      <c r="N307" s="5">
        <f t="shared" si="358"/>
        <v>0</v>
      </c>
      <c r="O307" s="5">
        <f t="shared" si="358"/>
        <v>0</v>
      </c>
      <c r="P307" s="5">
        <f t="shared" si="358"/>
        <v>0</v>
      </c>
      <c r="Q307" s="5">
        <f t="shared" si="358"/>
        <v>0</v>
      </c>
      <c r="R307" s="5">
        <f t="shared" si="358"/>
        <v>0</v>
      </c>
      <c r="S307" s="5">
        <f t="shared" si="358"/>
        <v>0</v>
      </c>
      <c r="T307" s="5">
        <f t="shared" si="358"/>
        <v>0</v>
      </c>
      <c r="U307" s="5">
        <f t="shared" si="358"/>
        <v>0</v>
      </c>
      <c r="V307" s="5">
        <f t="shared" si="358"/>
        <v>0</v>
      </c>
      <c r="W307" s="5">
        <f t="shared" si="358"/>
        <v>0</v>
      </c>
      <c r="X307" s="5">
        <f t="shared" si="358"/>
        <v>0</v>
      </c>
      <c r="Y307" s="5">
        <f t="shared" si="358"/>
        <v>0</v>
      </c>
      <c r="Z307" s="5">
        <f t="shared" si="358"/>
        <v>0</v>
      </c>
      <c r="AA307" s="5">
        <f t="shared" si="358"/>
        <v>0</v>
      </c>
      <c r="AB307" s="5">
        <f t="shared" si="358"/>
        <v>0</v>
      </c>
      <c r="AC307" s="5">
        <f t="shared" si="358"/>
        <v>0</v>
      </c>
    </row>
    <row r="308" spans="1:29">
      <c r="C308" s="74" t="s">
        <v>707</v>
      </c>
      <c r="H308" s="95">
        <v>0</v>
      </c>
      <c r="I308" s="5">
        <f t="shared" ref="I308:AC308" si="359">I544</f>
        <v>0</v>
      </c>
      <c r="J308" s="5">
        <f t="shared" si="359"/>
        <v>0</v>
      </c>
      <c r="K308" s="5">
        <f t="shared" si="359"/>
        <v>0</v>
      </c>
      <c r="L308" s="5">
        <f t="shared" si="359"/>
        <v>0</v>
      </c>
      <c r="M308" s="5">
        <f t="shared" si="359"/>
        <v>0</v>
      </c>
      <c r="N308" s="5">
        <f t="shared" si="359"/>
        <v>0</v>
      </c>
      <c r="O308" s="5">
        <f t="shared" si="359"/>
        <v>0</v>
      </c>
      <c r="P308" s="5">
        <f t="shared" si="359"/>
        <v>0</v>
      </c>
      <c r="Q308" s="5">
        <f t="shared" si="359"/>
        <v>0</v>
      </c>
      <c r="R308" s="5">
        <f t="shared" si="359"/>
        <v>0</v>
      </c>
      <c r="S308" s="5">
        <f t="shared" si="359"/>
        <v>0</v>
      </c>
      <c r="T308" s="5">
        <f t="shared" si="359"/>
        <v>0</v>
      </c>
      <c r="U308" s="5">
        <f t="shared" si="359"/>
        <v>0</v>
      </c>
      <c r="V308" s="5">
        <f t="shared" si="359"/>
        <v>0</v>
      </c>
      <c r="W308" s="5">
        <f t="shared" si="359"/>
        <v>0</v>
      </c>
      <c r="X308" s="5">
        <f t="shared" si="359"/>
        <v>0</v>
      </c>
      <c r="Y308" s="5">
        <f t="shared" si="359"/>
        <v>0</v>
      </c>
      <c r="Z308" s="5">
        <f t="shared" si="359"/>
        <v>0</v>
      </c>
      <c r="AA308" s="5">
        <f t="shared" si="359"/>
        <v>0</v>
      </c>
      <c r="AB308" s="5">
        <f t="shared" si="359"/>
        <v>0</v>
      </c>
      <c r="AC308" s="5">
        <f t="shared" si="359"/>
        <v>0</v>
      </c>
    </row>
    <row r="309" spans="1:29">
      <c r="C309" s="74" t="s">
        <v>708</v>
      </c>
      <c r="H309" s="95">
        <f>H359</f>
        <v>0</v>
      </c>
      <c r="I309" s="5">
        <f t="shared" ref="I309:AC309" si="360">I543</f>
        <v>0</v>
      </c>
      <c r="J309" s="5">
        <f t="shared" si="360"/>
        <v>0</v>
      </c>
      <c r="K309" s="5">
        <f t="shared" si="360"/>
        <v>0</v>
      </c>
      <c r="L309" s="5">
        <f t="shared" si="360"/>
        <v>0</v>
      </c>
      <c r="M309" s="5">
        <f t="shared" si="360"/>
        <v>0</v>
      </c>
      <c r="N309" s="5">
        <f t="shared" si="360"/>
        <v>0</v>
      </c>
      <c r="O309" s="5">
        <f t="shared" si="360"/>
        <v>0</v>
      </c>
      <c r="P309" s="5">
        <f t="shared" si="360"/>
        <v>0</v>
      </c>
      <c r="Q309" s="5">
        <f t="shared" si="360"/>
        <v>0</v>
      </c>
      <c r="R309" s="5">
        <f t="shared" si="360"/>
        <v>0</v>
      </c>
      <c r="S309" s="5">
        <f t="shared" si="360"/>
        <v>0</v>
      </c>
      <c r="T309" s="5">
        <f t="shared" si="360"/>
        <v>0</v>
      </c>
      <c r="U309" s="5">
        <f t="shared" si="360"/>
        <v>0</v>
      </c>
      <c r="V309" s="5">
        <f t="shared" si="360"/>
        <v>0</v>
      </c>
      <c r="W309" s="5">
        <f t="shared" si="360"/>
        <v>0</v>
      </c>
      <c r="X309" s="5">
        <f t="shared" si="360"/>
        <v>0</v>
      </c>
      <c r="Y309" s="5">
        <f t="shared" si="360"/>
        <v>0</v>
      </c>
      <c r="Z309" s="5">
        <f t="shared" si="360"/>
        <v>0</v>
      </c>
      <c r="AA309" s="5">
        <f t="shared" si="360"/>
        <v>0</v>
      </c>
      <c r="AB309" s="5">
        <f t="shared" si="360"/>
        <v>0</v>
      </c>
      <c r="AC309" s="5">
        <f t="shared" si="360"/>
        <v>0</v>
      </c>
    </row>
    <row r="310" spans="1:29">
      <c r="C310" s="74" t="s">
        <v>709</v>
      </c>
      <c r="H310" s="97">
        <f t="shared" ref="H310:Q310" si="361">H307-H308-H309</f>
        <v>0</v>
      </c>
      <c r="I310" s="50">
        <f t="shared" si="361"/>
        <v>0</v>
      </c>
      <c r="J310" s="50">
        <f t="shared" si="361"/>
        <v>0</v>
      </c>
      <c r="K310" s="50">
        <f t="shared" si="361"/>
        <v>0</v>
      </c>
      <c r="L310" s="50">
        <f t="shared" si="361"/>
        <v>0</v>
      </c>
      <c r="M310" s="50">
        <f t="shared" si="361"/>
        <v>0</v>
      </c>
      <c r="N310" s="50">
        <f t="shared" si="361"/>
        <v>0</v>
      </c>
      <c r="O310" s="50">
        <f t="shared" si="361"/>
        <v>0</v>
      </c>
      <c r="P310" s="50">
        <f t="shared" si="361"/>
        <v>0</v>
      </c>
      <c r="Q310" s="50">
        <f t="shared" si="361"/>
        <v>0</v>
      </c>
      <c r="R310" s="50">
        <f t="shared" ref="R310:AC310" si="362">R307-R308-R309</f>
        <v>0</v>
      </c>
      <c r="S310" s="50">
        <f t="shared" si="362"/>
        <v>0</v>
      </c>
      <c r="T310" s="50">
        <f t="shared" si="362"/>
        <v>0</v>
      </c>
      <c r="U310" s="50">
        <f t="shared" si="362"/>
        <v>0</v>
      </c>
      <c r="V310" s="50">
        <f t="shared" si="362"/>
        <v>0</v>
      </c>
      <c r="W310" s="50">
        <f t="shared" si="362"/>
        <v>0</v>
      </c>
      <c r="X310" s="50">
        <f t="shared" si="362"/>
        <v>0</v>
      </c>
      <c r="Y310" s="50">
        <f t="shared" si="362"/>
        <v>0</v>
      </c>
      <c r="Z310" s="50">
        <f t="shared" si="362"/>
        <v>0</v>
      </c>
      <c r="AA310" s="50">
        <f t="shared" si="362"/>
        <v>0</v>
      </c>
      <c r="AB310" s="50">
        <f t="shared" si="362"/>
        <v>0</v>
      </c>
      <c r="AC310" s="50">
        <f t="shared" si="362"/>
        <v>0</v>
      </c>
    </row>
    <row r="311" spans="1:29">
      <c r="C311" s="74" t="s">
        <v>710</v>
      </c>
      <c r="H311" s="95"/>
      <c r="I311" s="55">
        <f t="shared" ref="I311:AC311" si="363">I555</f>
        <v>0</v>
      </c>
      <c r="J311" s="55">
        <f t="shared" si="363"/>
        <v>0</v>
      </c>
      <c r="K311" s="55">
        <f t="shared" si="363"/>
        <v>0</v>
      </c>
      <c r="L311" s="55">
        <f t="shared" si="363"/>
        <v>0</v>
      </c>
      <c r="M311" s="55">
        <f t="shared" si="363"/>
        <v>0</v>
      </c>
      <c r="N311" s="55">
        <f t="shared" si="363"/>
        <v>0</v>
      </c>
      <c r="O311" s="55">
        <f t="shared" si="363"/>
        <v>0</v>
      </c>
      <c r="P311" s="55">
        <f t="shared" si="363"/>
        <v>0</v>
      </c>
      <c r="Q311" s="55">
        <f t="shared" si="363"/>
        <v>0</v>
      </c>
      <c r="R311" s="55">
        <f t="shared" si="363"/>
        <v>0</v>
      </c>
      <c r="S311" s="55">
        <f t="shared" si="363"/>
        <v>0</v>
      </c>
      <c r="T311" s="55">
        <f t="shared" si="363"/>
        <v>0</v>
      </c>
      <c r="U311" s="55">
        <f t="shared" si="363"/>
        <v>0</v>
      </c>
      <c r="V311" s="55">
        <f t="shared" si="363"/>
        <v>0</v>
      </c>
      <c r="W311" s="55">
        <f t="shared" si="363"/>
        <v>0</v>
      </c>
      <c r="X311" s="55">
        <f t="shared" si="363"/>
        <v>0</v>
      </c>
      <c r="Y311" s="55">
        <f t="shared" si="363"/>
        <v>0</v>
      </c>
      <c r="Z311" s="55">
        <f t="shared" si="363"/>
        <v>0</v>
      </c>
      <c r="AA311" s="55">
        <f t="shared" si="363"/>
        <v>0</v>
      </c>
      <c r="AB311" s="55">
        <f t="shared" si="363"/>
        <v>0</v>
      </c>
      <c r="AC311" s="55">
        <f t="shared" si="363"/>
        <v>0</v>
      </c>
    </row>
    <row r="312" spans="1:29">
      <c r="H312" s="95"/>
    </row>
    <row r="313" spans="1:29">
      <c r="A313" s="77" t="str">
        <f>A546</f>
        <v>Existing Preferred Stock</v>
      </c>
      <c r="C313" s="74" t="s">
        <v>706</v>
      </c>
      <c r="H313" s="95">
        <f>I424</f>
        <v>0</v>
      </c>
      <c r="I313" s="5">
        <f t="shared" ref="I313:AC313" si="364">H316</f>
        <v>0</v>
      </c>
      <c r="J313" s="5">
        <f t="shared" si="364"/>
        <v>0</v>
      </c>
      <c r="K313" s="5">
        <f t="shared" si="364"/>
        <v>0</v>
      </c>
      <c r="L313" s="5">
        <f t="shared" si="364"/>
        <v>0</v>
      </c>
      <c r="M313" s="5">
        <f t="shared" si="364"/>
        <v>0</v>
      </c>
      <c r="N313" s="5">
        <f t="shared" si="364"/>
        <v>0</v>
      </c>
      <c r="O313" s="5">
        <f t="shared" si="364"/>
        <v>0</v>
      </c>
      <c r="P313" s="5">
        <f t="shared" si="364"/>
        <v>0</v>
      </c>
      <c r="Q313" s="5">
        <f t="shared" si="364"/>
        <v>0</v>
      </c>
      <c r="R313" s="5">
        <f t="shared" si="364"/>
        <v>0</v>
      </c>
      <c r="S313" s="5">
        <f t="shared" si="364"/>
        <v>0</v>
      </c>
      <c r="T313" s="5">
        <f t="shared" si="364"/>
        <v>0</v>
      </c>
      <c r="U313" s="5">
        <f t="shared" si="364"/>
        <v>0</v>
      </c>
      <c r="V313" s="5">
        <f t="shared" si="364"/>
        <v>0</v>
      </c>
      <c r="W313" s="5">
        <f t="shared" si="364"/>
        <v>0</v>
      </c>
      <c r="X313" s="5">
        <f t="shared" si="364"/>
        <v>0</v>
      </c>
      <c r="Y313" s="5">
        <f t="shared" si="364"/>
        <v>0</v>
      </c>
      <c r="Z313" s="5">
        <f t="shared" si="364"/>
        <v>0</v>
      </c>
      <c r="AA313" s="5">
        <f t="shared" si="364"/>
        <v>0</v>
      </c>
      <c r="AB313" s="5">
        <f t="shared" si="364"/>
        <v>0</v>
      </c>
      <c r="AC313" s="5">
        <f t="shared" si="364"/>
        <v>0</v>
      </c>
    </row>
    <row r="314" spans="1:29">
      <c r="C314" s="74" t="s">
        <v>707</v>
      </c>
      <c r="H314" s="95">
        <v>0</v>
      </c>
      <c r="I314" s="5">
        <f t="shared" ref="I314:AC314" si="365">I547</f>
        <v>0</v>
      </c>
      <c r="J314" s="5">
        <f t="shared" si="365"/>
        <v>0</v>
      </c>
      <c r="K314" s="5">
        <f t="shared" si="365"/>
        <v>0</v>
      </c>
      <c r="L314" s="5">
        <f t="shared" si="365"/>
        <v>0</v>
      </c>
      <c r="M314" s="5">
        <f t="shared" si="365"/>
        <v>0</v>
      </c>
      <c r="N314" s="5">
        <f t="shared" si="365"/>
        <v>0</v>
      </c>
      <c r="O314" s="5">
        <f t="shared" si="365"/>
        <v>0</v>
      </c>
      <c r="P314" s="5">
        <f t="shared" si="365"/>
        <v>0</v>
      </c>
      <c r="Q314" s="5">
        <f t="shared" si="365"/>
        <v>0</v>
      </c>
      <c r="R314" s="5">
        <f t="shared" si="365"/>
        <v>0</v>
      </c>
      <c r="S314" s="5">
        <f t="shared" si="365"/>
        <v>0</v>
      </c>
      <c r="T314" s="5">
        <f t="shared" si="365"/>
        <v>0</v>
      </c>
      <c r="U314" s="5">
        <f t="shared" si="365"/>
        <v>0</v>
      </c>
      <c r="V314" s="5">
        <f t="shared" si="365"/>
        <v>0</v>
      </c>
      <c r="W314" s="5">
        <f t="shared" si="365"/>
        <v>0</v>
      </c>
      <c r="X314" s="5">
        <f t="shared" si="365"/>
        <v>0</v>
      </c>
      <c r="Y314" s="5">
        <f t="shared" si="365"/>
        <v>0</v>
      </c>
      <c r="Z314" s="5">
        <f t="shared" si="365"/>
        <v>0</v>
      </c>
      <c r="AA314" s="5">
        <f t="shared" si="365"/>
        <v>0</v>
      </c>
      <c r="AB314" s="5">
        <f t="shared" si="365"/>
        <v>0</v>
      </c>
      <c r="AC314" s="5">
        <f t="shared" si="365"/>
        <v>0</v>
      </c>
    </row>
    <row r="315" spans="1:29">
      <c r="C315" s="74" t="s">
        <v>723</v>
      </c>
      <c r="H315" s="95">
        <f>H360</f>
        <v>0</v>
      </c>
      <c r="I315" s="5">
        <f t="shared" ref="I315:AC315" si="366">I546</f>
        <v>0</v>
      </c>
      <c r="J315" s="5">
        <f t="shared" si="366"/>
        <v>0</v>
      </c>
      <c r="K315" s="5">
        <f t="shared" si="366"/>
        <v>0</v>
      </c>
      <c r="L315" s="5">
        <f t="shared" si="366"/>
        <v>0</v>
      </c>
      <c r="M315" s="5">
        <f t="shared" si="366"/>
        <v>0</v>
      </c>
      <c r="N315" s="5">
        <f t="shared" si="366"/>
        <v>0</v>
      </c>
      <c r="O315" s="5">
        <f t="shared" si="366"/>
        <v>0</v>
      </c>
      <c r="P315" s="5">
        <f t="shared" si="366"/>
        <v>0</v>
      </c>
      <c r="Q315" s="5">
        <f t="shared" si="366"/>
        <v>0</v>
      </c>
      <c r="R315" s="5">
        <f t="shared" si="366"/>
        <v>0</v>
      </c>
      <c r="S315" s="5">
        <f t="shared" si="366"/>
        <v>0</v>
      </c>
      <c r="T315" s="5">
        <f t="shared" si="366"/>
        <v>0</v>
      </c>
      <c r="U315" s="5">
        <f t="shared" si="366"/>
        <v>0</v>
      </c>
      <c r="V315" s="5">
        <f t="shared" si="366"/>
        <v>0</v>
      </c>
      <c r="W315" s="5">
        <f t="shared" si="366"/>
        <v>0</v>
      </c>
      <c r="X315" s="5">
        <f t="shared" si="366"/>
        <v>0</v>
      </c>
      <c r="Y315" s="5">
        <f t="shared" si="366"/>
        <v>0</v>
      </c>
      <c r="Z315" s="5">
        <f t="shared" si="366"/>
        <v>0</v>
      </c>
      <c r="AA315" s="5">
        <f t="shared" si="366"/>
        <v>0</v>
      </c>
      <c r="AB315" s="5">
        <f t="shared" si="366"/>
        <v>0</v>
      </c>
      <c r="AC315" s="5">
        <f t="shared" si="366"/>
        <v>0</v>
      </c>
    </row>
    <row r="316" spans="1:29">
      <c r="C316" s="74" t="s">
        <v>709</v>
      </c>
      <c r="H316" s="97">
        <f t="shared" ref="H316:Q316" si="367">H313-H314-H315</f>
        <v>0</v>
      </c>
      <c r="I316" s="50">
        <f t="shared" si="367"/>
        <v>0</v>
      </c>
      <c r="J316" s="50">
        <f t="shared" si="367"/>
        <v>0</v>
      </c>
      <c r="K316" s="50">
        <f t="shared" si="367"/>
        <v>0</v>
      </c>
      <c r="L316" s="50">
        <f t="shared" si="367"/>
        <v>0</v>
      </c>
      <c r="M316" s="50">
        <f t="shared" si="367"/>
        <v>0</v>
      </c>
      <c r="N316" s="50">
        <f t="shared" si="367"/>
        <v>0</v>
      </c>
      <c r="O316" s="50">
        <f t="shared" si="367"/>
        <v>0</v>
      </c>
      <c r="P316" s="50">
        <f t="shared" si="367"/>
        <v>0</v>
      </c>
      <c r="Q316" s="50">
        <f t="shared" si="367"/>
        <v>0</v>
      </c>
      <c r="R316" s="50">
        <f t="shared" ref="R316:AC316" si="368">R313-R314-R315</f>
        <v>0</v>
      </c>
      <c r="S316" s="50">
        <f t="shared" si="368"/>
        <v>0</v>
      </c>
      <c r="T316" s="50">
        <f t="shared" si="368"/>
        <v>0</v>
      </c>
      <c r="U316" s="50">
        <f t="shared" si="368"/>
        <v>0</v>
      </c>
      <c r="V316" s="50">
        <f t="shared" si="368"/>
        <v>0</v>
      </c>
      <c r="W316" s="50">
        <f t="shared" si="368"/>
        <v>0</v>
      </c>
      <c r="X316" s="50">
        <f t="shared" si="368"/>
        <v>0</v>
      </c>
      <c r="Y316" s="50">
        <f t="shared" si="368"/>
        <v>0</v>
      </c>
      <c r="Z316" s="50">
        <f t="shared" si="368"/>
        <v>0</v>
      </c>
      <c r="AA316" s="50">
        <f t="shared" si="368"/>
        <v>0</v>
      </c>
      <c r="AB316" s="50">
        <f t="shared" si="368"/>
        <v>0</v>
      </c>
      <c r="AC316" s="50">
        <f t="shared" si="368"/>
        <v>0</v>
      </c>
    </row>
    <row r="317" spans="1:29">
      <c r="C317" s="74" t="s">
        <v>720</v>
      </c>
      <c r="H317" s="95"/>
      <c r="I317" s="55">
        <f t="shared" ref="I317:AC317" si="369">I556</f>
        <v>0.06</v>
      </c>
      <c r="J317" s="55">
        <f t="shared" si="369"/>
        <v>0.06</v>
      </c>
      <c r="K317" s="55">
        <f t="shared" si="369"/>
        <v>0.06</v>
      </c>
      <c r="L317" s="55">
        <f t="shared" si="369"/>
        <v>0.06</v>
      </c>
      <c r="M317" s="55">
        <f t="shared" si="369"/>
        <v>0.06</v>
      </c>
      <c r="N317" s="55">
        <f t="shared" si="369"/>
        <v>0.06</v>
      </c>
      <c r="O317" s="55">
        <f t="shared" si="369"/>
        <v>0.06</v>
      </c>
      <c r="P317" s="55">
        <f t="shared" si="369"/>
        <v>0.06</v>
      </c>
      <c r="Q317" s="55">
        <f t="shared" si="369"/>
        <v>0.06</v>
      </c>
      <c r="R317" s="55">
        <f t="shared" si="369"/>
        <v>0.06</v>
      </c>
      <c r="S317" s="55">
        <f t="shared" si="369"/>
        <v>0.06</v>
      </c>
      <c r="T317" s="55">
        <f t="shared" si="369"/>
        <v>0.06</v>
      </c>
      <c r="U317" s="55">
        <f t="shared" si="369"/>
        <v>0.06</v>
      </c>
      <c r="V317" s="55">
        <f t="shared" si="369"/>
        <v>0.06</v>
      </c>
      <c r="W317" s="55">
        <f t="shared" si="369"/>
        <v>0.06</v>
      </c>
      <c r="X317" s="55">
        <f t="shared" si="369"/>
        <v>0.06</v>
      </c>
      <c r="Y317" s="55">
        <f t="shared" si="369"/>
        <v>0.06</v>
      </c>
      <c r="Z317" s="55">
        <f t="shared" si="369"/>
        <v>0.06</v>
      </c>
      <c r="AA317" s="55">
        <f t="shared" si="369"/>
        <v>0.06</v>
      </c>
      <c r="AB317" s="55">
        <f t="shared" si="369"/>
        <v>0.06</v>
      </c>
      <c r="AC317" s="55">
        <f t="shared" si="369"/>
        <v>0.06</v>
      </c>
    </row>
    <row r="318" spans="1:29">
      <c r="C318" s="74"/>
      <c r="H318" s="69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</row>
    <row r="319" spans="1:29" ht="12" thickBot="1">
      <c r="C319" s="74"/>
      <c r="H319" s="69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</row>
    <row r="320" spans="1:29" ht="12" thickTop="1">
      <c r="A320" s="304"/>
      <c r="B320" s="304"/>
      <c r="C320" s="304"/>
      <c r="D320" s="304"/>
      <c r="E320" s="304"/>
      <c r="F320" s="304"/>
      <c r="G320" s="304"/>
      <c r="H320" s="304"/>
      <c r="I320" s="304"/>
      <c r="J320" s="304"/>
      <c r="K320" s="304"/>
      <c r="L320" s="304"/>
      <c r="M320" s="304"/>
      <c r="N320" s="304"/>
      <c r="O320" s="304"/>
      <c r="P320" s="304"/>
      <c r="Q320" s="304"/>
      <c r="R320" s="304"/>
      <c r="S320" s="304"/>
      <c r="T320" s="304"/>
      <c r="U320" s="304"/>
      <c r="V320" s="304"/>
      <c r="W320" s="304"/>
      <c r="X320" s="304"/>
      <c r="Y320" s="304"/>
      <c r="Z320" s="304"/>
      <c r="AA320" s="304"/>
      <c r="AB320" s="304"/>
      <c r="AC320" s="304"/>
    </row>
    <row r="321" spans="1:29">
      <c r="A321" s="19" t="s">
        <v>724</v>
      </c>
      <c r="C321" s="215"/>
    </row>
    <row r="323" spans="1:29">
      <c r="A323" s="70" t="s">
        <v>725</v>
      </c>
      <c r="C323" s="215">
        <v>36341</v>
      </c>
      <c r="F323" s="55"/>
      <c r="L323"/>
      <c r="M323"/>
    </row>
    <row r="324" spans="1:29">
      <c r="A324" s="70" t="s">
        <v>726</v>
      </c>
      <c r="C324" s="215"/>
      <c r="F324" s="55"/>
      <c r="L324"/>
      <c r="M324" s="70"/>
    </row>
    <row r="325" spans="1:29">
      <c r="A325" s="70"/>
      <c r="B325" s="71" t="s">
        <v>727</v>
      </c>
      <c r="C325" s="133">
        <f ca="1">1-C328</f>
        <v>0.5</v>
      </c>
      <c r="D325" s="74" t="s">
        <v>728</v>
      </c>
      <c r="F325" s="55"/>
      <c r="L325"/>
      <c r="M325" s="70"/>
    </row>
    <row r="326" spans="1:29">
      <c r="A326" s="70"/>
      <c r="B326" s="71" t="s">
        <v>729</v>
      </c>
      <c r="C326" s="134">
        <f ca="1">C325*12</f>
        <v>6</v>
      </c>
      <c r="D326" s="74" t="s">
        <v>730</v>
      </c>
      <c r="F326" s="55"/>
      <c r="L326"/>
      <c r="M326" s="70"/>
    </row>
    <row r="327" spans="1:29">
      <c r="A327" s="70"/>
      <c r="C327"/>
      <c r="D327" s="74"/>
      <c r="F327" s="55"/>
      <c r="L327"/>
      <c r="M327" s="70"/>
    </row>
    <row r="328" spans="1:29" ht="12" customHeight="1">
      <c r="A328" s="70"/>
      <c r="B328" s="71" t="s">
        <v>727</v>
      </c>
      <c r="C328" s="133">
        <f ca="1">IF(12-MONTH(C323)+MONTH(E331)&gt;=12,(12-MONTH(C323)+MONTH(E331))-12,12-MONTH(C323)+MONTH(E331))/12</f>
        <v>0.5</v>
      </c>
      <c r="D328" s="74" t="s">
        <v>731</v>
      </c>
      <c r="F328" s="55"/>
      <c r="L328"/>
      <c r="M328" s="70"/>
    </row>
    <row r="329" spans="1:29">
      <c r="A329" s="70"/>
      <c r="B329" s="76" t="s">
        <v>729</v>
      </c>
      <c r="C329" s="134">
        <f ca="1">C328*12</f>
        <v>6</v>
      </c>
      <c r="D329" s="74" t="s">
        <v>732</v>
      </c>
      <c r="F329" s="55"/>
      <c r="G329" s="200" t="str">
        <f>TEXT(I580,"0")&amp;"."</f>
        <v>1999.</v>
      </c>
      <c r="L329"/>
      <c r="M329" s="70"/>
    </row>
    <row r="330" spans="1:29">
      <c r="A330" s="70"/>
      <c r="F330" s="55"/>
      <c r="L330"/>
      <c r="M330" s="70"/>
    </row>
    <row r="331" spans="1:29">
      <c r="A331" s="70"/>
      <c r="B331"/>
      <c r="C331" s="71" t="s">
        <v>733</v>
      </c>
      <c r="D331"/>
      <c r="E331" s="215">
        <v>36525</v>
      </c>
      <c r="F331"/>
      <c r="L331"/>
      <c r="M331" s="70"/>
    </row>
    <row r="332" spans="1:29" ht="12" thickBot="1">
      <c r="A332" s="70"/>
      <c r="C332" s="215"/>
      <c r="F332" s="55"/>
      <c r="L332"/>
      <c r="M332" s="70"/>
    </row>
    <row r="333" spans="1:29" ht="12" thickTop="1">
      <c r="A333" s="304"/>
      <c r="B333" s="304"/>
      <c r="C333" s="304"/>
      <c r="D333" s="304"/>
      <c r="E333" s="304"/>
      <c r="F333" s="304"/>
      <c r="G333" s="304"/>
      <c r="H333" s="304"/>
      <c r="I333" s="304"/>
      <c r="J333" s="304"/>
      <c r="K333" s="304"/>
      <c r="L333" s="356"/>
      <c r="M333" s="301"/>
      <c r="N333" s="301"/>
      <c r="O333" s="301"/>
      <c r="P333" s="304"/>
      <c r="Q333" s="304"/>
      <c r="R333" s="304"/>
      <c r="S333" s="304"/>
      <c r="T333" s="360"/>
      <c r="U333" s="304"/>
      <c r="V333" s="304"/>
      <c r="W333" s="304"/>
      <c r="X333" s="304"/>
      <c r="Y333" s="304"/>
      <c r="Z333" s="304"/>
      <c r="AA333" s="304"/>
      <c r="AB333" s="304"/>
      <c r="AC333" s="304"/>
    </row>
    <row r="334" spans="1:29">
      <c r="A334" s="337" t="s">
        <v>734</v>
      </c>
      <c r="E334"/>
      <c r="H334" s="375"/>
      <c r="J334" s="362" t="s">
        <v>735</v>
      </c>
      <c r="L334"/>
      <c r="M334"/>
      <c r="N334"/>
      <c r="O334"/>
    </row>
    <row r="335" spans="1:29" ht="12" thickBot="1">
      <c r="E335" s="361" t="s">
        <v>736</v>
      </c>
      <c r="G335"/>
      <c r="H335" s="361" t="s">
        <v>736</v>
      </c>
      <c r="I335"/>
      <c r="J335"/>
      <c r="K335"/>
      <c r="L335"/>
      <c r="M335"/>
      <c r="N335"/>
      <c r="O335"/>
      <c r="P335"/>
      <c r="Q335"/>
      <c r="R335"/>
      <c r="S335"/>
    </row>
    <row r="336" spans="1:29" ht="12.75" thickTop="1" thickBot="1">
      <c r="B336" s="359" t="s">
        <v>737</v>
      </c>
      <c r="E336" s="362" t="s">
        <v>141</v>
      </c>
      <c r="G336"/>
      <c r="H336" s="362" t="s">
        <v>18</v>
      </c>
      <c r="I336" s="86" t="str">
        <f ca="1">$I$579&amp;"/"&amp;TEXT($I$580,"0")</f>
        <v>6 M/1999</v>
      </c>
      <c r="J336" s="166">
        <f t="shared" ref="J336:S336" si="370">J580</f>
        <v>2000</v>
      </c>
      <c r="K336" s="166">
        <f t="shared" si="370"/>
        <v>2001</v>
      </c>
      <c r="L336" s="166">
        <f t="shared" si="370"/>
        <v>2002</v>
      </c>
      <c r="M336" s="166">
        <f t="shared" si="370"/>
        <v>2003</v>
      </c>
      <c r="N336" s="166">
        <f t="shared" si="370"/>
        <v>2004</v>
      </c>
      <c r="O336" s="166">
        <f t="shared" si="370"/>
        <v>2005</v>
      </c>
      <c r="P336" s="166">
        <f t="shared" si="370"/>
        <v>2006</v>
      </c>
      <c r="Q336" s="166">
        <f t="shared" si="370"/>
        <v>2007</v>
      </c>
      <c r="R336" s="166">
        <f t="shared" si="370"/>
        <v>2008</v>
      </c>
      <c r="S336" s="166">
        <f t="shared" si="370"/>
        <v>2009</v>
      </c>
      <c r="T336" s="363" t="s">
        <v>703</v>
      </c>
    </row>
    <row r="337" spans="1:20" ht="12" thickTop="1">
      <c r="B337" s="74" t="s">
        <v>738</v>
      </c>
      <c r="E337" s="552">
        <v>0</v>
      </c>
      <c r="F337" s="55"/>
      <c r="G337"/>
      <c r="H337" s="513">
        <v>0</v>
      </c>
      <c r="I337" s="79">
        <f t="shared" ref="I337:S337" si="371">-I482</f>
        <v>0</v>
      </c>
      <c r="J337" s="79">
        <f t="shared" si="371"/>
        <v>0</v>
      </c>
      <c r="K337" s="79">
        <f t="shared" si="371"/>
        <v>0</v>
      </c>
      <c r="L337" s="79">
        <f t="shared" si="371"/>
        <v>0</v>
      </c>
      <c r="M337" s="79">
        <f t="shared" si="371"/>
        <v>0</v>
      </c>
      <c r="N337" s="79">
        <f t="shared" si="371"/>
        <v>0</v>
      </c>
      <c r="O337" s="79">
        <f t="shared" si="371"/>
        <v>0</v>
      </c>
      <c r="P337" s="79">
        <f t="shared" si="371"/>
        <v>0</v>
      </c>
      <c r="Q337" s="79">
        <f t="shared" si="371"/>
        <v>0</v>
      </c>
      <c r="R337" s="79">
        <f t="shared" si="371"/>
        <v>0</v>
      </c>
      <c r="S337" s="79">
        <f t="shared" si="371"/>
        <v>0</v>
      </c>
      <c r="T337" s="364">
        <f t="shared" ref="T337:T347" si="372">E337-SUM(H337:S337)</f>
        <v>0</v>
      </c>
    </row>
    <row r="338" spans="1:20">
      <c r="B338" s="74" t="s">
        <v>739</v>
      </c>
      <c r="E338" s="553">
        <v>0</v>
      </c>
      <c r="F338" s="55"/>
      <c r="G338"/>
      <c r="H338" s="504">
        <v>0</v>
      </c>
      <c r="I338" s="79">
        <f t="shared" ref="I338:S338" si="373">-I487</f>
        <v>0</v>
      </c>
      <c r="J338" s="79">
        <f t="shared" si="373"/>
        <v>0</v>
      </c>
      <c r="K338" s="79">
        <f t="shared" si="373"/>
        <v>0</v>
      </c>
      <c r="L338" s="79">
        <f t="shared" si="373"/>
        <v>0</v>
      </c>
      <c r="M338" s="79">
        <f t="shared" si="373"/>
        <v>0</v>
      </c>
      <c r="N338" s="79">
        <f t="shared" si="373"/>
        <v>0</v>
      </c>
      <c r="O338" s="79">
        <f t="shared" si="373"/>
        <v>0</v>
      </c>
      <c r="P338" s="79">
        <f t="shared" si="373"/>
        <v>0</v>
      </c>
      <c r="Q338" s="79">
        <f t="shared" si="373"/>
        <v>0</v>
      </c>
      <c r="R338" s="79">
        <f t="shared" si="373"/>
        <v>0</v>
      </c>
      <c r="S338" s="79">
        <f t="shared" si="373"/>
        <v>0</v>
      </c>
      <c r="T338" s="364">
        <f t="shared" si="372"/>
        <v>0</v>
      </c>
    </row>
    <row r="339" spans="1:20">
      <c r="B339" s="135" t="s">
        <v>740</v>
      </c>
      <c r="C339"/>
      <c r="D339"/>
      <c r="E339" s="484">
        <v>0</v>
      </c>
      <c r="F339" s="55"/>
      <c r="G339"/>
      <c r="H339" s="504">
        <v>0</v>
      </c>
      <c r="I339" s="79">
        <f t="shared" ref="I339:S339" si="374">-I494</f>
        <v>0</v>
      </c>
      <c r="J339" s="79">
        <f t="shared" si="374"/>
        <v>0</v>
      </c>
      <c r="K339" s="79">
        <f t="shared" si="374"/>
        <v>0</v>
      </c>
      <c r="L339" s="79">
        <f t="shared" si="374"/>
        <v>0</v>
      </c>
      <c r="M339" s="79">
        <f t="shared" si="374"/>
        <v>0</v>
      </c>
      <c r="N339" s="79">
        <f t="shared" si="374"/>
        <v>0</v>
      </c>
      <c r="O339" s="79">
        <f t="shared" si="374"/>
        <v>0</v>
      </c>
      <c r="P339" s="79">
        <f t="shared" si="374"/>
        <v>0</v>
      </c>
      <c r="Q339" s="79">
        <f t="shared" si="374"/>
        <v>0</v>
      </c>
      <c r="R339" s="79">
        <f t="shared" si="374"/>
        <v>0</v>
      </c>
      <c r="S339" s="79">
        <f t="shared" si="374"/>
        <v>0</v>
      </c>
      <c r="T339" s="364">
        <f t="shared" si="372"/>
        <v>0</v>
      </c>
    </row>
    <row r="340" spans="1:20">
      <c r="B340" s="388" t="s">
        <v>741</v>
      </c>
      <c r="E340" s="553">
        <v>0</v>
      </c>
      <c r="F340" s="55"/>
      <c r="G340"/>
      <c r="H340" s="504">
        <v>0</v>
      </c>
      <c r="I340" s="79">
        <f t="shared" ref="I340:S340" si="375">-I502</f>
        <v>0</v>
      </c>
      <c r="J340" s="79">
        <f t="shared" si="375"/>
        <v>0</v>
      </c>
      <c r="K340" s="79">
        <f t="shared" si="375"/>
        <v>0</v>
      </c>
      <c r="L340" s="79">
        <f t="shared" si="375"/>
        <v>0</v>
      </c>
      <c r="M340" s="79">
        <f t="shared" si="375"/>
        <v>0</v>
      </c>
      <c r="N340" s="79">
        <f t="shared" si="375"/>
        <v>0</v>
      </c>
      <c r="O340" s="79">
        <f t="shared" si="375"/>
        <v>0</v>
      </c>
      <c r="P340" s="79">
        <f t="shared" si="375"/>
        <v>0</v>
      </c>
      <c r="Q340" s="79">
        <f t="shared" si="375"/>
        <v>0</v>
      </c>
      <c r="R340" s="79">
        <f t="shared" si="375"/>
        <v>0</v>
      </c>
      <c r="S340" s="79">
        <f t="shared" si="375"/>
        <v>0</v>
      </c>
      <c r="T340" s="364">
        <f t="shared" si="372"/>
        <v>0</v>
      </c>
    </row>
    <row r="341" spans="1:20">
      <c r="B341" s="388" t="s">
        <v>742</v>
      </c>
      <c r="E341" s="553">
        <v>0</v>
      </c>
      <c r="F341" s="55"/>
      <c r="G341"/>
      <c r="H341" s="504">
        <v>0</v>
      </c>
      <c r="I341" s="79">
        <f t="shared" ref="I341:S341" si="376">-I505</f>
        <v>0</v>
      </c>
      <c r="J341" s="79">
        <f t="shared" si="376"/>
        <v>0</v>
      </c>
      <c r="K341" s="79">
        <f t="shared" si="376"/>
        <v>0</v>
      </c>
      <c r="L341" s="79">
        <f t="shared" si="376"/>
        <v>0</v>
      </c>
      <c r="M341" s="79">
        <f t="shared" si="376"/>
        <v>0</v>
      </c>
      <c r="N341" s="79">
        <f t="shared" si="376"/>
        <v>0</v>
      </c>
      <c r="O341" s="79">
        <f t="shared" si="376"/>
        <v>0</v>
      </c>
      <c r="P341" s="79">
        <f t="shared" si="376"/>
        <v>0</v>
      </c>
      <c r="Q341" s="79">
        <f t="shared" si="376"/>
        <v>0</v>
      </c>
      <c r="R341" s="79">
        <f t="shared" si="376"/>
        <v>0</v>
      </c>
      <c r="S341" s="79">
        <f t="shared" si="376"/>
        <v>0</v>
      </c>
      <c r="T341" s="364">
        <f t="shared" si="372"/>
        <v>0</v>
      </c>
    </row>
    <row r="342" spans="1:20">
      <c r="B342" s="388" t="s">
        <v>743</v>
      </c>
      <c r="E342" s="554">
        <v>0</v>
      </c>
      <c r="F342" s="55"/>
      <c r="G342"/>
      <c r="H342" s="504">
        <v>0</v>
      </c>
      <c r="I342" s="79">
        <f t="shared" ref="I342:S342" si="377">-I511</f>
        <v>0</v>
      </c>
      <c r="J342" s="79">
        <f t="shared" si="377"/>
        <v>0</v>
      </c>
      <c r="K342" s="79">
        <f t="shared" si="377"/>
        <v>0</v>
      </c>
      <c r="L342" s="79">
        <f t="shared" si="377"/>
        <v>0</v>
      </c>
      <c r="M342" s="79">
        <f t="shared" si="377"/>
        <v>0</v>
      </c>
      <c r="N342" s="79">
        <f t="shared" si="377"/>
        <v>0</v>
      </c>
      <c r="O342" s="79">
        <f t="shared" si="377"/>
        <v>0</v>
      </c>
      <c r="P342" s="79">
        <f t="shared" si="377"/>
        <v>0</v>
      </c>
      <c r="Q342" s="79">
        <f t="shared" si="377"/>
        <v>0</v>
      </c>
      <c r="R342" s="79">
        <f t="shared" si="377"/>
        <v>0</v>
      </c>
      <c r="S342" s="79">
        <f t="shared" si="377"/>
        <v>0</v>
      </c>
      <c r="T342" s="364">
        <f t="shared" si="372"/>
        <v>0</v>
      </c>
    </row>
    <row r="343" spans="1:20">
      <c r="B343" s="388" t="s">
        <v>744</v>
      </c>
      <c r="E343" s="553">
        <v>0</v>
      </c>
      <c r="F343" s="55"/>
      <c r="G343"/>
      <c r="H343" s="504">
        <v>0</v>
      </c>
      <c r="I343" s="79">
        <f t="shared" ref="I343:S343" si="378">-I515</f>
        <v>0</v>
      </c>
      <c r="J343" s="79">
        <f t="shared" si="378"/>
        <v>0</v>
      </c>
      <c r="K343" s="79">
        <f t="shared" si="378"/>
        <v>0</v>
      </c>
      <c r="L343" s="79">
        <f t="shared" si="378"/>
        <v>0</v>
      </c>
      <c r="M343" s="79">
        <f t="shared" si="378"/>
        <v>0</v>
      </c>
      <c r="N343" s="79">
        <f t="shared" si="378"/>
        <v>0</v>
      </c>
      <c r="O343" s="79">
        <f t="shared" si="378"/>
        <v>0</v>
      </c>
      <c r="P343" s="79">
        <f t="shared" si="378"/>
        <v>0</v>
      </c>
      <c r="Q343" s="79">
        <f t="shared" si="378"/>
        <v>0</v>
      </c>
      <c r="R343" s="79">
        <f t="shared" si="378"/>
        <v>0</v>
      </c>
      <c r="S343" s="79">
        <f t="shared" si="378"/>
        <v>0</v>
      </c>
      <c r="T343" s="364">
        <f t="shared" si="372"/>
        <v>0</v>
      </c>
    </row>
    <row r="344" spans="1:20">
      <c r="B344" s="388" t="s">
        <v>745</v>
      </c>
      <c r="E344" s="553">
        <v>0</v>
      </c>
      <c r="F344" s="55"/>
      <c r="G344"/>
      <c r="H344" s="504">
        <f>E344</f>
        <v>0</v>
      </c>
      <c r="I344" s="79">
        <f t="shared" ref="I344:S344" si="379">-I523</f>
        <v>0</v>
      </c>
      <c r="J344" s="79">
        <f t="shared" si="379"/>
        <v>0</v>
      </c>
      <c r="K344" s="79">
        <f t="shared" si="379"/>
        <v>0</v>
      </c>
      <c r="L344" s="79">
        <f t="shared" si="379"/>
        <v>0</v>
      </c>
      <c r="M344" s="79">
        <f t="shared" si="379"/>
        <v>0</v>
      </c>
      <c r="N344" s="79">
        <f t="shared" si="379"/>
        <v>0</v>
      </c>
      <c r="O344" s="79">
        <f t="shared" si="379"/>
        <v>0</v>
      </c>
      <c r="P344" s="79">
        <f t="shared" si="379"/>
        <v>0</v>
      </c>
      <c r="Q344" s="79">
        <f t="shared" si="379"/>
        <v>0</v>
      </c>
      <c r="R344" s="79">
        <f t="shared" si="379"/>
        <v>0</v>
      </c>
      <c r="S344" s="79">
        <f t="shared" si="379"/>
        <v>0</v>
      </c>
      <c r="T344" s="364">
        <f t="shared" si="372"/>
        <v>0</v>
      </c>
    </row>
    <row r="345" spans="1:20">
      <c r="B345" s="74" t="s">
        <v>637</v>
      </c>
      <c r="E345" s="553">
        <v>0</v>
      </c>
      <c r="F345" s="55"/>
      <c r="G345"/>
      <c r="H345" s="504">
        <v>0</v>
      </c>
      <c r="I345" s="79">
        <f t="shared" ref="I345:S345" si="380">-I530</f>
        <v>0</v>
      </c>
      <c r="J345" s="79">
        <f t="shared" si="380"/>
        <v>0</v>
      </c>
      <c r="K345" s="79">
        <f t="shared" si="380"/>
        <v>0</v>
      </c>
      <c r="L345" s="79">
        <f t="shared" si="380"/>
        <v>0</v>
      </c>
      <c r="M345" s="79">
        <f t="shared" si="380"/>
        <v>0</v>
      </c>
      <c r="N345" s="79">
        <f t="shared" si="380"/>
        <v>0</v>
      </c>
      <c r="O345" s="79">
        <f t="shared" si="380"/>
        <v>0</v>
      </c>
      <c r="P345" s="79">
        <f t="shared" si="380"/>
        <v>0</v>
      </c>
      <c r="Q345" s="79">
        <f t="shared" si="380"/>
        <v>0</v>
      </c>
      <c r="R345" s="79">
        <f t="shared" si="380"/>
        <v>0</v>
      </c>
      <c r="S345" s="79">
        <f t="shared" si="380"/>
        <v>0</v>
      </c>
      <c r="T345" s="364">
        <f t="shared" si="372"/>
        <v>0</v>
      </c>
    </row>
    <row r="346" spans="1:20">
      <c r="B346" s="74" t="s">
        <v>746</v>
      </c>
      <c r="E346" s="553">
        <v>0</v>
      </c>
      <c r="G346"/>
      <c r="H346" s="504">
        <v>0</v>
      </c>
      <c r="I346" s="79">
        <f t="shared" ref="I346:S346" si="381">-I536</f>
        <v>0</v>
      </c>
      <c r="J346" s="79">
        <f t="shared" si="381"/>
        <v>0</v>
      </c>
      <c r="K346" s="79">
        <f>-K536</f>
        <v>0</v>
      </c>
      <c r="L346" s="79">
        <f t="shared" si="381"/>
        <v>0</v>
      </c>
      <c r="M346" s="79">
        <f t="shared" si="381"/>
        <v>0</v>
      </c>
      <c r="N346" s="79">
        <f t="shared" si="381"/>
        <v>0</v>
      </c>
      <c r="O346" s="79">
        <f t="shared" si="381"/>
        <v>0</v>
      </c>
      <c r="P346" s="79">
        <f t="shared" si="381"/>
        <v>0</v>
      </c>
      <c r="Q346" s="79">
        <f t="shared" si="381"/>
        <v>0</v>
      </c>
      <c r="R346" s="79">
        <f t="shared" si="381"/>
        <v>0</v>
      </c>
      <c r="S346" s="79">
        <f t="shared" si="381"/>
        <v>0</v>
      </c>
      <c r="T346" s="364">
        <f t="shared" si="372"/>
        <v>0</v>
      </c>
    </row>
    <row r="347" spans="1:20">
      <c r="B347" s="83" t="s">
        <v>747</v>
      </c>
      <c r="E347" s="553">
        <v>0</v>
      </c>
      <c r="F347" s="55"/>
      <c r="G347"/>
      <c r="H347" s="79">
        <f>E347</f>
        <v>0</v>
      </c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364">
        <f t="shared" si="372"/>
        <v>0</v>
      </c>
    </row>
    <row r="348" spans="1:20">
      <c r="B348" s="70" t="s">
        <v>748</v>
      </c>
      <c r="E348" s="179">
        <f>SUM(E337:E347)</f>
        <v>0</v>
      </c>
      <c r="F348" s="130"/>
      <c r="G348" s="205"/>
      <c r="H348" s="179">
        <f t="shared" ref="H348:T348" si="382">SUM(H337:H347)</f>
        <v>0</v>
      </c>
      <c r="I348" s="179">
        <f t="shared" si="382"/>
        <v>0</v>
      </c>
      <c r="J348" s="179">
        <f t="shared" si="382"/>
        <v>0</v>
      </c>
      <c r="K348" s="179">
        <f t="shared" si="382"/>
        <v>0</v>
      </c>
      <c r="L348" s="179">
        <f t="shared" si="382"/>
        <v>0</v>
      </c>
      <c r="M348" s="179">
        <f t="shared" si="382"/>
        <v>0</v>
      </c>
      <c r="N348" s="179">
        <f t="shared" si="382"/>
        <v>0</v>
      </c>
      <c r="O348" s="179">
        <f t="shared" si="382"/>
        <v>0</v>
      </c>
      <c r="P348" s="179">
        <f t="shared" si="382"/>
        <v>0</v>
      </c>
      <c r="Q348" s="179">
        <f t="shared" si="382"/>
        <v>0</v>
      </c>
      <c r="R348" s="179">
        <f t="shared" si="382"/>
        <v>0</v>
      </c>
      <c r="S348" s="179">
        <f t="shared" si="382"/>
        <v>0</v>
      </c>
      <c r="T348" s="365">
        <f t="shared" si="382"/>
        <v>0</v>
      </c>
    </row>
    <row r="349" spans="1:20">
      <c r="C349"/>
      <c r="D349"/>
      <c r="E349"/>
      <c r="F349"/>
      <c r="T349" s="364"/>
    </row>
    <row r="350" spans="1:20">
      <c r="A350" s="74"/>
      <c r="B350" s="359" t="s">
        <v>749</v>
      </c>
      <c r="E350" s="129"/>
      <c r="F350" s="55"/>
      <c r="G350"/>
      <c r="T350" s="364"/>
    </row>
    <row r="351" spans="1:20">
      <c r="A351" s="74"/>
      <c r="B351" t="s">
        <v>750</v>
      </c>
      <c r="C351" s="74" t="str">
        <f>A396</f>
        <v>Goodwill</v>
      </c>
      <c r="E351" s="555">
        <v>0</v>
      </c>
      <c r="F351" s="55"/>
      <c r="G351"/>
      <c r="H351" s="560">
        <v>0</v>
      </c>
      <c r="I351" s="505">
        <v>0</v>
      </c>
      <c r="J351" s="505">
        <v>0</v>
      </c>
      <c r="K351" s="505">
        <v>0</v>
      </c>
      <c r="L351" s="505">
        <v>0</v>
      </c>
      <c r="M351" s="505">
        <v>0</v>
      </c>
      <c r="N351" s="505">
        <v>0</v>
      </c>
      <c r="O351" s="505">
        <v>0</v>
      </c>
      <c r="P351" s="505">
        <v>0</v>
      </c>
      <c r="Q351" s="505">
        <v>0</v>
      </c>
      <c r="R351" s="505">
        <v>0</v>
      </c>
      <c r="S351" s="563">
        <v>0</v>
      </c>
      <c r="T351" s="377">
        <f t="shared" ref="T351:T356" si="383">E351-SUM(H351:S351)</f>
        <v>0</v>
      </c>
    </row>
    <row r="352" spans="1:20">
      <c r="A352" s="74"/>
      <c r="B352"/>
      <c r="C352" s="79" t="str">
        <f>A395</f>
        <v>Intangibles</v>
      </c>
      <c r="D352"/>
      <c r="E352" s="556">
        <v>0</v>
      </c>
      <c r="F352" s="55"/>
      <c r="G352"/>
      <c r="H352" s="561">
        <f>E352</f>
        <v>0</v>
      </c>
      <c r="I352" s="69">
        <f>I944-H352</f>
        <v>0</v>
      </c>
      <c r="J352" s="69">
        <f t="shared" ref="J352:S352" si="384">J944</f>
        <v>0</v>
      </c>
      <c r="K352" s="69">
        <f t="shared" si="384"/>
        <v>0</v>
      </c>
      <c r="L352" s="69">
        <f t="shared" si="384"/>
        <v>0</v>
      </c>
      <c r="M352" s="69">
        <f t="shared" si="384"/>
        <v>0</v>
      </c>
      <c r="N352" s="69">
        <f t="shared" si="384"/>
        <v>0</v>
      </c>
      <c r="O352" s="69">
        <f t="shared" si="384"/>
        <v>0</v>
      </c>
      <c r="P352" s="69">
        <f t="shared" si="384"/>
        <v>0</v>
      </c>
      <c r="Q352" s="69">
        <f t="shared" si="384"/>
        <v>0</v>
      </c>
      <c r="R352" s="69">
        <f t="shared" si="384"/>
        <v>0</v>
      </c>
      <c r="S352" s="99">
        <f t="shared" si="384"/>
        <v>0</v>
      </c>
      <c r="T352" s="364">
        <f t="shared" si="383"/>
        <v>0</v>
      </c>
    </row>
    <row r="353" spans="1:29">
      <c r="A353" s="74"/>
      <c r="B353"/>
      <c r="C353" s="79" t="s">
        <v>751</v>
      </c>
      <c r="D353"/>
      <c r="E353" s="557">
        <v>0</v>
      </c>
      <c r="F353" s="55">
        <v>0</v>
      </c>
      <c r="G353"/>
      <c r="H353" s="561">
        <v>0</v>
      </c>
      <c r="I353" s="69">
        <f>(I941-I944-I943)-H353</f>
        <v>0</v>
      </c>
      <c r="J353" s="69">
        <f t="shared" ref="J353:S353" si="385">J941-J354</f>
        <v>0</v>
      </c>
      <c r="K353" s="69">
        <f t="shared" si="385"/>
        <v>0</v>
      </c>
      <c r="L353" s="69">
        <f t="shared" si="385"/>
        <v>0</v>
      </c>
      <c r="M353" s="69">
        <f t="shared" si="385"/>
        <v>0</v>
      </c>
      <c r="N353" s="69">
        <f t="shared" si="385"/>
        <v>0</v>
      </c>
      <c r="O353" s="69">
        <f t="shared" si="385"/>
        <v>25.811</v>
      </c>
      <c r="P353" s="69">
        <f t="shared" si="385"/>
        <v>5.5119999999999996</v>
      </c>
      <c r="Q353" s="69">
        <f t="shared" si="385"/>
        <v>16.2</v>
      </c>
      <c r="R353" s="69">
        <f t="shared" si="385"/>
        <v>0</v>
      </c>
      <c r="S353" s="99">
        <f t="shared" si="385"/>
        <v>0</v>
      </c>
      <c r="T353" s="364">
        <f t="shared" si="383"/>
        <v>-47.522999999999996</v>
      </c>
    </row>
    <row r="354" spans="1:29">
      <c r="A354" s="74"/>
      <c r="B354"/>
      <c r="C354" s="79" t="s">
        <v>481</v>
      </c>
      <c r="D354"/>
      <c r="E354" s="558">
        <v>0</v>
      </c>
      <c r="F354" s="55"/>
      <c r="G354"/>
      <c r="H354" s="562">
        <f>E354</f>
        <v>0</v>
      </c>
      <c r="I354" s="367">
        <f>I943-H354</f>
        <v>0</v>
      </c>
      <c r="J354" s="367">
        <f t="shared" ref="J354:S354" si="386">J943</f>
        <v>0</v>
      </c>
      <c r="K354" s="367">
        <f t="shared" si="386"/>
        <v>0</v>
      </c>
      <c r="L354" s="367">
        <f t="shared" si="386"/>
        <v>0</v>
      </c>
      <c r="M354" s="367">
        <f t="shared" si="386"/>
        <v>0</v>
      </c>
      <c r="N354" s="367">
        <f t="shared" si="386"/>
        <v>0</v>
      </c>
      <c r="O354" s="367">
        <f t="shared" si="386"/>
        <v>0</v>
      </c>
      <c r="P354" s="367">
        <f t="shared" si="386"/>
        <v>0</v>
      </c>
      <c r="Q354" s="367">
        <f t="shared" si="386"/>
        <v>0</v>
      </c>
      <c r="R354" s="367">
        <f t="shared" si="386"/>
        <v>0</v>
      </c>
      <c r="S354" s="368">
        <f t="shared" si="386"/>
        <v>0</v>
      </c>
      <c r="T354" s="376">
        <f t="shared" si="383"/>
        <v>0</v>
      </c>
    </row>
    <row r="355" spans="1:29">
      <c r="A355" s="74"/>
      <c r="B355" t="s">
        <v>752</v>
      </c>
      <c r="C355"/>
      <c r="D355"/>
      <c r="E355" s="343">
        <v>0</v>
      </c>
      <c r="F355" s="55"/>
      <c r="G355"/>
      <c r="H355" s="504">
        <v>0</v>
      </c>
      <c r="I355" s="504">
        <v>0</v>
      </c>
      <c r="J355" s="504">
        <v>0</v>
      </c>
      <c r="K355" s="504">
        <v>0</v>
      </c>
      <c r="L355" s="504">
        <v>0</v>
      </c>
      <c r="M355" s="504">
        <v>0</v>
      </c>
      <c r="N355" s="504">
        <v>0</v>
      </c>
      <c r="O355" s="504">
        <v>0</v>
      </c>
      <c r="P355" s="504">
        <v>0</v>
      </c>
      <c r="Q355" s="504">
        <v>0</v>
      </c>
      <c r="R355" s="504">
        <v>0</v>
      </c>
      <c r="S355" s="504">
        <v>0</v>
      </c>
      <c r="T355" s="364">
        <f t="shared" si="383"/>
        <v>0</v>
      </c>
    </row>
    <row r="356" spans="1:29">
      <c r="A356" s="74"/>
      <c r="B356" t="s">
        <v>753</v>
      </c>
      <c r="C356"/>
      <c r="D356"/>
      <c r="E356" s="553">
        <v>0</v>
      </c>
      <c r="F356" s="55"/>
      <c r="G356"/>
      <c r="H356" s="504">
        <f>E356</f>
        <v>0</v>
      </c>
      <c r="I356" s="622">
        <f t="shared" ref="I356:S356" si="387">-I535</f>
        <v>0</v>
      </c>
      <c r="J356" s="622">
        <f t="shared" si="387"/>
        <v>0</v>
      </c>
      <c r="K356" s="622">
        <f t="shared" si="387"/>
        <v>0</v>
      </c>
      <c r="L356" s="622">
        <f t="shared" si="387"/>
        <v>0</v>
      </c>
      <c r="M356" s="622">
        <f t="shared" si="387"/>
        <v>0</v>
      </c>
      <c r="N356" s="622">
        <f t="shared" si="387"/>
        <v>0</v>
      </c>
      <c r="O356" s="622">
        <f t="shared" si="387"/>
        <v>0</v>
      </c>
      <c r="P356" s="622">
        <f t="shared" si="387"/>
        <v>0</v>
      </c>
      <c r="Q356" s="622">
        <f t="shared" si="387"/>
        <v>0</v>
      </c>
      <c r="R356" s="622">
        <f t="shared" si="387"/>
        <v>0</v>
      </c>
      <c r="S356" s="622">
        <f t="shared" si="387"/>
        <v>0</v>
      </c>
      <c r="T356" s="364">
        <f t="shared" si="383"/>
        <v>0</v>
      </c>
    </row>
    <row r="357" spans="1:29">
      <c r="A357" s="74"/>
      <c r="B357" s="559" t="s">
        <v>754</v>
      </c>
      <c r="C357" s="484"/>
      <c r="E357" s="90">
        <f>I370+I371</f>
        <v>0</v>
      </c>
      <c r="F357" s="55"/>
      <c r="G357"/>
      <c r="H357" s="627">
        <f>E357</f>
        <v>0</v>
      </c>
      <c r="I357" s="627"/>
      <c r="J357" s="627"/>
      <c r="K357" s="627"/>
      <c r="L357" s="627"/>
      <c r="M357" s="627"/>
      <c r="N357" s="627"/>
      <c r="O357" s="627"/>
      <c r="P357" s="627"/>
      <c r="Q357" s="627"/>
      <c r="R357" s="627"/>
      <c r="S357" s="627"/>
      <c r="T357" s="364"/>
    </row>
    <row r="358" spans="1:29">
      <c r="A358" s="74"/>
      <c r="B358" s="559" t="s">
        <v>755</v>
      </c>
      <c r="C358" s="484"/>
      <c r="E358" s="553">
        <v>0</v>
      </c>
      <c r="F358" s="55"/>
      <c r="G358"/>
      <c r="H358" s="622">
        <f>E358</f>
        <v>0</v>
      </c>
      <c r="I358" s="622"/>
      <c r="J358" s="622"/>
      <c r="K358" s="622"/>
      <c r="L358" s="622"/>
      <c r="M358" s="622"/>
      <c r="N358" s="622"/>
      <c r="O358" s="622"/>
      <c r="P358" s="622"/>
      <c r="Q358" s="622"/>
      <c r="R358" s="622"/>
      <c r="S358" s="622"/>
      <c r="T358" s="364"/>
    </row>
    <row r="359" spans="1:29">
      <c r="A359" s="74"/>
      <c r="B359" s="559" t="s">
        <v>756</v>
      </c>
      <c r="C359" s="484"/>
      <c r="E359" s="553">
        <v>0</v>
      </c>
      <c r="F359" s="55"/>
      <c r="G359"/>
      <c r="H359" s="622">
        <f>E359</f>
        <v>0</v>
      </c>
      <c r="I359" s="622"/>
      <c r="J359" s="622"/>
      <c r="K359" s="622"/>
      <c r="L359" s="622"/>
      <c r="M359" s="622"/>
      <c r="N359" s="622"/>
      <c r="O359" s="622"/>
      <c r="P359" s="622"/>
      <c r="Q359" s="622"/>
      <c r="R359" s="622"/>
      <c r="S359" s="622"/>
      <c r="T359" s="364"/>
    </row>
    <row r="360" spans="1:29">
      <c r="A360" s="74"/>
      <c r="B360" s="559" t="s">
        <v>757</v>
      </c>
      <c r="C360" s="484"/>
      <c r="E360" s="554">
        <v>0</v>
      </c>
      <c r="F360" s="55"/>
      <c r="G360"/>
      <c r="H360" s="622">
        <f>E360</f>
        <v>0</v>
      </c>
      <c r="I360" s="622"/>
      <c r="J360" s="622"/>
      <c r="K360" s="622"/>
      <c r="L360" s="622"/>
      <c r="M360" s="622"/>
      <c r="N360" s="622"/>
      <c r="O360" s="622"/>
      <c r="P360" s="622"/>
      <c r="Q360" s="622"/>
      <c r="R360" s="622"/>
      <c r="S360" s="622"/>
      <c r="T360" s="364"/>
    </row>
    <row r="361" spans="1:29">
      <c r="A361" s="74"/>
      <c r="B361" s="559" t="s">
        <v>758</v>
      </c>
      <c r="C361" s="484"/>
      <c r="E361" s="484">
        <v>0</v>
      </c>
      <c r="F361" s="55"/>
      <c r="G361"/>
      <c r="H361" s="622">
        <f t="shared" ref="H361:S361" si="388">H348-SUM(H351:H360)</f>
        <v>0</v>
      </c>
      <c r="I361" s="622">
        <f t="shared" si="388"/>
        <v>0</v>
      </c>
      <c r="J361" s="622">
        <f t="shared" si="388"/>
        <v>0</v>
      </c>
      <c r="K361" s="622">
        <f t="shared" si="388"/>
        <v>0</v>
      </c>
      <c r="L361" s="622">
        <f t="shared" si="388"/>
        <v>0</v>
      </c>
      <c r="M361" s="622">
        <f t="shared" si="388"/>
        <v>0</v>
      </c>
      <c r="N361" s="622">
        <f t="shared" si="388"/>
        <v>0</v>
      </c>
      <c r="O361" s="622">
        <f t="shared" si="388"/>
        <v>-25.811</v>
      </c>
      <c r="P361" s="622">
        <f t="shared" si="388"/>
        <v>-5.5119999999999996</v>
      </c>
      <c r="Q361" s="622">
        <f t="shared" si="388"/>
        <v>-16.2</v>
      </c>
      <c r="R361" s="622">
        <f t="shared" si="388"/>
        <v>0</v>
      </c>
      <c r="S361" s="622">
        <f t="shared" si="388"/>
        <v>0</v>
      </c>
      <c r="T361" s="364">
        <f>E361-SUM(H361:S361)</f>
        <v>47.522999999999996</v>
      </c>
    </row>
    <row r="362" spans="1:29">
      <c r="A362" s="74"/>
      <c r="E362" s="90"/>
      <c r="F362" s="55"/>
      <c r="G362"/>
      <c r="T362" s="364"/>
    </row>
    <row r="363" spans="1:29">
      <c r="A363" s="74"/>
      <c r="B363" s="70" t="s">
        <v>759</v>
      </c>
      <c r="E363" s="90">
        <f>SUM(E351:E362)</f>
        <v>0</v>
      </c>
      <c r="F363" s="55"/>
      <c r="G363"/>
      <c r="H363" s="179">
        <f t="shared" ref="H363:T363" si="389">SUM(H351:H362)</f>
        <v>0</v>
      </c>
      <c r="I363" s="179">
        <f t="shared" si="389"/>
        <v>0</v>
      </c>
      <c r="J363" s="179">
        <f t="shared" si="389"/>
        <v>0</v>
      </c>
      <c r="K363" s="179">
        <f t="shared" si="389"/>
        <v>0</v>
      </c>
      <c r="L363" s="179">
        <f t="shared" si="389"/>
        <v>0</v>
      </c>
      <c r="M363" s="179">
        <f t="shared" si="389"/>
        <v>0</v>
      </c>
      <c r="N363" s="179">
        <f t="shared" si="389"/>
        <v>0</v>
      </c>
      <c r="O363" s="179">
        <f t="shared" si="389"/>
        <v>0</v>
      </c>
      <c r="P363" s="179">
        <f t="shared" si="389"/>
        <v>0</v>
      </c>
      <c r="Q363" s="179">
        <f t="shared" si="389"/>
        <v>0</v>
      </c>
      <c r="R363" s="179">
        <f t="shared" si="389"/>
        <v>0</v>
      </c>
      <c r="S363" s="179">
        <f t="shared" si="389"/>
        <v>0</v>
      </c>
      <c r="T363" s="365">
        <f t="shared" si="389"/>
        <v>0</v>
      </c>
    </row>
    <row r="364" spans="1:29">
      <c r="A364" s="74"/>
      <c r="B364"/>
      <c r="C364" s="136" t="s">
        <v>760</v>
      </c>
      <c r="E364" s="134">
        <f>E363-E348</f>
        <v>0</v>
      </c>
      <c r="F364" s="55"/>
      <c r="G364"/>
      <c r="H364" s="134">
        <f t="shared" ref="H364:T364" si="390">H363-H348</f>
        <v>0</v>
      </c>
      <c r="I364" s="134">
        <f t="shared" si="390"/>
        <v>0</v>
      </c>
      <c r="J364" s="134">
        <f t="shared" si="390"/>
        <v>0</v>
      </c>
      <c r="K364" s="134">
        <f t="shared" si="390"/>
        <v>0</v>
      </c>
      <c r="L364" s="134">
        <f t="shared" si="390"/>
        <v>0</v>
      </c>
      <c r="M364" s="134">
        <f t="shared" si="390"/>
        <v>0</v>
      </c>
      <c r="N364" s="134">
        <f t="shared" si="390"/>
        <v>0</v>
      </c>
      <c r="O364" s="134">
        <f t="shared" si="390"/>
        <v>0</v>
      </c>
      <c r="P364" s="134">
        <f t="shared" si="390"/>
        <v>0</v>
      </c>
      <c r="Q364" s="134">
        <f t="shared" si="390"/>
        <v>0</v>
      </c>
      <c r="R364" s="134">
        <f t="shared" si="390"/>
        <v>0</v>
      </c>
      <c r="S364" s="134">
        <f t="shared" si="390"/>
        <v>0</v>
      </c>
      <c r="T364" s="134">
        <f t="shared" si="390"/>
        <v>0</v>
      </c>
    </row>
    <row r="365" spans="1:29">
      <c r="A365" s="74"/>
      <c r="B365"/>
      <c r="C365"/>
      <c r="D365"/>
      <c r="E365"/>
      <c r="F365" s="55"/>
      <c r="G365"/>
    </row>
    <row r="366" spans="1:29" ht="12" thickBot="1">
      <c r="A366" s="74"/>
    </row>
    <row r="367" spans="1:29" ht="12.75" thickTop="1" thickBot="1">
      <c r="A367" s="356"/>
      <c r="B367" s="304"/>
      <c r="C367" s="304"/>
      <c r="D367" s="304"/>
      <c r="E367" s="304"/>
      <c r="F367" s="304"/>
      <c r="G367" s="304"/>
      <c r="H367" s="304"/>
      <c r="I367" s="304"/>
      <c r="J367" s="304"/>
      <c r="K367" s="304"/>
      <c r="L367" s="304"/>
      <c r="M367" s="304"/>
      <c r="N367" s="304"/>
      <c r="O367" s="304"/>
      <c r="P367" s="304"/>
      <c r="Q367" s="304"/>
      <c r="R367" s="304"/>
      <c r="S367" s="304"/>
      <c r="T367" s="304"/>
      <c r="U367" s="304"/>
      <c r="V367" s="304"/>
      <c r="W367" s="304"/>
      <c r="X367" s="304"/>
      <c r="Y367" s="304"/>
      <c r="Z367" s="304"/>
      <c r="AA367" s="304"/>
      <c r="AB367" s="304"/>
      <c r="AC367" s="304"/>
    </row>
    <row r="368" spans="1:29" ht="12.75" thickTop="1" thickBot="1">
      <c r="A368" s="19" t="s">
        <v>761</v>
      </c>
      <c r="C368" s="69"/>
      <c r="E368" s="69"/>
      <c r="F368" s="170" t="s">
        <v>762</v>
      </c>
      <c r="G368" s="171" t="s">
        <v>763</v>
      </c>
      <c r="H368" s="172"/>
    </row>
    <row r="369" spans="1:19" ht="12.75" thickTop="1" thickBot="1">
      <c r="A369" s="74"/>
      <c r="C369" s="173" t="s">
        <v>764</v>
      </c>
      <c r="E369" s="173" t="s">
        <v>765</v>
      </c>
      <c r="F369" s="174" t="s">
        <v>766</v>
      </c>
      <c r="G369" s="175" t="s">
        <v>767</v>
      </c>
      <c r="H369" s="176"/>
      <c r="I369" s="146" t="str">
        <f ca="1">$I$579&amp;"/"&amp;TEXT($I$580,"0")</f>
        <v>6 M/1999</v>
      </c>
      <c r="J369" s="140">
        <f t="shared" ref="J369:S369" si="391">J580</f>
        <v>2000</v>
      </c>
      <c r="K369" s="140">
        <f t="shared" si="391"/>
        <v>2001</v>
      </c>
      <c r="L369" s="140">
        <f t="shared" si="391"/>
        <v>2002</v>
      </c>
      <c r="M369" s="140">
        <f t="shared" si="391"/>
        <v>2003</v>
      </c>
      <c r="N369" s="140">
        <f t="shared" si="391"/>
        <v>2004</v>
      </c>
      <c r="O369" s="140">
        <f t="shared" si="391"/>
        <v>2005</v>
      </c>
      <c r="P369" s="140">
        <f t="shared" si="391"/>
        <v>2006</v>
      </c>
      <c r="Q369" s="140">
        <f t="shared" si="391"/>
        <v>2007</v>
      </c>
      <c r="R369" s="140">
        <f t="shared" si="391"/>
        <v>2008</v>
      </c>
      <c r="S369" s="140">
        <f t="shared" si="391"/>
        <v>2009</v>
      </c>
    </row>
    <row r="370" spans="1:19" ht="12" thickTop="1">
      <c r="A370" s="74" t="s">
        <v>768</v>
      </c>
      <c r="E370" s="554">
        <v>0</v>
      </c>
      <c r="F370" s="71" t="s">
        <v>769</v>
      </c>
      <c r="G370"/>
      <c r="H370" s="71" t="s">
        <v>770</v>
      </c>
      <c r="I370" s="177">
        <f>E370+E371</f>
        <v>0</v>
      </c>
    </row>
    <row r="371" spans="1:19">
      <c r="A371" s="74" t="s">
        <v>771</v>
      </c>
      <c r="E371" s="554">
        <v>0</v>
      </c>
      <c r="F371" s="71" t="s">
        <v>769</v>
      </c>
      <c r="G371"/>
      <c r="H371" s="71" t="s">
        <v>772</v>
      </c>
      <c r="I371" s="177">
        <f>E383-I370</f>
        <v>0</v>
      </c>
    </row>
    <row r="372" spans="1:19">
      <c r="A372" s="74" t="s">
        <v>773</v>
      </c>
      <c r="G372"/>
      <c r="H372" s="71" t="s">
        <v>774</v>
      </c>
      <c r="I372" s="5">
        <f ca="1">IF($C$328&gt;0,I370,0)</f>
        <v>0</v>
      </c>
      <c r="J372" s="5">
        <f ca="1">IF($C$328=0,I370,0)</f>
        <v>0</v>
      </c>
    </row>
    <row r="373" spans="1:19">
      <c r="A373" s="74" t="str">
        <f>"    "&amp;B337&amp;"*"</f>
        <v xml:space="preserve">    Revolving Loan*</v>
      </c>
      <c r="C373" s="564">
        <v>0</v>
      </c>
      <c r="E373" s="5">
        <f>C373*I483</f>
        <v>0</v>
      </c>
      <c r="F373" s="565">
        <v>7</v>
      </c>
      <c r="I373" s="5">
        <f t="shared" ref="I373:I380" ca="1" si="392">$E373/$F373*$C$328</f>
        <v>0</v>
      </c>
      <c r="J373" s="5">
        <f t="shared" ref="J373:O373" si="393">$E$373/$F$373</f>
        <v>0</v>
      </c>
      <c r="K373" s="5">
        <f t="shared" si="393"/>
        <v>0</v>
      </c>
      <c r="L373" s="5">
        <f t="shared" si="393"/>
        <v>0</v>
      </c>
      <c r="M373" s="5">
        <f t="shared" si="393"/>
        <v>0</v>
      </c>
      <c r="N373" s="5">
        <f t="shared" si="393"/>
        <v>0</v>
      </c>
      <c r="O373" s="5">
        <f t="shared" si="393"/>
        <v>0</v>
      </c>
      <c r="P373" s="5">
        <f ca="1">$E$373/$F$373*C325</f>
        <v>0</v>
      </c>
    </row>
    <row r="374" spans="1:19">
      <c r="A374" s="74" t="str">
        <f t="shared" ref="A374:A382" si="394">"    "&amp;B338</f>
        <v xml:space="preserve">    Term Loan</v>
      </c>
      <c r="C374" s="564">
        <v>0</v>
      </c>
      <c r="E374" s="5">
        <f t="shared" ref="E374:E382" si="395">C374*E338</f>
        <v>0</v>
      </c>
      <c r="F374" s="565">
        <v>7</v>
      </c>
      <c r="I374" s="5">
        <f t="shared" ca="1" si="392"/>
        <v>0</v>
      </c>
      <c r="J374" s="5">
        <f t="shared" ref="J374:O380" si="396">$E374/$F374</f>
        <v>0</v>
      </c>
      <c r="K374" s="5">
        <f t="shared" si="396"/>
        <v>0</v>
      </c>
      <c r="L374" s="5">
        <f t="shared" si="396"/>
        <v>0</v>
      </c>
      <c r="M374" s="5">
        <f t="shared" si="396"/>
        <v>0</v>
      </c>
      <c r="N374" s="5">
        <f t="shared" si="396"/>
        <v>0</v>
      </c>
      <c r="O374" s="5">
        <f t="shared" si="396"/>
        <v>0</v>
      </c>
      <c r="P374" s="5">
        <f ca="1">$E374/$F374*C325</f>
        <v>0</v>
      </c>
    </row>
    <row r="375" spans="1:19">
      <c r="A375" s="74" t="str">
        <f t="shared" si="394"/>
        <v xml:space="preserve">    Production Payment</v>
      </c>
      <c r="C375" s="564">
        <v>0</v>
      </c>
      <c r="E375" s="5">
        <f t="shared" si="395"/>
        <v>0</v>
      </c>
      <c r="F375" s="565">
        <v>7</v>
      </c>
      <c r="I375" s="5">
        <f t="shared" ca="1" si="392"/>
        <v>0</v>
      </c>
      <c r="J375" s="5">
        <f t="shared" si="396"/>
        <v>0</v>
      </c>
      <c r="K375" s="5">
        <f t="shared" si="396"/>
        <v>0</v>
      </c>
      <c r="L375" s="5">
        <f t="shared" si="396"/>
        <v>0</v>
      </c>
      <c r="M375" s="5">
        <f t="shared" si="396"/>
        <v>0</v>
      </c>
      <c r="N375" s="5">
        <f t="shared" si="396"/>
        <v>0</v>
      </c>
      <c r="O375" s="5">
        <f t="shared" si="396"/>
        <v>0</v>
      </c>
      <c r="P375" s="5">
        <f ca="1">$E375/$F375*C325</f>
        <v>0</v>
      </c>
    </row>
    <row r="376" spans="1:19">
      <c r="A376" s="74" t="str">
        <f t="shared" si="394"/>
        <v xml:space="preserve">    ESOP Notes</v>
      </c>
      <c r="C376" s="564">
        <v>0</v>
      </c>
      <c r="E376" s="5">
        <f t="shared" si="395"/>
        <v>0</v>
      </c>
      <c r="F376" s="565">
        <v>8</v>
      </c>
      <c r="I376" s="5">
        <f t="shared" ca="1" si="392"/>
        <v>0</v>
      </c>
      <c r="J376" s="5">
        <f t="shared" si="396"/>
        <v>0</v>
      </c>
      <c r="K376" s="5">
        <f t="shared" si="396"/>
        <v>0</v>
      </c>
      <c r="L376" s="5">
        <f t="shared" si="396"/>
        <v>0</v>
      </c>
      <c r="M376" s="5">
        <f t="shared" si="396"/>
        <v>0</v>
      </c>
      <c r="N376" s="5">
        <f t="shared" si="396"/>
        <v>0</v>
      </c>
      <c r="O376" s="5">
        <f t="shared" si="396"/>
        <v>0</v>
      </c>
      <c r="P376" s="5">
        <f>$E376/$F376</f>
        <v>0</v>
      </c>
      <c r="Q376" s="5">
        <f ca="1">$E376/$F376*C325</f>
        <v>0</v>
      </c>
    </row>
    <row r="377" spans="1:19">
      <c r="A377" s="74" t="str">
        <f t="shared" si="394"/>
        <v xml:space="preserve">    Placement 1</v>
      </c>
      <c r="C377" s="564">
        <v>0</v>
      </c>
      <c r="E377" s="5">
        <f t="shared" si="395"/>
        <v>0</v>
      </c>
      <c r="F377" s="565">
        <v>10</v>
      </c>
      <c r="I377" s="5">
        <f t="shared" ca="1" si="392"/>
        <v>0</v>
      </c>
      <c r="J377" s="5">
        <f t="shared" si="396"/>
        <v>0</v>
      </c>
      <c r="K377" s="5">
        <f t="shared" si="396"/>
        <v>0</v>
      </c>
      <c r="L377" s="5">
        <f t="shared" si="396"/>
        <v>0</v>
      </c>
      <c r="M377" s="5">
        <f t="shared" si="396"/>
        <v>0</v>
      </c>
      <c r="N377" s="5">
        <f t="shared" si="396"/>
        <v>0</v>
      </c>
      <c r="O377" s="5">
        <f t="shared" si="396"/>
        <v>0</v>
      </c>
      <c r="P377" s="5">
        <f>$E377/$F377</f>
        <v>0</v>
      </c>
      <c r="Q377" s="5">
        <f t="shared" ref="Q377:R380" si="397">$E377/$F377</f>
        <v>0</v>
      </c>
      <c r="R377" s="5">
        <f t="shared" si="397"/>
        <v>0</v>
      </c>
      <c r="S377" s="5">
        <f>$E377/$F377*N323</f>
        <v>0</v>
      </c>
    </row>
    <row r="378" spans="1:19">
      <c r="A378" s="74" t="str">
        <f t="shared" si="394"/>
        <v xml:space="preserve">    Placement 2</v>
      </c>
      <c r="C378" s="564">
        <v>0</v>
      </c>
      <c r="E378" s="5">
        <f t="shared" si="395"/>
        <v>0</v>
      </c>
      <c r="F378" s="565">
        <v>10</v>
      </c>
      <c r="I378" s="5">
        <f t="shared" ca="1" si="392"/>
        <v>0</v>
      </c>
      <c r="J378" s="5">
        <f t="shared" si="396"/>
        <v>0</v>
      </c>
      <c r="K378" s="5">
        <f t="shared" si="396"/>
        <v>0</v>
      </c>
      <c r="L378" s="5">
        <f t="shared" si="396"/>
        <v>0</v>
      </c>
      <c r="M378" s="5">
        <f t="shared" si="396"/>
        <v>0</v>
      </c>
      <c r="N378" s="5">
        <f t="shared" si="396"/>
        <v>0</v>
      </c>
      <c r="O378" s="5">
        <f t="shared" si="396"/>
        <v>0</v>
      </c>
      <c r="P378" s="5">
        <f>$E378/$F378</f>
        <v>0</v>
      </c>
      <c r="Q378" s="5">
        <f t="shared" si="397"/>
        <v>0</v>
      </c>
      <c r="R378" s="5">
        <f t="shared" si="397"/>
        <v>0</v>
      </c>
      <c r="S378" s="5">
        <f ca="1">$E378/$F378*C325</f>
        <v>0</v>
      </c>
    </row>
    <row r="379" spans="1:19">
      <c r="A379" s="74" t="str">
        <f t="shared" si="394"/>
        <v xml:space="preserve">    Sr Sub Notes</v>
      </c>
      <c r="C379" s="564">
        <v>0</v>
      </c>
      <c r="E379" s="5">
        <f t="shared" si="395"/>
        <v>0</v>
      </c>
      <c r="F379" s="565">
        <v>10</v>
      </c>
      <c r="I379" s="5">
        <f t="shared" ca="1" si="392"/>
        <v>0</v>
      </c>
      <c r="J379" s="5">
        <f t="shared" si="396"/>
        <v>0</v>
      </c>
      <c r="K379" s="5">
        <f t="shared" si="396"/>
        <v>0</v>
      </c>
      <c r="L379" s="5">
        <f t="shared" si="396"/>
        <v>0</v>
      </c>
      <c r="M379" s="5">
        <f t="shared" si="396"/>
        <v>0</v>
      </c>
      <c r="N379" s="5">
        <f t="shared" si="396"/>
        <v>0</v>
      </c>
      <c r="O379" s="5">
        <f t="shared" si="396"/>
        <v>0</v>
      </c>
      <c r="P379" s="5">
        <f>$E379/$F379</f>
        <v>0</v>
      </c>
      <c r="Q379" s="5">
        <f t="shared" si="397"/>
        <v>0</v>
      </c>
      <c r="R379" s="5">
        <f t="shared" si="397"/>
        <v>0</v>
      </c>
      <c r="S379" s="5">
        <f ca="1">$E379/$F379*C325</f>
        <v>0</v>
      </c>
    </row>
    <row r="380" spans="1:19">
      <c r="A380" s="74" t="str">
        <f t="shared" si="394"/>
        <v xml:space="preserve">    Jr. Sub Notes</v>
      </c>
      <c r="C380" s="564">
        <v>0</v>
      </c>
      <c r="E380" s="5">
        <f t="shared" si="395"/>
        <v>0</v>
      </c>
      <c r="F380" s="565">
        <v>10</v>
      </c>
      <c r="I380" s="5">
        <f t="shared" ca="1" si="392"/>
        <v>0</v>
      </c>
      <c r="J380" s="5">
        <f t="shared" si="396"/>
        <v>0</v>
      </c>
      <c r="K380" s="5">
        <f t="shared" si="396"/>
        <v>0</v>
      </c>
      <c r="L380" s="5">
        <f t="shared" si="396"/>
        <v>0</v>
      </c>
      <c r="M380" s="5">
        <f t="shared" si="396"/>
        <v>0</v>
      </c>
      <c r="N380" s="5">
        <f t="shared" si="396"/>
        <v>0</v>
      </c>
      <c r="O380" s="5">
        <f t="shared" si="396"/>
        <v>0</v>
      </c>
      <c r="P380" s="5">
        <f>$E380/$F380</f>
        <v>0</v>
      </c>
      <c r="Q380" s="5">
        <f t="shared" si="397"/>
        <v>0</v>
      </c>
      <c r="R380" s="5">
        <f t="shared" si="397"/>
        <v>0</v>
      </c>
      <c r="S380" s="5">
        <f ca="1">$E380/$F380*C325</f>
        <v>0</v>
      </c>
    </row>
    <row r="381" spans="1:19">
      <c r="A381" s="74" t="str">
        <f t="shared" si="394"/>
        <v xml:space="preserve">    Preferred Stock</v>
      </c>
      <c r="C381" s="564">
        <v>0</v>
      </c>
      <c r="E381" s="5">
        <f t="shared" si="395"/>
        <v>0</v>
      </c>
      <c r="F381" s="71" t="s">
        <v>769</v>
      </c>
    </row>
    <row r="382" spans="1:19">
      <c r="A382" s="74" t="str">
        <f t="shared" si="394"/>
        <v xml:space="preserve">    Common Stock</v>
      </c>
      <c r="C382" s="564">
        <v>0</v>
      </c>
      <c r="E382" s="5">
        <f t="shared" si="395"/>
        <v>0</v>
      </c>
      <c r="F382" s="71" t="s">
        <v>769</v>
      </c>
    </row>
    <row r="383" spans="1:19" ht="12" thickBot="1">
      <c r="A383" s="74" t="s">
        <v>775</v>
      </c>
      <c r="C383" s="74" t="s">
        <v>345</v>
      </c>
      <c r="E383" s="61">
        <f>SUM(E370:E382)</f>
        <v>0</v>
      </c>
      <c r="G383" s="74" t="s">
        <v>776</v>
      </c>
      <c r="I383" s="61">
        <f t="shared" ref="I383:S383" ca="1" si="398">SUM(I372:I382)</f>
        <v>0</v>
      </c>
      <c r="J383" s="61">
        <f t="shared" ca="1" si="398"/>
        <v>0</v>
      </c>
      <c r="K383" s="61">
        <f t="shared" si="398"/>
        <v>0</v>
      </c>
      <c r="L383" s="61">
        <f t="shared" si="398"/>
        <v>0</v>
      </c>
      <c r="M383" s="61">
        <f t="shared" si="398"/>
        <v>0</v>
      </c>
      <c r="N383" s="61">
        <f t="shared" si="398"/>
        <v>0</v>
      </c>
      <c r="O383" s="61">
        <f t="shared" si="398"/>
        <v>0</v>
      </c>
      <c r="P383" s="61">
        <f t="shared" ca="1" si="398"/>
        <v>0</v>
      </c>
      <c r="Q383" s="61">
        <f t="shared" ca="1" si="398"/>
        <v>0</v>
      </c>
      <c r="R383" s="61">
        <f t="shared" si="398"/>
        <v>0</v>
      </c>
      <c r="S383" s="61">
        <f t="shared" ca="1" si="398"/>
        <v>0</v>
      </c>
    </row>
    <row r="384" spans="1:19" ht="12" thickTop="1">
      <c r="A384" s="74"/>
      <c r="C384" s="74"/>
      <c r="E384" s="69"/>
      <c r="G384" s="74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</row>
    <row r="385" spans="1:29" ht="12" thickBot="1">
      <c r="A385" s="74"/>
      <c r="C385" s="74"/>
      <c r="E385" s="69"/>
      <c r="G385" s="74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</row>
    <row r="386" spans="1:29" ht="12" thickTop="1">
      <c r="A386" s="356"/>
      <c r="B386" s="304"/>
      <c r="C386" s="356"/>
      <c r="D386" s="304"/>
      <c r="E386" s="304"/>
      <c r="F386" s="304"/>
      <c r="G386" s="356"/>
      <c r="H386" s="304"/>
      <c r="I386" s="304"/>
      <c r="J386" s="304"/>
      <c r="K386" s="304"/>
      <c r="L386" s="304"/>
      <c r="M386" s="304"/>
      <c r="N386" s="304"/>
      <c r="O386" s="304"/>
      <c r="P386" s="304"/>
      <c r="Q386" s="304"/>
      <c r="R386" s="304"/>
      <c r="S386" s="304"/>
      <c r="T386" s="304"/>
      <c r="U386" s="304"/>
      <c r="V386" s="304"/>
      <c r="W386" s="304"/>
      <c r="X386" s="304"/>
      <c r="Y386" s="304"/>
      <c r="Z386" s="304"/>
      <c r="AA386" s="304"/>
      <c r="AB386" s="304"/>
      <c r="AC386" s="304"/>
    </row>
    <row r="387" spans="1:29" ht="12" thickBot="1">
      <c r="A387" s="19" t="s">
        <v>777</v>
      </c>
    </row>
    <row r="388" spans="1:29" ht="12.75" thickTop="1" thickBot="1">
      <c r="A388" s="70" t="s">
        <v>778</v>
      </c>
      <c r="E388" s="73">
        <f>E580</f>
        <v>1996</v>
      </c>
      <c r="F388" s="73">
        <f>E388+1</f>
        <v>1997</v>
      </c>
      <c r="G388" s="73">
        <f>F388+1</f>
        <v>1998</v>
      </c>
      <c r="I388" s="386">
        <f ca="1">C323</f>
        <v>36341</v>
      </c>
      <c r="K388" s="118" t="s">
        <v>779</v>
      </c>
      <c r="L388" s="118" t="s">
        <v>780</v>
      </c>
      <c r="N388" s="386">
        <f ca="1">I388</f>
        <v>36341</v>
      </c>
      <c r="P388" s="119" t="s">
        <v>781</v>
      </c>
      <c r="Q388" s="120"/>
      <c r="R388"/>
    </row>
    <row r="389" spans="1:29" ht="12.75" thickTop="1" thickBot="1">
      <c r="A389" s="74" t="s">
        <v>782</v>
      </c>
      <c r="E389" s="553">
        <v>0</v>
      </c>
      <c r="F389" s="553">
        <v>0</v>
      </c>
      <c r="G389" s="553">
        <v>0</v>
      </c>
      <c r="I389" s="553">
        <v>0</v>
      </c>
      <c r="J389" s="90"/>
      <c r="K389" s="90">
        <f>H361</f>
        <v>0</v>
      </c>
      <c r="L389" s="90">
        <f>H347</f>
        <v>0</v>
      </c>
      <c r="M389" s="90"/>
      <c r="N389" s="90">
        <f>I389+K389-L389</f>
        <v>0</v>
      </c>
      <c r="O389" s="90"/>
      <c r="P389" s="121" t="str">
        <f ca="1">"at "&amp;TEXT(N388,"mm/dd/yy")&amp;":*"</f>
        <v>at 06/30/99:*</v>
      </c>
      <c r="Q389" s="122"/>
      <c r="R389"/>
    </row>
    <row r="390" spans="1:29" ht="12" thickTop="1">
      <c r="A390" s="74" t="s">
        <v>783</v>
      </c>
      <c r="E390" s="553">
        <v>0</v>
      </c>
      <c r="F390" s="553">
        <v>0</v>
      </c>
      <c r="G390" s="553">
        <v>0</v>
      </c>
      <c r="I390" s="553">
        <v>0</v>
      </c>
      <c r="J390" s="90"/>
      <c r="K390" s="89"/>
      <c r="L390" s="89"/>
      <c r="M390" s="90"/>
      <c r="N390" s="90">
        <f>I390+K390-L390</f>
        <v>0</v>
      </c>
      <c r="O390" s="90"/>
      <c r="P390" s="630">
        <v>0</v>
      </c>
      <c r="Q390" s="631"/>
      <c r="R390"/>
    </row>
    <row r="391" spans="1:29">
      <c r="A391" s="74" t="s">
        <v>784</v>
      </c>
      <c r="E391" s="553">
        <v>0</v>
      </c>
      <c r="F391" s="553">
        <v>0</v>
      </c>
      <c r="G391" s="553">
        <v>0</v>
      </c>
      <c r="I391" s="553">
        <v>0</v>
      </c>
      <c r="J391" s="90"/>
      <c r="K391" s="89"/>
      <c r="L391" s="89"/>
      <c r="M391" s="90"/>
      <c r="N391" s="90">
        <f>I391+K391-L391</f>
        <v>0</v>
      </c>
      <c r="O391" s="90"/>
      <c r="Q391" s="90"/>
      <c r="R391" s="90"/>
    </row>
    <row r="392" spans="1:29">
      <c r="A392" s="74" t="s">
        <v>785</v>
      </c>
      <c r="E392" s="553">
        <v>0</v>
      </c>
      <c r="F392" s="553">
        <v>0</v>
      </c>
      <c r="G392" s="553">
        <v>0</v>
      </c>
      <c r="I392" s="553">
        <v>0</v>
      </c>
      <c r="J392" s="90"/>
      <c r="K392" s="89"/>
      <c r="L392" s="89"/>
      <c r="M392" s="90"/>
      <c r="N392" s="90">
        <f>I392+K392-L392</f>
        <v>0</v>
      </c>
      <c r="O392" s="90"/>
      <c r="Q392" s="90"/>
      <c r="R392" s="90"/>
    </row>
    <row r="393" spans="1:29">
      <c r="A393" s="70" t="s">
        <v>786</v>
      </c>
      <c r="E393" s="92">
        <f>SUM(E389:E392)</f>
        <v>0</v>
      </c>
      <c r="F393" s="92">
        <f>SUM(F389:F392)</f>
        <v>0</v>
      </c>
      <c r="G393" s="92">
        <f>SUM(G389:G392)</f>
        <v>0</v>
      </c>
      <c r="I393" s="92">
        <f>SUM(I389:I392)</f>
        <v>0</v>
      </c>
      <c r="J393" s="90"/>
      <c r="K393" s="92">
        <f>SUM(K389:K392)</f>
        <v>0</v>
      </c>
      <c r="L393" s="92">
        <f>SUM(L389:L392)</f>
        <v>0</v>
      </c>
      <c r="M393" s="90"/>
      <c r="N393" s="92">
        <f>SUM(N389:N392)</f>
        <v>0</v>
      </c>
      <c r="O393" s="90"/>
      <c r="Q393" s="90"/>
      <c r="R393" s="90"/>
    </row>
    <row r="394" spans="1:29">
      <c r="E394" s="89"/>
      <c r="F394" s="89"/>
      <c r="G394" s="89"/>
      <c r="I394" s="89"/>
      <c r="J394" s="90"/>
      <c r="K394" s="90"/>
      <c r="L394" s="90"/>
      <c r="M394" s="90"/>
      <c r="N394" s="90"/>
      <c r="O394" s="90"/>
      <c r="Q394" s="90"/>
      <c r="R394" s="90"/>
    </row>
    <row r="395" spans="1:29">
      <c r="A395" s="74" t="s">
        <v>787</v>
      </c>
      <c r="E395" s="553">
        <v>0</v>
      </c>
      <c r="F395" s="553">
        <v>0</v>
      </c>
      <c r="G395" s="553">
        <v>0</v>
      </c>
      <c r="I395" s="553">
        <v>0</v>
      </c>
      <c r="J395" s="90"/>
      <c r="K395" s="123">
        <f>H352</f>
        <v>0</v>
      </c>
      <c r="L395" s="89"/>
      <c r="M395" s="90"/>
      <c r="N395" s="90">
        <f>I395+K395-L395</f>
        <v>0</v>
      </c>
      <c r="O395" s="90"/>
      <c r="P395" s="90"/>
      <c r="Q395" s="90"/>
      <c r="R395" s="90"/>
    </row>
    <row r="396" spans="1:29">
      <c r="A396" s="74" t="s">
        <v>788</v>
      </c>
      <c r="E396" s="553">
        <v>0</v>
      </c>
      <c r="F396" s="553">
        <v>0</v>
      </c>
      <c r="G396" s="553">
        <v>0</v>
      </c>
      <c r="I396" s="553">
        <v>0</v>
      </c>
      <c r="J396" s="90"/>
      <c r="K396" s="123">
        <f>H351</f>
        <v>0</v>
      </c>
      <c r="L396" s="89"/>
      <c r="M396" s="90"/>
      <c r="N396" s="90">
        <f>I396+K396-L396</f>
        <v>0</v>
      </c>
      <c r="O396" s="90"/>
      <c r="P396" s="90"/>
      <c r="Q396" s="90"/>
      <c r="R396" s="90"/>
    </row>
    <row r="397" spans="1:29">
      <c r="A397" s="74" t="s">
        <v>754</v>
      </c>
      <c r="E397" s="553">
        <v>0</v>
      </c>
      <c r="F397" s="553">
        <v>0</v>
      </c>
      <c r="G397" s="553">
        <v>0</v>
      </c>
      <c r="I397" s="309">
        <f>G397</f>
        <v>0</v>
      </c>
      <c r="J397" s="90"/>
      <c r="K397" s="124">
        <f>E383</f>
        <v>0</v>
      </c>
      <c r="L397" s="89"/>
      <c r="M397" s="90"/>
      <c r="N397" s="90">
        <f>I397+K397-L397</f>
        <v>0</v>
      </c>
      <c r="O397" s="90"/>
      <c r="P397" s="90"/>
      <c r="Q397" s="90"/>
      <c r="R397" s="90"/>
    </row>
    <row r="398" spans="1:29">
      <c r="E398" s="89"/>
      <c r="F398" s="89"/>
      <c r="G398" s="89"/>
      <c r="I398" s="89"/>
      <c r="J398" s="90"/>
      <c r="K398" s="123"/>
      <c r="L398" s="89"/>
      <c r="M398" s="90"/>
      <c r="N398" s="90"/>
      <c r="O398" s="90"/>
      <c r="P398" s="90"/>
      <c r="Q398" s="90"/>
      <c r="R398" s="90"/>
    </row>
    <row r="399" spans="1:29">
      <c r="A399" s="74" t="s">
        <v>789</v>
      </c>
      <c r="E399" s="553">
        <v>0</v>
      </c>
      <c r="F399" s="553">
        <v>0</v>
      </c>
      <c r="G399" s="553">
        <v>0</v>
      </c>
      <c r="I399" s="553">
        <v>0</v>
      </c>
      <c r="J399" s="90"/>
      <c r="K399" s="123">
        <f>H353</f>
        <v>0</v>
      </c>
      <c r="L399" s="89"/>
      <c r="M399" s="90"/>
      <c r="N399" s="90">
        <f>I399+K399-L399</f>
        <v>0</v>
      </c>
      <c r="O399" s="90"/>
      <c r="P399" s="90"/>
      <c r="Q399" s="90"/>
      <c r="R399" s="90"/>
    </row>
    <row r="400" spans="1:29">
      <c r="A400" s="74" t="s">
        <v>790</v>
      </c>
      <c r="E400" s="553">
        <v>0</v>
      </c>
      <c r="F400" s="553">
        <v>0</v>
      </c>
      <c r="G400" s="553">
        <v>0</v>
      </c>
      <c r="I400" s="553">
        <v>0</v>
      </c>
      <c r="J400" s="90"/>
      <c r="K400" s="89"/>
      <c r="L400" s="89"/>
      <c r="M400" s="90"/>
      <c r="N400" s="90">
        <f>I400+K400-L400</f>
        <v>0</v>
      </c>
      <c r="O400" s="90"/>
      <c r="P400" s="90"/>
      <c r="Q400" s="90"/>
      <c r="R400" s="90"/>
    </row>
    <row r="401" spans="1:19">
      <c r="A401" s="70" t="s">
        <v>791</v>
      </c>
      <c r="E401" s="92">
        <f>E399+E400</f>
        <v>0</v>
      </c>
      <c r="F401" s="92">
        <f>F399+F400</f>
        <v>0</v>
      </c>
      <c r="G401" s="92">
        <f>G399+G400</f>
        <v>0</v>
      </c>
      <c r="I401" s="92">
        <f>I399+I400</f>
        <v>0</v>
      </c>
      <c r="J401" s="90"/>
      <c r="K401" s="90"/>
      <c r="L401" s="90"/>
      <c r="M401" s="90"/>
      <c r="N401" s="92">
        <f>N399+N400</f>
        <v>0</v>
      </c>
      <c r="O401" s="90"/>
      <c r="P401" s="90"/>
      <c r="Q401" s="90"/>
      <c r="R401" s="90"/>
    </row>
    <row r="402" spans="1:19">
      <c r="E402" s="90"/>
      <c r="F402" s="90"/>
      <c r="G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</row>
    <row r="403" spans="1:19">
      <c r="A403" s="83" t="s">
        <v>679</v>
      </c>
      <c r="E403" s="553">
        <v>0</v>
      </c>
      <c r="F403" s="553">
        <v>0</v>
      </c>
      <c r="G403" s="553">
        <v>0</v>
      </c>
      <c r="I403" s="553">
        <v>0</v>
      </c>
      <c r="J403" s="90"/>
      <c r="K403" s="309">
        <f>H354</f>
        <v>0</v>
      </c>
      <c r="L403" s="89"/>
      <c r="M403" s="90"/>
      <c r="N403" s="90">
        <f>I403+K403-L403</f>
        <v>0</v>
      </c>
      <c r="O403" s="90"/>
      <c r="P403" s="90"/>
      <c r="Q403" s="90"/>
      <c r="R403" s="90"/>
    </row>
    <row r="404" spans="1:19">
      <c r="A404" s="74" t="s">
        <v>792</v>
      </c>
      <c r="E404" s="553">
        <v>0</v>
      </c>
      <c r="F404" s="553">
        <v>0</v>
      </c>
      <c r="G404" s="553">
        <v>0</v>
      </c>
      <c r="I404" s="553">
        <v>0</v>
      </c>
      <c r="J404" s="90"/>
      <c r="K404" s="89"/>
      <c r="L404" s="89"/>
      <c r="M404" s="90"/>
      <c r="N404" s="90">
        <f>I404+K404-L404</f>
        <v>0</v>
      </c>
      <c r="O404" s="90"/>
      <c r="P404" s="90"/>
      <c r="Q404" s="90"/>
      <c r="R404" s="90"/>
    </row>
    <row r="405" spans="1:19" ht="12" thickBot="1">
      <c r="A405" s="70" t="s">
        <v>793</v>
      </c>
      <c r="E405" s="101">
        <f>E393+E395+E396+E397+E401+E403+E404</f>
        <v>0</v>
      </c>
      <c r="F405" s="101">
        <f>F393+F395+F396+F397+F401+F403+F404</f>
        <v>0</v>
      </c>
      <c r="G405" s="101">
        <f>G393+G395+G396+G397+G401+G403+G404</f>
        <v>0</v>
      </c>
      <c r="I405" s="101">
        <f>I393+I395+I396+I397+I401+I403+I404</f>
        <v>0</v>
      </c>
      <c r="J405" s="90"/>
      <c r="K405" s="101">
        <f>SUM(K393:K404)</f>
        <v>0</v>
      </c>
      <c r="L405" s="101">
        <f>SUM(L393:L404)</f>
        <v>0</v>
      </c>
      <c r="M405" s="90"/>
      <c r="N405" s="101">
        <f>N393+N395+N396+N397+N401+N403+N404</f>
        <v>0</v>
      </c>
      <c r="O405" s="90"/>
    </row>
    <row r="406" spans="1:19" ht="12" thickTop="1">
      <c r="E406" s="89"/>
      <c r="F406" s="89"/>
      <c r="G406" s="89"/>
      <c r="I406" s="89"/>
      <c r="J406" s="90"/>
      <c r="K406" s="90"/>
      <c r="L406" s="90"/>
      <c r="M406" s="90"/>
      <c r="N406" s="90"/>
      <c r="O406" s="90"/>
    </row>
    <row r="407" spans="1:19" ht="12" thickBot="1">
      <c r="A407" s="70" t="s">
        <v>794</v>
      </c>
      <c r="E407" s="90"/>
      <c r="F407" s="90"/>
      <c r="G407" s="90"/>
      <c r="I407" s="90"/>
      <c r="J407" s="90"/>
      <c r="K407" s="90"/>
      <c r="L407" s="90"/>
      <c r="M407" s="90"/>
      <c r="N407" s="90"/>
      <c r="O407" s="90"/>
    </row>
    <row r="408" spans="1:19" ht="12" thickTop="1">
      <c r="A408" s="74" t="s">
        <v>795</v>
      </c>
      <c r="E408" s="553">
        <v>0</v>
      </c>
      <c r="F408" s="553">
        <v>0</v>
      </c>
      <c r="G408" s="553">
        <v>0</v>
      </c>
      <c r="I408" s="553">
        <v>0</v>
      </c>
      <c r="J408" s="706"/>
      <c r="K408" s="89"/>
      <c r="L408" s="89"/>
      <c r="M408" s="90"/>
      <c r="N408" s="90">
        <f>I408+K408-L408</f>
        <v>0</v>
      </c>
      <c r="O408" s="90"/>
      <c r="P408" s="125" t="s">
        <v>345</v>
      </c>
      <c r="Q408" s="126"/>
      <c r="R408" s="125" t="s">
        <v>722</v>
      </c>
      <c r="S408" s="126"/>
    </row>
    <row r="409" spans="1:19" ht="12" thickBot="1">
      <c r="A409" s="83" t="s">
        <v>796</v>
      </c>
      <c r="E409" s="553">
        <v>0</v>
      </c>
      <c r="F409" s="553">
        <v>0</v>
      </c>
      <c r="G409" s="553">
        <v>0</v>
      </c>
      <c r="I409" s="553">
        <v>0</v>
      </c>
      <c r="J409" s="90"/>
      <c r="K409" s="89"/>
      <c r="L409" s="89"/>
      <c r="M409" s="90"/>
      <c r="N409" s="90">
        <f>I409+K409-L409</f>
        <v>0</v>
      </c>
      <c r="O409" s="90"/>
      <c r="P409" s="127" t="s">
        <v>797</v>
      </c>
      <c r="Q409" s="128"/>
      <c r="R409" s="127" t="s">
        <v>797</v>
      </c>
      <c r="S409" s="128"/>
    </row>
    <row r="410" spans="1:19" ht="12" thickTop="1">
      <c r="A410" s="74" t="s">
        <v>798</v>
      </c>
      <c r="E410" s="553">
        <v>0</v>
      </c>
      <c r="F410" s="553">
        <v>0</v>
      </c>
      <c r="G410" s="553">
        <v>0</v>
      </c>
      <c r="I410" s="553">
        <v>0</v>
      </c>
      <c r="J410" s="90"/>
      <c r="K410" s="89"/>
      <c r="L410" s="89"/>
      <c r="M410" s="90"/>
      <c r="N410" s="90">
        <f>I410+K410-L410</f>
        <v>0</v>
      </c>
      <c r="O410" s="90"/>
      <c r="P410" s="129" t="s">
        <v>765</v>
      </c>
      <c r="Q410" s="129" t="s">
        <v>764</v>
      </c>
      <c r="R410" s="129" t="s">
        <v>765</v>
      </c>
      <c r="S410" s="129" t="s">
        <v>764</v>
      </c>
    </row>
    <row r="411" spans="1:19">
      <c r="A411" s="74" t="s">
        <v>799</v>
      </c>
      <c r="E411" s="553">
        <v>0</v>
      </c>
      <c r="F411" s="553">
        <v>0</v>
      </c>
      <c r="G411" s="553">
        <v>0</v>
      </c>
      <c r="I411" s="553">
        <v>0</v>
      </c>
      <c r="J411" s="90"/>
      <c r="K411" s="553">
        <v>0</v>
      </c>
      <c r="L411" s="553">
        <v>0</v>
      </c>
      <c r="M411" s="90"/>
      <c r="N411" s="90">
        <f>I411+K411-L411</f>
        <v>0</v>
      </c>
      <c r="O411" s="90"/>
      <c r="P411" s="90">
        <f>N411</f>
        <v>0</v>
      </c>
      <c r="Q411" s="55">
        <f>IF($P$433=0,0,P411/$P$433)</f>
        <v>0</v>
      </c>
      <c r="R411" s="90">
        <f>N411</f>
        <v>0</v>
      </c>
      <c r="S411" s="55">
        <f>IF($R$433=0,0,R411/$R$433)</f>
        <v>0</v>
      </c>
    </row>
    <row r="412" spans="1:19">
      <c r="A412" s="74" t="s">
        <v>800</v>
      </c>
      <c r="E412" s="553">
        <v>0</v>
      </c>
      <c r="F412" s="553">
        <v>0</v>
      </c>
      <c r="G412" s="553">
        <v>0</v>
      </c>
      <c r="I412" s="553">
        <v>0</v>
      </c>
      <c r="J412" s="90"/>
      <c r="K412" s="309">
        <f>H337</f>
        <v>0</v>
      </c>
      <c r="L412" s="553">
        <v>0</v>
      </c>
      <c r="M412" s="90"/>
      <c r="N412" s="90">
        <f>I412+K412-L412</f>
        <v>0</v>
      </c>
      <c r="O412" s="90"/>
      <c r="P412" s="90">
        <f>N412</f>
        <v>0</v>
      </c>
      <c r="Q412" s="55">
        <f>IF($P$433=0,0,P412/$P$433)</f>
        <v>0</v>
      </c>
      <c r="R412" s="90"/>
    </row>
    <row r="413" spans="1:19">
      <c r="A413" s="70" t="s">
        <v>801</v>
      </c>
      <c r="E413" s="92">
        <f>SUM(E408:E412)</f>
        <v>0</v>
      </c>
      <c r="F413" s="92">
        <f>SUM(F408:F412)</f>
        <v>0</v>
      </c>
      <c r="G413" s="92">
        <f>SUM(G408:G412)</f>
        <v>0</v>
      </c>
      <c r="I413" s="92">
        <f>SUM(I408:I412)</f>
        <v>0</v>
      </c>
      <c r="J413" s="90"/>
      <c r="K413" s="92">
        <f>SUM(K407:K412)</f>
        <v>0</v>
      </c>
      <c r="L413" s="92">
        <f>SUM(L407:L412)</f>
        <v>0</v>
      </c>
      <c r="M413" s="90"/>
      <c r="N413" s="92">
        <f>SUM(N408:N412)</f>
        <v>0</v>
      </c>
      <c r="O413" s="90"/>
      <c r="P413" s="92">
        <f>SUM(P411:P412)</f>
        <v>0</v>
      </c>
      <c r="Q413" s="130">
        <f>IF($P$433=0,0,P413/$P$433)</f>
        <v>0</v>
      </c>
      <c r="R413" s="92">
        <f>SUM(R411:R412)</f>
        <v>0</v>
      </c>
      <c r="S413" s="130">
        <f>IF($R$433=0,0,R413/$R$433)</f>
        <v>0</v>
      </c>
    </row>
    <row r="414" spans="1:19">
      <c r="E414" s="89"/>
      <c r="F414" s="89"/>
      <c r="G414" s="89"/>
      <c r="I414" s="89"/>
      <c r="J414" s="90"/>
      <c r="K414" s="90"/>
      <c r="L414" s="90"/>
      <c r="M414" s="90"/>
      <c r="N414" s="90"/>
      <c r="O414" s="90"/>
      <c r="P414" s="90"/>
      <c r="Q414" s="55"/>
      <c r="R414" s="90"/>
    </row>
    <row r="415" spans="1:19">
      <c r="A415" s="74" t="s">
        <v>802</v>
      </c>
      <c r="E415"/>
      <c r="F415" s="553">
        <v>0</v>
      </c>
      <c r="G415" s="553">
        <v>0</v>
      </c>
      <c r="I415" s="553">
        <v>0</v>
      </c>
      <c r="K415" s="90">
        <f>H338+H341+H342-K411</f>
        <v>0</v>
      </c>
      <c r="L415" s="90">
        <f>-L411+H358-L412</f>
        <v>0</v>
      </c>
      <c r="N415" s="90">
        <f>I415+K415-L415</f>
        <v>0</v>
      </c>
      <c r="P415" s="5">
        <f>N415</f>
        <v>0</v>
      </c>
      <c r="Q415" s="55">
        <f>IF($P$433=0,0,P415/$P$433)</f>
        <v>0</v>
      </c>
      <c r="R415" s="5">
        <f>N415</f>
        <v>0</v>
      </c>
      <c r="S415" s="55">
        <f>IF($R$433=0,0,R415/$R$433)</f>
        <v>0</v>
      </c>
    </row>
    <row r="416" spans="1:19">
      <c r="A416" s="74" t="s">
        <v>636</v>
      </c>
      <c r="E416"/>
      <c r="F416" s="553">
        <v>0</v>
      </c>
      <c r="G416" s="553">
        <v>0</v>
      </c>
      <c r="I416" s="553">
        <v>0</v>
      </c>
      <c r="J416" s="90"/>
      <c r="K416" s="5">
        <f>H343+H344</f>
        <v>0</v>
      </c>
      <c r="L416" s="5">
        <f>E359</f>
        <v>0</v>
      </c>
      <c r="M416" s="90"/>
      <c r="N416" s="90">
        <f>I416+K416-L416</f>
        <v>0</v>
      </c>
      <c r="O416" s="90"/>
      <c r="P416" s="5">
        <f>N416</f>
        <v>0</v>
      </c>
      <c r="Q416" s="55">
        <f>IF($P$433=0,0,P416/$P$433)</f>
        <v>0</v>
      </c>
      <c r="R416" s="5">
        <f>N416</f>
        <v>0</v>
      </c>
      <c r="S416" s="55">
        <f>IF($R$433=0,0,R416/$R$433)</f>
        <v>0</v>
      </c>
    </row>
    <row r="417" spans="1:19">
      <c r="A417" s="74" t="s">
        <v>803</v>
      </c>
      <c r="E417"/>
      <c r="F417" s="553">
        <v>0</v>
      </c>
      <c r="G417" s="553">
        <v>0</v>
      </c>
      <c r="I417" s="553">
        <v>0</v>
      </c>
      <c r="J417" s="90"/>
      <c r="K417" s="89"/>
      <c r="L417" s="89"/>
      <c r="M417" s="90"/>
      <c r="N417" s="90">
        <f>I417+K417-L417</f>
        <v>0</v>
      </c>
      <c r="O417" s="90"/>
      <c r="Q417" s="55"/>
      <c r="S417" s="55"/>
    </row>
    <row r="418" spans="1:19">
      <c r="A418" s="74" t="s">
        <v>804</v>
      </c>
      <c r="E418"/>
      <c r="F418" s="553">
        <v>0</v>
      </c>
      <c r="G418" s="553">
        <v>0</v>
      </c>
      <c r="I418" s="553">
        <v>0</v>
      </c>
      <c r="J418"/>
      <c r="K418" s="123">
        <f>E339</f>
        <v>0</v>
      </c>
      <c r="L418" s="89"/>
      <c r="M418" s="90"/>
      <c r="N418" s="90">
        <f>I418+K418-L418</f>
        <v>0</v>
      </c>
      <c r="O418" s="90"/>
      <c r="P418" s="5">
        <f>N418</f>
        <v>0</v>
      </c>
      <c r="Q418" s="55">
        <f>IF($P$433=0,0,P418/$P$433)</f>
        <v>0</v>
      </c>
      <c r="R418" s="5">
        <f>N418</f>
        <v>0</v>
      </c>
      <c r="S418" s="55">
        <f>IF($R$433=0,0,R418/$R$433)</f>
        <v>0</v>
      </c>
    </row>
    <row r="419" spans="1:19">
      <c r="A419" s="74" t="s">
        <v>805</v>
      </c>
      <c r="E419"/>
      <c r="F419" s="554">
        <v>0</v>
      </c>
      <c r="G419" s="554">
        <v>0</v>
      </c>
      <c r="I419" s="554">
        <v>0</v>
      </c>
      <c r="J419"/>
      <c r="K419" s="131"/>
      <c r="N419" s="90">
        <f>I419+K419-L419</f>
        <v>0</v>
      </c>
      <c r="Q419" s="55"/>
      <c r="S419" s="55"/>
    </row>
    <row r="420" spans="1:19">
      <c r="A420" s="70" t="s">
        <v>806</v>
      </c>
      <c r="E420" s="92">
        <f>E416+E417+E415+E419+E418</f>
        <v>0</v>
      </c>
      <c r="F420" s="92">
        <f>F416+F417+F415+F419+F418</f>
        <v>0</v>
      </c>
      <c r="G420" s="92">
        <f>G416+G417+G415+G419+G418</f>
        <v>0</v>
      </c>
      <c r="I420" s="92">
        <f>I416+I417+I415+I419+I418</f>
        <v>0</v>
      </c>
      <c r="J420"/>
      <c r="K420" s="92">
        <f>K416+K417+K415+K419+K418</f>
        <v>0</v>
      </c>
      <c r="L420" s="92">
        <f>L416+L417+L415+L419+L418</f>
        <v>0</v>
      </c>
      <c r="M420" s="90"/>
      <c r="N420" s="92">
        <f>N416+N417+N415+N419+N418</f>
        <v>0</v>
      </c>
      <c r="O420" s="90"/>
      <c r="P420" s="92">
        <f>SUM(P415:P419)</f>
        <v>0</v>
      </c>
      <c r="Q420" s="130">
        <f>IF($P$433=0,0,P420/$P$433)</f>
        <v>0</v>
      </c>
      <c r="R420" s="92">
        <f>SUM(R415:R419)</f>
        <v>0</v>
      </c>
      <c r="S420" s="130">
        <f>IF($R$433=0,0,R420/$R$433)</f>
        <v>0</v>
      </c>
    </row>
    <row r="421" spans="1:19">
      <c r="E421" s="90"/>
      <c r="F421" s="90"/>
      <c r="G421" s="90"/>
      <c r="I421" s="90"/>
      <c r="J421" s="90"/>
      <c r="K421" s="90"/>
      <c r="L421" s="90"/>
      <c r="M421" s="90"/>
      <c r="N421" s="90"/>
      <c r="O421" s="90"/>
      <c r="P421" s="90"/>
      <c r="Q421" s="55"/>
      <c r="R421" s="90"/>
      <c r="S421" s="55"/>
    </row>
    <row r="422" spans="1:19">
      <c r="A422" s="70" t="s">
        <v>807</v>
      </c>
      <c r="E422" s="90">
        <f>E420+E413</f>
        <v>0</v>
      </c>
      <c r="F422" s="90">
        <f>F420+F413</f>
        <v>0</v>
      </c>
      <c r="G422" s="90">
        <f>G420+G413</f>
        <v>0</v>
      </c>
      <c r="I422" s="90">
        <f>I420+I413</f>
        <v>0</v>
      </c>
      <c r="J422" s="90"/>
      <c r="K422" s="90">
        <f>K420+K413</f>
        <v>0</v>
      </c>
      <c r="L422" s="90">
        <f>L420+L413</f>
        <v>0</v>
      </c>
      <c r="M422" s="90"/>
      <c r="N422" s="90">
        <f>N413+N420</f>
        <v>0</v>
      </c>
      <c r="O422" s="90"/>
      <c r="P422" s="90">
        <f>P413+P420</f>
        <v>0</v>
      </c>
      <c r="Q422" s="55">
        <f>IF($P$433=0,0,P422/$P$433)</f>
        <v>0</v>
      </c>
      <c r="R422" s="90">
        <f>R413+R420</f>
        <v>0</v>
      </c>
      <c r="S422" s="55">
        <f>IF($R$433=0,0,R422/$R$433)</f>
        <v>0</v>
      </c>
    </row>
    <row r="423" spans="1:19">
      <c r="E423" s="89"/>
      <c r="F423" s="89"/>
      <c r="G423" s="89"/>
      <c r="I423" s="89"/>
      <c r="J423" s="90"/>
      <c r="K423" s="90"/>
      <c r="L423" s="90"/>
      <c r="M423" s="90"/>
      <c r="N423" s="90"/>
      <c r="O423" s="90"/>
      <c r="P423" s="90"/>
      <c r="Q423" s="55"/>
      <c r="R423" s="90"/>
      <c r="S423" s="55"/>
    </row>
    <row r="424" spans="1:19">
      <c r="A424" s="5" t="str">
        <f>B345</f>
        <v>Preferred Stock</v>
      </c>
      <c r="E424" s="553">
        <v>0</v>
      </c>
      <c r="F424" s="553">
        <v>0</v>
      </c>
      <c r="G424" s="553">
        <v>0</v>
      </c>
      <c r="I424" s="553">
        <v>0</v>
      </c>
      <c r="J424" s="90"/>
      <c r="K424" s="90">
        <f>H345</f>
        <v>0</v>
      </c>
      <c r="L424" s="123">
        <f>H360</f>
        <v>0</v>
      </c>
      <c r="M424" s="90"/>
      <c r="N424" s="90">
        <f t="shared" ref="N424:N431" si="399">I424+K424-L424</f>
        <v>0</v>
      </c>
      <c r="O424" s="90"/>
      <c r="P424" s="90">
        <f t="shared" ref="P424:P431" si="400">N424</f>
        <v>0</v>
      </c>
      <c r="Q424" s="55">
        <f t="shared" ref="Q424:Q433" si="401">IF($P$433=0,0,P424/$P$433)</f>
        <v>0</v>
      </c>
      <c r="R424" s="90">
        <f t="shared" ref="R424:R431" si="402">N424</f>
        <v>0</v>
      </c>
      <c r="S424" s="55">
        <f t="shared" ref="S424:S433" si="403">IF($R$433=0,0,R424/$R$433)</f>
        <v>0</v>
      </c>
    </row>
    <row r="425" spans="1:19">
      <c r="A425" s="5" t="str">
        <f>B346</f>
        <v>Common Stock</v>
      </c>
      <c r="E425" s="553">
        <v>0</v>
      </c>
      <c r="F425" s="554">
        <v>0</v>
      </c>
      <c r="G425" s="554">
        <v>0</v>
      </c>
      <c r="I425" s="554">
        <v>0</v>
      </c>
      <c r="J425" s="90"/>
      <c r="K425" s="90">
        <f>H346</f>
        <v>0</v>
      </c>
      <c r="L425" s="553">
        <v>0</v>
      </c>
      <c r="M425" s="90"/>
      <c r="N425" s="90">
        <f t="shared" si="399"/>
        <v>0</v>
      </c>
      <c r="O425" s="90"/>
      <c r="P425" s="90">
        <f t="shared" si="400"/>
        <v>0</v>
      </c>
      <c r="Q425" s="55">
        <f t="shared" si="401"/>
        <v>0</v>
      </c>
      <c r="R425" s="90">
        <f t="shared" si="402"/>
        <v>0</v>
      </c>
      <c r="S425" s="55">
        <f t="shared" si="403"/>
        <v>0</v>
      </c>
    </row>
    <row r="426" spans="1:19">
      <c r="A426" s="74" t="s">
        <v>808</v>
      </c>
      <c r="E426" s="553">
        <v>0</v>
      </c>
      <c r="F426" s="553">
        <v>0</v>
      </c>
      <c r="G426" s="553">
        <v>0</v>
      </c>
      <c r="I426" s="553">
        <v>0</v>
      </c>
      <c r="J426" s="90"/>
      <c r="K426" s="90"/>
      <c r="L426" s="553">
        <v>0</v>
      </c>
      <c r="M426" s="90"/>
      <c r="N426" s="90">
        <f t="shared" si="399"/>
        <v>0</v>
      </c>
      <c r="O426" s="90"/>
      <c r="P426" s="90">
        <f t="shared" si="400"/>
        <v>0</v>
      </c>
      <c r="Q426" s="55">
        <f t="shared" si="401"/>
        <v>0</v>
      </c>
      <c r="R426" s="90">
        <f t="shared" si="402"/>
        <v>0</v>
      </c>
      <c r="S426" s="55">
        <f t="shared" si="403"/>
        <v>0</v>
      </c>
    </row>
    <row r="427" spans="1:19">
      <c r="A427" s="74" t="s">
        <v>809</v>
      </c>
      <c r="I427" s="89"/>
      <c r="N427" s="90">
        <f t="shared" si="399"/>
        <v>0</v>
      </c>
      <c r="P427" s="90">
        <f t="shared" si="400"/>
        <v>0</v>
      </c>
      <c r="Q427" s="55">
        <f t="shared" si="401"/>
        <v>0</v>
      </c>
      <c r="R427" s="90">
        <f t="shared" si="402"/>
        <v>0</v>
      </c>
      <c r="S427" s="55">
        <f t="shared" si="403"/>
        <v>0</v>
      </c>
    </row>
    <row r="428" spans="1:19">
      <c r="A428" s="74" t="s">
        <v>810</v>
      </c>
      <c r="E428" s="553">
        <v>0</v>
      </c>
      <c r="F428" s="553">
        <v>0</v>
      </c>
      <c r="G428" s="553">
        <v>0</v>
      </c>
      <c r="I428" s="553">
        <v>0</v>
      </c>
      <c r="J428" s="90"/>
      <c r="K428" s="89"/>
      <c r="L428" s="283">
        <f>H356</f>
        <v>0</v>
      </c>
      <c r="M428" s="90"/>
      <c r="N428" s="90">
        <f t="shared" si="399"/>
        <v>0</v>
      </c>
      <c r="O428" s="90"/>
      <c r="P428" s="90">
        <f t="shared" si="400"/>
        <v>0</v>
      </c>
      <c r="Q428" s="55">
        <f t="shared" si="401"/>
        <v>0</v>
      </c>
      <c r="R428" s="90">
        <f t="shared" si="402"/>
        <v>0</v>
      </c>
      <c r="S428" s="55">
        <f t="shared" si="403"/>
        <v>0</v>
      </c>
    </row>
    <row r="429" spans="1:19">
      <c r="A429" s="74" t="s">
        <v>811</v>
      </c>
      <c r="E429" s="553">
        <v>0</v>
      </c>
      <c r="F429" s="553">
        <v>0</v>
      </c>
      <c r="G429" s="553">
        <v>0</v>
      </c>
      <c r="I429" s="553">
        <v>0</v>
      </c>
      <c r="J429" s="90"/>
      <c r="K429" s="89"/>
      <c r="L429" s="283">
        <f>H355-L426-L425</f>
        <v>0</v>
      </c>
      <c r="M429" s="90"/>
      <c r="N429" s="90">
        <f t="shared" si="399"/>
        <v>0</v>
      </c>
      <c r="O429" s="90"/>
      <c r="P429" s="90">
        <f t="shared" si="400"/>
        <v>0</v>
      </c>
      <c r="Q429" s="55">
        <f t="shared" si="401"/>
        <v>0</v>
      </c>
      <c r="R429" s="90">
        <f t="shared" si="402"/>
        <v>0</v>
      </c>
      <c r="S429" s="55">
        <f t="shared" si="403"/>
        <v>0</v>
      </c>
    </row>
    <row r="430" spans="1:19">
      <c r="A430" s="74" t="s">
        <v>812</v>
      </c>
      <c r="E430" s="553">
        <v>0</v>
      </c>
      <c r="F430" s="554">
        <v>0</v>
      </c>
      <c r="G430" s="554">
        <v>0</v>
      </c>
      <c r="I430" s="554">
        <v>0</v>
      </c>
      <c r="K430" s="16"/>
      <c r="L430" s="223"/>
      <c r="N430" s="90">
        <f t="shared" si="399"/>
        <v>0</v>
      </c>
      <c r="P430" s="90">
        <f t="shared" si="400"/>
        <v>0</v>
      </c>
      <c r="Q430" s="55">
        <f t="shared" si="401"/>
        <v>0</v>
      </c>
      <c r="R430" s="90">
        <f t="shared" si="402"/>
        <v>0</v>
      </c>
      <c r="S430" s="55">
        <f t="shared" si="403"/>
        <v>0</v>
      </c>
    </row>
    <row r="431" spans="1:19">
      <c r="A431" s="74" t="s">
        <v>813</v>
      </c>
      <c r="E431" s="553">
        <v>0</v>
      </c>
      <c r="F431" s="554">
        <v>0</v>
      </c>
      <c r="G431" s="554">
        <v>0</v>
      </c>
      <c r="I431" s="554">
        <v>0</v>
      </c>
      <c r="N431" s="90">
        <f t="shared" si="399"/>
        <v>0</v>
      </c>
      <c r="P431" s="90">
        <f t="shared" si="400"/>
        <v>0</v>
      </c>
      <c r="Q431" s="55">
        <f t="shared" si="401"/>
        <v>0</v>
      </c>
      <c r="R431" s="90">
        <f t="shared" si="402"/>
        <v>0</v>
      </c>
      <c r="S431" s="55">
        <f t="shared" si="403"/>
        <v>0</v>
      </c>
    </row>
    <row r="432" spans="1:19">
      <c r="A432" s="70" t="s">
        <v>814</v>
      </c>
      <c r="D432" s="90"/>
      <c r="E432" s="92">
        <f>SUM(E424:E431)</f>
        <v>0</v>
      </c>
      <c r="F432" s="92">
        <f>SUM(F424:F431)</f>
        <v>0</v>
      </c>
      <c r="G432" s="92">
        <f>SUM(G424:G431)</f>
        <v>0</v>
      </c>
      <c r="I432" s="92">
        <f>SUM(I424:I431)</f>
        <v>0</v>
      </c>
      <c r="J432" s="90"/>
      <c r="K432" s="92">
        <f>SUM(K424:K431)</f>
        <v>0</v>
      </c>
      <c r="L432" s="92">
        <f>SUM(L424:L431)</f>
        <v>0</v>
      </c>
      <c r="M432" s="90"/>
      <c r="N432" s="92">
        <f>SUM(N424:N431)</f>
        <v>0</v>
      </c>
      <c r="O432" s="90"/>
      <c r="P432" s="92">
        <f>SUM(P424:P431)</f>
        <v>0</v>
      </c>
      <c r="Q432" s="130">
        <f t="shared" si="401"/>
        <v>0</v>
      </c>
      <c r="R432" s="92">
        <f>SUM(R424:R431)</f>
        <v>0</v>
      </c>
      <c r="S432" s="130">
        <f t="shared" si="403"/>
        <v>0</v>
      </c>
    </row>
    <row r="433" spans="1:29" ht="12" thickBot="1">
      <c r="A433" s="70" t="s">
        <v>815</v>
      </c>
      <c r="E433" s="101">
        <f>E422+E432</f>
        <v>0</v>
      </c>
      <c r="F433" s="101">
        <f>F422+F432</f>
        <v>0</v>
      </c>
      <c r="G433" s="101">
        <f>G422+G432</f>
        <v>0</v>
      </c>
      <c r="I433" s="101">
        <f>I422+I432</f>
        <v>0</v>
      </c>
      <c r="J433" s="90"/>
      <c r="K433" s="101">
        <f>K432+K422</f>
        <v>0</v>
      </c>
      <c r="L433" s="101">
        <f>L432+L422</f>
        <v>0</v>
      </c>
      <c r="M433" s="90"/>
      <c r="N433" s="101">
        <f>N422+N432</f>
        <v>0</v>
      </c>
      <c r="O433" s="90"/>
      <c r="P433" s="101">
        <f>P422+P432</f>
        <v>0</v>
      </c>
      <c r="Q433" s="132">
        <f t="shared" si="401"/>
        <v>0</v>
      </c>
      <c r="R433" s="101">
        <f>R422+R432</f>
        <v>0</v>
      </c>
      <c r="S433" s="132">
        <f t="shared" si="403"/>
        <v>0</v>
      </c>
    </row>
    <row r="434" spans="1:29" ht="12" thickTop="1">
      <c r="A434" s="77"/>
      <c r="J434" s="90"/>
      <c r="K434" s="90"/>
      <c r="L434" s="90"/>
      <c r="M434" s="90"/>
      <c r="N434" s="90"/>
      <c r="O434" s="90"/>
      <c r="P434" s="90"/>
      <c r="Q434" s="55"/>
      <c r="R434" s="90"/>
    </row>
    <row r="435" spans="1:29">
      <c r="A435" s="70" t="s">
        <v>703</v>
      </c>
      <c r="E435" s="90">
        <f>E405-E433</f>
        <v>0</v>
      </c>
      <c r="F435" s="90">
        <f>F405-F433</f>
        <v>0</v>
      </c>
      <c r="G435" s="90">
        <f>G405-G433</f>
        <v>0</v>
      </c>
      <c r="I435" s="90">
        <f>I405-I433</f>
        <v>0</v>
      </c>
      <c r="J435" s="90"/>
      <c r="K435" s="90">
        <f>K405-K433</f>
        <v>0</v>
      </c>
      <c r="L435" s="90">
        <f>L405-L433</f>
        <v>0</v>
      </c>
      <c r="M435" s="90"/>
      <c r="N435" s="90">
        <f>N405-N433</f>
        <v>0</v>
      </c>
      <c r="O435" s="90"/>
      <c r="P435" s="90"/>
      <c r="Q435" s="90"/>
      <c r="R435" s="90"/>
    </row>
    <row r="437" spans="1:29" ht="12" thickBot="1">
      <c r="A437" s="74"/>
      <c r="B437"/>
      <c r="C437"/>
      <c r="D437"/>
      <c r="E437"/>
      <c r="F437" s="55"/>
    </row>
    <row r="438" spans="1:29" ht="12.75" thickTop="1" thickBot="1">
      <c r="A438" s="301"/>
      <c r="B438" s="301"/>
      <c r="C438" s="301"/>
      <c r="D438" s="301"/>
      <c r="E438" s="301"/>
      <c r="F438" s="354"/>
      <c r="G438" s="304"/>
      <c r="H438" s="304"/>
      <c r="I438" s="304"/>
      <c r="J438" s="304"/>
      <c r="K438" s="304"/>
      <c r="L438" s="304"/>
      <c r="M438" s="304"/>
      <c r="N438" s="304"/>
      <c r="O438" s="304"/>
      <c r="P438" s="304"/>
      <c r="Q438" s="304"/>
      <c r="R438" s="304"/>
      <c r="S438" s="304"/>
      <c r="T438" s="304"/>
      <c r="U438" s="304"/>
      <c r="V438" s="304"/>
      <c r="W438" s="304"/>
      <c r="X438" s="304"/>
      <c r="Y438" s="304"/>
    </row>
    <row r="439" spans="1:29" ht="12.75" thickTop="1" thickBot="1">
      <c r="A439" s="337" t="s">
        <v>816</v>
      </c>
      <c r="D439" s="22"/>
      <c r="E439" s="73">
        <f>E580</f>
        <v>1996</v>
      </c>
      <c r="F439" s="73">
        <f>F580</f>
        <v>1997</v>
      </c>
      <c r="G439" s="73">
        <f>G580</f>
        <v>1998</v>
      </c>
      <c r="H439" s="86" t="str">
        <f ca="1">$H$579&amp;"/"&amp;TEXT($H$580,"0")</f>
        <v>6 M/1999</v>
      </c>
      <c r="I439" s="146" t="str">
        <f ca="1">$I$579&amp;"/"&amp;TEXT($I$580,"0")</f>
        <v>6 M/1999</v>
      </c>
      <c r="J439" s="140">
        <f t="shared" ref="J439:AC439" si="404">J580</f>
        <v>2000</v>
      </c>
      <c r="K439" s="140">
        <f t="shared" si="404"/>
        <v>2001</v>
      </c>
      <c r="L439" s="140">
        <f t="shared" si="404"/>
        <v>2002</v>
      </c>
      <c r="M439" s="140">
        <f t="shared" si="404"/>
        <v>2003</v>
      </c>
      <c r="N439" s="140">
        <f t="shared" si="404"/>
        <v>2004</v>
      </c>
      <c r="O439" s="140">
        <f t="shared" si="404"/>
        <v>2005</v>
      </c>
      <c r="P439" s="140">
        <f t="shared" si="404"/>
        <v>2006</v>
      </c>
      <c r="Q439" s="140">
        <f t="shared" si="404"/>
        <v>2007</v>
      </c>
      <c r="R439" s="140">
        <f t="shared" si="404"/>
        <v>2008</v>
      </c>
      <c r="S439" s="140">
        <f t="shared" si="404"/>
        <v>2009</v>
      </c>
      <c r="T439" s="140">
        <f t="shared" si="404"/>
        <v>2010</v>
      </c>
      <c r="U439" s="140">
        <f t="shared" si="404"/>
        <v>2011</v>
      </c>
      <c r="V439" s="140">
        <f t="shared" si="404"/>
        <v>2012</v>
      </c>
      <c r="W439" s="140">
        <f t="shared" si="404"/>
        <v>2013</v>
      </c>
      <c r="X439" s="140">
        <f t="shared" si="404"/>
        <v>2014</v>
      </c>
      <c r="Y439" s="140">
        <f t="shared" si="404"/>
        <v>2015</v>
      </c>
      <c r="Z439" s="140">
        <f t="shared" si="404"/>
        <v>2016</v>
      </c>
      <c r="AA439" s="140">
        <f t="shared" si="404"/>
        <v>2017</v>
      </c>
      <c r="AB439" s="140">
        <f t="shared" si="404"/>
        <v>2018</v>
      </c>
      <c r="AC439" s="140">
        <f t="shared" si="404"/>
        <v>2019</v>
      </c>
    </row>
    <row r="440" spans="1:29" ht="12" thickTop="1">
      <c r="A440" s="162" t="str">
        <f>A450&amp;"  (Days)"</f>
        <v>Operating Cash Balance  (Days)</v>
      </c>
      <c r="B440" s="85"/>
      <c r="C440" s="85"/>
      <c r="D440" s="85"/>
      <c r="E440" s="163">
        <f>IF(E584&lt;1,0,E450/(E$584)*365)</f>
        <v>0</v>
      </c>
      <c r="F440" s="163">
        <f>IF(F584&lt;1,0,F450/(F$584)*365)</f>
        <v>0</v>
      </c>
      <c r="G440" s="163">
        <f>IF(G584&lt;1,0,G450/(G$584)*365)</f>
        <v>0</v>
      </c>
      <c r="H440" s="163">
        <f ca="1">IF(H584&lt;1,0,H450/(H$584/$C$325)*365)</f>
        <v>0</v>
      </c>
      <c r="I440" s="566">
        <f ca="1">+H440</f>
        <v>0</v>
      </c>
      <c r="J440" s="566">
        <f t="shared" ref="J440:AC440" ca="1" si="405">I440</f>
        <v>0</v>
      </c>
      <c r="K440" s="566">
        <f t="shared" ca="1" si="405"/>
        <v>0</v>
      </c>
      <c r="L440" s="566">
        <f t="shared" ca="1" si="405"/>
        <v>0</v>
      </c>
      <c r="M440" s="566">
        <f t="shared" ca="1" si="405"/>
        <v>0</v>
      </c>
      <c r="N440" s="566">
        <f t="shared" ca="1" si="405"/>
        <v>0</v>
      </c>
      <c r="O440" s="566">
        <f t="shared" ca="1" si="405"/>
        <v>0</v>
      </c>
      <c r="P440" s="566">
        <f t="shared" ca="1" si="405"/>
        <v>0</v>
      </c>
      <c r="Q440" s="566">
        <f t="shared" ca="1" si="405"/>
        <v>0</v>
      </c>
      <c r="R440" s="566">
        <f t="shared" ca="1" si="405"/>
        <v>0</v>
      </c>
      <c r="S440" s="566">
        <f t="shared" ca="1" si="405"/>
        <v>0</v>
      </c>
      <c r="T440" s="566">
        <f t="shared" ca="1" si="405"/>
        <v>0</v>
      </c>
      <c r="U440" s="566">
        <f t="shared" ca="1" si="405"/>
        <v>0</v>
      </c>
      <c r="V440" s="566">
        <f t="shared" ca="1" si="405"/>
        <v>0</v>
      </c>
      <c r="W440" s="566">
        <f t="shared" ca="1" si="405"/>
        <v>0</v>
      </c>
      <c r="X440" s="566">
        <f t="shared" ca="1" si="405"/>
        <v>0</v>
      </c>
      <c r="Y440" s="566">
        <f t="shared" ca="1" si="405"/>
        <v>0</v>
      </c>
      <c r="Z440" s="566">
        <f t="shared" ca="1" si="405"/>
        <v>0</v>
      </c>
      <c r="AA440" s="566">
        <f t="shared" ca="1" si="405"/>
        <v>0</v>
      </c>
      <c r="AB440" s="566">
        <f t="shared" ca="1" si="405"/>
        <v>0</v>
      </c>
      <c r="AC440" s="566">
        <f t="shared" ca="1" si="405"/>
        <v>0</v>
      </c>
    </row>
    <row r="441" spans="1:29">
      <c r="A441" s="162" t="str">
        <f>A451&amp;"  (Days)"</f>
        <v>Accounts Receivable  (Days)</v>
      </c>
      <c r="B441" s="85"/>
      <c r="C441" s="85"/>
      <c r="D441" s="85"/>
      <c r="E441" s="163">
        <f>IF(E584&lt;1,0,E451/(E$584)*365)</f>
        <v>0</v>
      </c>
      <c r="F441" s="163">
        <f>IF(F584&lt;1,0,F451/(F$584)*365)</f>
        <v>0</v>
      </c>
      <c r="G441" s="163">
        <f>IF(G584&lt;1,0,G451/(G$584)*365)</f>
        <v>0</v>
      </c>
      <c r="H441" s="163">
        <f ca="1">IF(H584&lt;1,0,H451/(H$584/$C$325)*365)</f>
        <v>0</v>
      </c>
      <c r="I441" s="566">
        <f t="shared" ref="I441:I446" ca="1" si="406">H441</f>
        <v>0</v>
      </c>
      <c r="J441" s="566">
        <f t="shared" ref="J441:AC441" ca="1" si="407">I441</f>
        <v>0</v>
      </c>
      <c r="K441" s="566">
        <f t="shared" ca="1" si="407"/>
        <v>0</v>
      </c>
      <c r="L441" s="566">
        <f t="shared" ca="1" si="407"/>
        <v>0</v>
      </c>
      <c r="M441" s="566">
        <f t="shared" ca="1" si="407"/>
        <v>0</v>
      </c>
      <c r="N441" s="566">
        <f t="shared" ca="1" si="407"/>
        <v>0</v>
      </c>
      <c r="O441" s="566">
        <f t="shared" ca="1" si="407"/>
        <v>0</v>
      </c>
      <c r="P441" s="566">
        <f t="shared" ca="1" si="407"/>
        <v>0</v>
      </c>
      <c r="Q441" s="566">
        <f t="shared" ca="1" si="407"/>
        <v>0</v>
      </c>
      <c r="R441" s="566">
        <f t="shared" ca="1" si="407"/>
        <v>0</v>
      </c>
      <c r="S441" s="566">
        <f t="shared" ca="1" si="407"/>
        <v>0</v>
      </c>
      <c r="T441" s="566">
        <f t="shared" ca="1" si="407"/>
        <v>0</v>
      </c>
      <c r="U441" s="566">
        <f t="shared" ca="1" si="407"/>
        <v>0</v>
      </c>
      <c r="V441" s="566">
        <f t="shared" ca="1" si="407"/>
        <v>0</v>
      </c>
      <c r="W441" s="566">
        <f t="shared" ca="1" si="407"/>
        <v>0</v>
      </c>
      <c r="X441" s="566">
        <f t="shared" ca="1" si="407"/>
        <v>0</v>
      </c>
      <c r="Y441" s="566">
        <f t="shared" ca="1" si="407"/>
        <v>0</v>
      </c>
      <c r="Z441" s="566">
        <f t="shared" ca="1" si="407"/>
        <v>0</v>
      </c>
      <c r="AA441" s="566">
        <f t="shared" ca="1" si="407"/>
        <v>0</v>
      </c>
      <c r="AB441" s="566">
        <f t="shared" ca="1" si="407"/>
        <v>0</v>
      </c>
      <c r="AC441" s="566">
        <f t="shared" ca="1" si="407"/>
        <v>0</v>
      </c>
    </row>
    <row r="442" spans="1:29">
      <c r="A442" s="162" t="str">
        <f>A452&amp;"  (x)"</f>
        <v>Inventories  (x)</v>
      </c>
      <c r="B442" s="85"/>
      <c r="C442" s="85"/>
      <c r="D442" s="85"/>
      <c r="E442" s="163">
        <f>IF(E452&lt;1,0,E$70/E452)</f>
        <v>0</v>
      </c>
      <c r="F442" s="163">
        <f>IF(F452&lt;1,0,F$70/F452)</f>
        <v>0</v>
      </c>
      <c r="G442" s="163">
        <f>IF(G452&lt;1,0,G$70/G452)</f>
        <v>0</v>
      </c>
      <c r="H442" s="163">
        <f ca="1">IF(H452&lt;1,0,(H$70/$C$325)/H452)</f>
        <v>0</v>
      </c>
      <c r="I442" s="566">
        <f t="shared" ca="1" si="406"/>
        <v>0</v>
      </c>
      <c r="J442" s="566">
        <f t="shared" ref="J442:AC442" ca="1" si="408">I442</f>
        <v>0</v>
      </c>
      <c r="K442" s="566">
        <f t="shared" ca="1" si="408"/>
        <v>0</v>
      </c>
      <c r="L442" s="566">
        <f t="shared" ca="1" si="408"/>
        <v>0</v>
      </c>
      <c r="M442" s="566">
        <f t="shared" ca="1" si="408"/>
        <v>0</v>
      </c>
      <c r="N442" s="566">
        <f t="shared" ca="1" si="408"/>
        <v>0</v>
      </c>
      <c r="O442" s="566">
        <f t="shared" ca="1" si="408"/>
        <v>0</v>
      </c>
      <c r="P442" s="566">
        <f t="shared" ca="1" si="408"/>
        <v>0</v>
      </c>
      <c r="Q442" s="566">
        <f t="shared" ca="1" si="408"/>
        <v>0</v>
      </c>
      <c r="R442" s="566">
        <f t="shared" ca="1" si="408"/>
        <v>0</v>
      </c>
      <c r="S442" s="566">
        <f t="shared" ca="1" si="408"/>
        <v>0</v>
      </c>
      <c r="T442" s="566">
        <f t="shared" ca="1" si="408"/>
        <v>0</v>
      </c>
      <c r="U442" s="566">
        <f t="shared" ca="1" si="408"/>
        <v>0</v>
      </c>
      <c r="V442" s="566">
        <f t="shared" ca="1" si="408"/>
        <v>0</v>
      </c>
      <c r="W442" s="566">
        <f t="shared" ca="1" si="408"/>
        <v>0</v>
      </c>
      <c r="X442" s="566">
        <f t="shared" ca="1" si="408"/>
        <v>0</v>
      </c>
      <c r="Y442" s="566">
        <f t="shared" ca="1" si="408"/>
        <v>0</v>
      </c>
      <c r="Z442" s="566">
        <f t="shared" ca="1" si="408"/>
        <v>0</v>
      </c>
      <c r="AA442" s="566">
        <f t="shared" ca="1" si="408"/>
        <v>0</v>
      </c>
      <c r="AB442" s="566">
        <f t="shared" ca="1" si="408"/>
        <v>0</v>
      </c>
      <c r="AC442" s="566">
        <f t="shared" ca="1" si="408"/>
        <v>0</v>
      </c>
    </row>
    <row r="443" spans="1:29">
      <c r="A443" s="162" t="str">
        <f>A453&amp;"  ($)"</f>
        <v>Other Current Assets  ($)</v>
      </c>
      <c r="B443" s="85"/>
      <c r="C443" s="85"/>
      <c r="D443" s="85"/>
      <c r="E443" s="164">
        <f>E453</f>
        <v>0</v>
      </c>
      <c r="F443" s="164">
        <f>F453</f>
        <v>0</v>
      </c>
      <c r="G443" s="164">
        <f>G453</f>
        <v>0</v>
      </c>
      <c r="H443" s="164">
        <f>H453</f>
        <v>0</v>
      </c>
      <c r="I443" s="514">
        <f t="shared" si="406"/>
        <v>0</v>
      </c>
      <c r="J443" s="514">
        <f t="shared" ref="J443:AC443" si="409">I443</f>
        <v>0</v>
      </c>
      <c r="K443" s="514">
        <f t="shared" si="409"/>
        <v>0</v>
      </c>
      <c r="L443" s="514">
        <f t="shared" si="409"/>
        <v>0</v>
      </c>
      <c r="M443" s="514">
        <f t="shared" si="409"/>
        <v>0</v>
      </c>
      <c r="N443" s="514">
        <f t="shared" si="409"/>
        <v>0</v>
      </c>
      <c r="O443" s="514">
        <f t="shared" si="409"/>
        <v>0</v>
      </c>
      <c r="P443" s="514">
        <f t="shared" si="409"/>
        <v>0</v>
      </c>
      <c r="Q443" s="514">
        <f t="shared" si="409"/>
        <v>0</v>
      </c>
      <c r="R443" s="514">
        <f t="shared" si="409"/>
        <v>0</v>
      </c>
      <c r="S443" s="514">
        <f t="shared" si="409"/>
        <v>0</v>
      </c>
      <c r="T443" s="514">
        <f t="shared" si="409"/>
        <v>0</v>
      </c>
      <c r="U443" s="514">
        <f t="shared" si="409"/>
        <v>0</v>
      </c>
      <c r="V443" s="514">
        <f t="shared" si="409"/>
        <v>0</v>
      </c>
      <c r="W443" s="514">
        <f t="shared" si="409"/>
        <v>0</v>
      </c>
      <c r="X443" s="514">
        <f t="shared" si="409"/>
        <v>0</v>
      </c>
      <c r="Y443" s="514">
        <f t="shared" si="409"/>
        <v>0</v>
      </c>
      <c r="Z443" s="514">
        <f t="shared" si="409"/>
        <v>0</v>
      </c>
      <c r="AA443" s="514">
        <f t="shared" si="409"/>
        <v>0</v>
      </c>
      <c r="AB443" s="514">
        <f t="shared" si="409"/>
        <v>0</v>
      </c>
      <c r="AC443" s="514">
        <f t="shared" si="409"/>
        <v>0</v>
      </c>
    </row>
    <row r="444" spans="1:29">
      <c r="A444" s="162" t="str">
        <f>A454&amp;"  (Days)"</f>
        <v>Accounts Payable  (Days)</v>
      </c>
      <c r="B444" s="85"/>
      <c r="C444" s="85"/>
      <c r="D444" s="85"/>
      <c r="E444" s="163">
        <f>IF(E70&lt;1,0,E454/(E$70)*365)</f>
        <v>0</v>
      </c>
      <c r="F444" s="163">
        <f>IF(F70&lt;1,0,F454/(F$70)*365)</f>
        <v>0</v>
      </c>
      <c r="G444" s="163">
        <f>IF(G70&lt;1,0,G454/(G$70)*365)</f>
        <v>0</v>
      </c>
      <c r="H444" s="163">
        <f ca="1">IF(H70&lt;1,0,H454/(H$70/$C$325)*365)</f>
        <v>0</v>
      </c>
      <c r="I444" s="566">
        <f t="shared" ca="1" si="406"/>
        <v>0</v>
      </c>
      <c r="J444" s="566">
        <f t="shared" ref="J444:AC444" ca="1" si="410">I444</f>
        <v>0</v>
      </c>
      <c r="K444" s="566">
        <f t="shared" ca="1" si="410"/>
        <v>0</v>
      </c>
      <c r="L444" s="566">
        <f t="shared" ca="1" si="410"/>
        <v>0</v>
      </c>
      <c r="M444" s="566">
        <f t="shared" ca="1" si="410"/>
        <v>0</v>
      </c>
      <c r="N444" s="566">
        <f t="shared" ca="1" si="410"/>
        <v>0</v>
      </c>
      <c r="O444" s="566">
        <f t="shared" ca="1" si="410"/>
        <v>0</v>
      </c>
      <c r="P444" s="566">
        <f t="shared" ca="1" si="410"/>
        <v>0</v>
      </c>
      <c r="Q444" s="566">
        <f t="shared" ca="1" si="410"/>
        <v>0</v>
      </c>
      <c r="R444" s="566">
        <f t="shared" ca="1" si="410"/>
        <v>0</v>
      </c>
      <c r="S444" s="566">
        <f t="shared" ca="1" si="410"/>
        <v>0</v>
      </c>
      <c r="T444" s="566">
        <f t="shared" ca="1" si="410"/>
        <v>0</v>
      </c>
      <c r="U444" s="566">
        <f t="shared" ca="1" si="410"/>
        <v>0</v>
      </c>
      <c r="V444" s="566">
        <f t="shared" ca="1" si="410"/>
        <v>0</v>
      </c>
      <c r="W444" s="566">
        <f t="shared" ca="1" si="410"/>
        <v>0</v>
      </c>
      <c r="X444" s="566">
        <f t="shared" ca="1" si="410"/>
        <v>0</v>
      </c>
      <c r="Y444" s="566">
        <f t="shared" ca="1" si="410"/>
        <v>0</v>
      </c>
      <c r="Z444" s="566">
        <f t="shared" ca="1" si="410"/>
        <v>0</v>
      </c>
      <c r="AA444" s="566">
        <f t="shared" ca="1" si="410"/>
        <v>0</v>
      </c>
      <c r="AB444" s="566">
        <f t="shared" ca="1" si="410"/>
        <v>0</v>
      </c>
      <c r="AC444" s="566">
        <f t="shared" ca="1" si="410"/>
        <v>0</v>
      </c>
    </row>
    <row r="445" spans="1:29">
      <c r="A445" s="162" t="str">
        <f>A455&amp;"  (Days)"</f>
        <v>Accrued Liabilities  (Days)</v>
      </c>
      <c r="B445" s="85"/>
      <c r="C445" s="85"/>
      <c r="D445" s="85"/>
      <c r="E445" s="163">
        <f>IF(E584&lt;1,0,E455/(E$584)*365)</f>
        <v>0</v>
      </c>
      <c r="F445" s="163">
        <f>IF(F584&lt;1,0,F455/(F$584)*365)</f>
        <v>0</v>
      </c>
      <c r="G445" s="163">
        <f>IF(G584&lt;1,0,G455/(G$584)*365)</f>
        <v>0</v>
      </c>
      <c r="H445" s="163">
        <f ca="1">IF(H584&lt;1,0,H455/(H$584/$C$325)*365)</f>
        <v>0</v>
      </c>
      <c r="I445" s="566">
        <f t="shared" ca="1" si="406"/>
        <v>0</v>
      </c>
      <c r="J445" s="566">
        <f t="shared" ref="J445:AC445" ca="1" si="411">I445</f>
        <v>0</v>
      </c>
      <c r="K445" s="566">
        <f t="shared" ca="1" si="411"/>
        <v>0</v>
      </c>
      <c r="L445" s="566">
        <f t="shared" ca="1" si="411"/>
        <v>0</v>
      </c>
      <c r="M445" s="566">
        <f t="shared" ca="1" si="411"/>
        <v>0</v>
      </c>
      <c r="N445" s="566">
        <f t="shared" ca="1" si="411"/>
        <v>0</v>
      </c>
      <c r="O445" s="566">
        <f t="shared" ca="1" si="411"/>
        <v>0</v>
      </c>
      <c r="P445" s="566">
        <f t="shared" ca="1" si="411"/>
        <v>0</v>
      </c>
      <c r="Q445" s="566">
        <f t="shared" ca="1" si="411"/>
        <v>0</v>
      </c>
      <c r="R445" s="566">
        <f t="shared" ca="1" si="411"/>
        <v>0</v>
      </c>
      <c r="S445" s="566">
        <f t="shared" ca="1" si="411"/>
        <v>0</v>
      </c>
      <c r="T445" s="566">
        <f t="shared" ca="1" si="411"/>
        <v>0</v>
      </c>
      <c r="U445" s="566">
        <f t="shared" ca="1" si="411"/>
        <v>0</v>
      </c>
      <c r="V445" s="566">
        <f t="shared" ca="1" si="411"/>
        <v>0</v>
      </c>
      <c r="W445" s="566">
        <f t="shared" ca="1" si="411"/>
        <v>0</v>
      </c>
      <c r="X445" s="566">
        <f t="shared" ca="1" si="411"/>
        <v>0</v>
      </c>
      <c r="Y445" s="566">
        <f t="shared" ca="1" si="411"/>
        <v>0</v>
      </c>
      <c r="Z445" s="566">
        <f t="shared" ca="1" si="411"/>
        <v>0</v>
      </c>
      <c r="AA445" s="566">
        <f t="shared" ca="1" si="411"/>
        <v>0</v>
      </c>
      <c r="AB445" s="566">
        <f t="shared" ca="1" si="411"/>
        <v>0</v>
      </c>
      <c r="AC445" s="566">
        <f t="shared" ca="1" si="411"/>
        <v>0</v>
      </c>
    </row>
    <row r="446" spans="1:29">
      <c r="A446" s="162" t="str">
        <f>A456&amp;"  ($)"</f>
        <v>Other Payables  ($)</v>
      </c>
      <c r="B446" s="85"/>
      <c r="C446" s="85"/>
      <c r="D446" s="85"/>
      <c r="E446" s="164">
        <f>E456</f>
        <v>0</v>
      </c>
      <c r="F446" s="164">
        <f>F456</f>
        <v>0</v>
      </c>
      <c r="G446" s="164">
        <f>G456</f>
        <v>0</v>
      </c>
      <c r="H446" s="164">
        <f>H456</f>
        <v>0</v>
      </c>
      <c r="I446" s="514">
        <f t="shared" si="406"/>
        <v>0</v>
      </c>
      <c r="J446" s="514">
        <f t="shared" ref="J446:AC446" si="412">I446</f>
        <v>0</v>
      </c>
      <c r="K446" s="514">
        <f t="shared" si="412"/>
        <v>0</v>
      </c>
      <c r="L446" s="514">
        <f t="shared" si="412"/>
        <v>0</v>
      </c>
      <c r="M446" s="514">
        <f t="shared" si="412"/>
        <v>0</v>
      </c>
      <c r="N446" s="514">
        <f t="shared" si="412"/>
        <v>0</v>
      </c>
      <c r="O446" s="514">
        <f t="shared" si="412"/>
        <v>0</v>
      </c>
      <c r="P446" s="514">
        <f t="shared" si="412"/>
        <v>0</v>
      </c>
      <c r="Q446" s="514">
        <f t="shared" si="412"/>
        <v>0</v>
      </c>
      <c r="R446" s="514">
        <f t="shared" si="412"/>
        <v>0</v>
      </c>
      <c r="S446" s="514">
        <f t="shared" si="412"/>
        <v>0</v>
      </c>
      <c r="T446" s="514">
        <f t="shared" si="412"/>
        <v>0</v>
      </c>
      <c r="U446" s="514">
        <f t="shared" si="412"/>
        <v>0</v>
      </c>
      <c r="V446" s="514">
        <f t="shared" si="412"/>
        <v>0</v>
      </c>
      <c r="W446" s="514">
        <f t="shared" si="412"/>
        <v>0</v>
      </c>
      <c r="X446" s="514">
        <f t="shared" si="412"/>
        <v>0</v>
      </c>
      <c r="Y446" s="514">
        <f t="shared" si="412"/>
        <v>0</v>
      </c>
      <c r="Z446" s="514">
        <f t="shared" si="412"/>
        <v>0</v>
      </c>
      <c r="AA446" s="514">
        <f t="shared" si="412"/>
        <v>0</v>
      </c>
      <c r="AB446" s="514">
        <f t="shared" si="412"/>
        <v>0</v>
      </c>
      <c r="AC446" s="514">
        <f t="shared" si="412"/>
        <v>0</v>
      </c>
    </row>
    <row r="448" spans="1:29" ht="12" thickBot="1"/>
    <row r="449" spans="1:29" ht="12.75" thickTop="1" thickBot="1">
      <c r="A449" s="19" t="s">
        <v>817</v>
      </c>
      <c r="E449" s="73">
        <f>E580</f>
        <v>1996</v>
      </c>
      <c r="F449" s="73">
        <f>F580</f>
        <v>1997</v>
      </c>
      <c r="G449" s="73">
        <f>G580</f>
        <v>1998</v>
      </c>
      <c r="H449" s="112">
        <f ca="1">H170</f>
        <v>36341</v>
      </c>
      <c r="I449" s="112">
        <f>I170</f>
        <v>36525</v>
      </c>
      <c r="J449" s="166">
        <f t="shared" ref="J449:AC449" si="413">J580</f>
        <v>2000</v>
      </c>
      <c r="K449" s="166">
        <f t="shared" si="413"/>
        <v>2001</v>
      </c>
      <c r="L449" s="166">
        <f t="shared" si="413"/>
        <v>2002</v>
      </c>
      <c r="M449" s="166">
        <f t="shared" si="413"/>
        <v>2003</v>
      </c>
      <c r="N449" s="166">
        <f t="shared" si="413"/>
        <v>2004</v>
      </c>
      <c r="O449" s="166">
        <f t="shared" si="413"/>
        <v>2005</v>
      </c>
      <c r="P449" s="166">
        <f t="shared" si="413"/>
        <v>2006</v>
      </c>
      <c r="Q449" s="166">
        <f t="shared" si="413"/>
        <v>2007</v>
      </c>
      <c r="R449" s="166">
        <f t="shared" si="413"/>
        <v>2008</v>
      </c>
      <c r="S449" s="166">
        <f t="shared" si="413"/>
        <v>2009</v>
      </c>
      <c r="T449" s="166">
        <f t="shared" si="413"/>
        <v>2010</v>
      </c>
      <c r="U449" s="166">
        <f t="shared" si="413"/>
        <v>2011</v>
      </c>
      <c r="V449" s="166">
        <f t="shared" si="413"/>
        <v>2012</v>
      </c>
      <c r="W449" s="166">
        <f t="shared" si="413"/>
        <v>2013</v>
      </c>
      <c r="X449" s="166">
        <f t="shared" si="413"/>
        <v>2014</v>
      </c>
      <c r="Y449" s="166">
        <f t="shared" si="413"/>
        <v>2015</v>
      </c>
      <c r="Z449" s="166">
        <f t="shared" si="413"/>
        <v>2016</v>
      </c>
      <c r="AA449" s="166">
        <f t="shared" si="413"/>
        <v>2017</v>
      </c>
      <c r="AB449" s="166">
        <f t="shared" si="413"/>
        <v>2018</v>
      </c>
      <c r="AC449" s="166">
        <f t="shared" si="413"/>
        <v>2019</v>
      </c>
    </row>
    <row r="450" spans="1:29" ht="12" thickTop="1">
      <c r="A450" s="74" t="s">
        <v>818</v>
      </c>
      <c r="E450" s="90">
        <f t="shared" ref="E450:G453" si="414">E389</f>
        <v>0</v>
      </c>
      <c r="F450" s="90">
        <f t="shared" si="414"/>
        <v>0</v>
      </c>
      <c r="G450" s="90">
        <f t="shared" si="414"/>
        <v>0</v>
      </c>
      <c r="H450" s="90">
        <f>P390</f>
        <v>0</v>
      </c>
      <c r="I450" s="357">
        <f ca="1">IF(I69+H69=0,0,I440/365*(I$69+H69))</f>
        <v>0</v>
      </c>
      <c r="J450" s="358">
        <f t="shared" ref="J450:S450" ca="1" si="415">IF(J69=0,0,J440/365*(J$69))</f>
        <v>0</v>
      </c>
      <c r="K450" s="357">
        <f t="shared" ca="1" si="415"/>
        <v>0</v>
      </c>
      <c r="L450" s="357">
        <f t="shared" ca="1" si="415"/>
        <v>0</v>
      </c>
      <c r="M450" s="357">
        <f t="shared" ca="1" si="415"/>
        <v>0</v>
      </c>
      <c r="N450" s="357">
        <f t="shared" ca="1" si="415"/>
        <v>0</v>
      </c>
      <c r="O450" s="357">
        <f t="shared" ca="1" si="415"/>
        <v>0</v>
      </c>
      <c r="P450" s="357">
        <f t="shared" ca="1" si="415"/>
        <v>0</v>
      </c>
      <c r="Q450" s="357">
        <f t="shared" ca="1" si="415"/>
        <v>0</v>
      </c>
      <c r="R450" s="357">
        <f t="shared" ca="1" si="415"/>
        <v>0</v>
      </c>
      <c r="S450" s="357">
        <f t="shared" ca="1" si="415"/>
        <v>0</v>
      </c>
      <c r="T450" s="357">
        <f t="shared" ref="T450:AC450" ca="1" si="416">IF(T69=0,0,T440/365*(T$69))</f>
        <v>0</v>
      </c>
      <c r="U450" s="357">
        <f t="shared" ca="1" si="416"/>
        <v>0</v>
      </c>
      <c r="V450" s="357">
        <f t="shared" ca="1" si="416"/>
        <v>0</v>
      </c>
      <c r="W450" s="357">
        <f t="shared" ca="1" si="416"/>
        <v>0</v>
      </c>
      <c r="X450" s="357">
        <f t="shared" ca="1" si="416"/>
        <v>0</v>
      </c>
      <c r="Y450" s="357">
        <f t="shared" ca="1" si="416"/>
        <v>0</v>
      </c>
      <c r="Z450" s="357">
        <f t="shared" ca="1" si="416"/>
        <v>0</v>
      </c>
      <c r="AA450" s="357">
        <f t="shared" ca="1" si="416"/>
        <v>0</v>
      </c>
      <c r="AB450" s="357">
        <f t="shared" ca="1" si="416"/>
        <v>0</v>
      </c>
      <c r="AC450" s="357">
        <f t="shared" ca="1" si="416"/>
        <v>0</v>
      </c>
    </row>
    <row r="451" spans="1:29">
      <c r="A451" s="74" t="str">
        <f>A173</f>
        <v>Accounts Receivable</v>
      </c>
      <c r="C451" s="89"/>
      <c r="D451" s="90"/>
      <c r="E451" s="90">
        <f t="shared" si="414"/>
        <v>0</v>
      </c>
      <c r="F451" s="90">
        <f t="shared" si="414"/>
        <v>0</v>
      </c>
      <c r="G451" s="90">
        <f t="shared" si="414"/>
        <v>0</v>
      </c>
      <c r="H451" s="90">
        <f>N390</f>
        <v>0</v>
      </c>
      <c r="I451" s="357">
        <f ca="1">I441/365*(I$69+H69)</f>
        <v>0</v>
      </c>
      <c r="J451" s="358">
        <f t="shared" ref="J451:S451" ca="1" si="417">J441/365*(J$69)</f>
        <v>0</v>
      </c>
      <c r="K451" s="357">
        <f t="shared" ca="1" si="417"/>
        <v>0</v>
      </c>
      <c r="L451" s="357">
        <f t="shared" ca="1" si="417"/>
        <v>0</v>
      </c>
      <c r="M451" s="357">
        <f t="shared" ca="1" si="417"/>
        <v>0</v>
      </c>
      <c r="N451" s="357">
        <f t="shared" ca="1" si="417"/>
        <v>0</v>
      </c>
      <c r="O451" s="357">
        <f t="shared" ca="1" si="417"/>
        <v>0</v>
      </c>
      <c r="P451" s="357">
        <f t="shared" ca="1" si="417"/>
        <v>0</v>
      </c>
      <c r="Q451" s="357">
        <f t="shared" ca="1" si="417"/>
        <v>0</v>
      </c>
      <c r="R451" s="357">
        <f t="shared" ca="1" si="417"/>
        <v>0</v>
      </c>
      <c r="S451" s="357">
        <f t="shared" ca="1" si="417"/>
        <v>0</v>
      </c>
      <c r="T451" s="357">
        <f t="shared" ref="T451:AC451" ca="1" si="418">T441/365*(T$69)</f>
        <v>0</v>
      </c>
      <c r="U451" s="357">
        <f t="shared" ca="1" si="418"/>
        <v>0</v>
      </c>
      <c r="V451" s="357">
        <f t="shared" ca="1" si="418"/>
        <v>0</v>
      </c>
      <c r="W451" s="357">
        <f t="shared" ca="1" si="418"/>
        <v>0</v>
      </c>
      <c r="X451" s="357">
        <f t="shared" ca="1" si="418"/>
        <v>0</v>
      </c>
      <c r="Y451" s="357">
        <f t="shared" ca="1" si="418"/>
        <v>0</v>
      </c>
      <c r="Z451" s="357">
        <f t="shared" ca="1" si="418"/>
        <v>0</v>
      </c>
      <c r="AA451" s="357">
        <f t="shared" ca="1" si="418"/>
        <v>0</v>
      </c>
      <c r="AB451" s="357">
        <f t="shared" ca="1" si="418"/>
        <v>0</v>
      </c>
      <c r="AC451" s="357">
        <f t="shared" ca="1" si="418"/>
        <v>0</v>
      </c>
    </row>
    <row r="452" spans="1:29">
      <c r="A452" s="74" t="str">
        <f>A174</f>
        <v>Inventories</v>
      </c>
      <c r="C452" s="89"/>
      <c r="D452" s="90"/>
      <c r="E452" s="90">
        <f t="shared" si="414"/>
        <v>0</v>
      </c>
      <c r="F452" s="90">
        <f t="shared" si="414"/>
        <v>0</v>
      </c>
      <c r="G452" s="90">
        <f t="shared" si="414"/>
        <v>0</v>
      </c>
      <c r="H452" s="90">
        <f>N391</f>
        <v>0</v>
      </c>
      <c r="I452" s="357">
        <f ca="1">IF(I442=0,0,(I$70+H70)/I442)</f>
        <v>0</v>
      </c>
      <c r="J452" s="358">
        <f t="shared" ref="J452:S452" ca="1" si="419">IF(J442=0,0,(J$70)/J442)</f>
        <v>0</v>
      </c>
      <c r="K452" s="357">
        <f t="shared" ca="1" si="419"/>
        <v>0</v>
      </c>
      <c r="L452" s="357">
        <f t="shared" ca="1" si="419"/>
        <v>0</v>
      </c>
      <c r="M452" s="357">
        <f t="shared" ca="1" si="419"/>
        <v>0</v>
      </c>
      <c r="N452" s="357">
        <f t="shared" ca="1" si="419"/>
        <v>0</v>
      </c>
      <c r="O452" s="357">
        <f t="shared" ca="1" si="419"/>
        <v>0</v>
      </c>
      <c r="P452" s="357">
        <f t="shared" ca="1" si="419"/>
        <v>0</v>
      </c>
      <c r="Q452" s="357">
        <f t="shared" ca="1" si="419"/>
        <v>0</v>
      </c>
      <c r="R452" s="357">
        <f t="shared" ca="1" si="419"/>
        <v>0</v>
      </c>
      <c r="S452" s="357">
        <f t="shared" ca="1" si="419"/>
        <v>0</v>
      </c>
      <c r="T452" s="357">
        <f t="shared" ref="T452:AC452" ca="1" si="420">IF(T442=0,0,(T$70)/T442)</f>
        <v>0</v>
      </c>
      <c r="U452" s="357">
        <f t="shared" ca="1" si="420"/>
        <v>0</v>
      </c>
      <c r="V452" s="357">
        <f t="shared" ca="1" si="420"/>
        <v>0</v>
      </c>
      <c r="W452" s="357">
        <f t="shared" ca="1" si="420"/>
        <v>0</v>
      </c>
      <c r="X452" s="357">
        <f t="shared" ca="1" si="420"/>
        <v>0</v>
      </c>
      <c r="Y452" s="357">
        <f t="shared" ca="1" si="420"/>
        <v>0</v>
      </c>
      <c r="Z452" s="357">
        <f t="shared" ca="1" si="420"/>
        <v>0</v>
      </c>
      <c r="AA452" s="357">
        <f t="shared" ca="1" si="420"/>
        <v>0</v>
      </c>
      <c r="AB452" s="357">
        <f t="shared" ca="1" si="420"/>
        <v>0</v>
      </c>
      <c r="AC452" s="357">
        <f t="shared" ca="1" si="420"/>
        <v>0</v>
      </c>
    </row>
    <row r="453" spans="1:29">
      <c r="A453" s="74" t="str">
        <f>A175</f>
        <v>Other Current Assets</v>
      </c>
      <c r="C453" s="89"/>
      <c r="D453" s="90"/>
      <c r="E453" s="90">
        <f t="shared" si="414"/>
        <v>0</v>
      </c>
      <c r="F453" s="90">
        <f t="shared" si="414"/>
        <v>0</v>
      </c>
      <c r="G453" s="90">
        <f t="shared" si="414"/>
        <v>0</v>
      </c>
      <c r="H453" s="90">
        <f>N392</f>
        <v>0</v>
      </c>
      <c r="I453" s="357">
        <f t="shared" ref="I453:AC453" si="421">I443</f>
        <v>0</v>
      </c>
      <c r="J453" s="358">
        <f t="shared" si="421"/>
        <v>0</v>
      </c>
      <c r="K453" s="357">
        <f t="shared" si="421"/>
        <v>0</v>
      </c>
      <c r="L453" s="357">
        <f t="shared" si="421"/>
        <v>0</v>
      </c>
      <c r="M453" s="357">
        <f t="shared" si="421"/>
        <v>0</v>
      </c>
      <c r="N453" s="357">
        <f t="shared" si="421"/>
        <v>0</v>
      </c>
      <c r="O453" s="357">
        <f t="shared" si="421"/>
        <v>0</v>
      </c>
      <c r="P453" s="357">
        <f t="shared" si="421"/>
        <v>0</v>
      </c>
      <c r="Q453" s="357">
        <f t="shared" si="421"/>
        <v>0</v>
      </c>
      <c r="R453" s="357">
        <f t="shared" si="421"/>
        <v>0</v>
      </c>
      <c r="S453" s="357">
        <f t="shared" si="421"/>
        <v>0</v>
      </c>
      <c r="T453" s="357">
        <f t="shared" si="421"/>
        <v>0</v>
      </c>
      <c r="U453" s="357">
        <f t="shared" si="421"/>
        <v>0</v>
      </c>
      <c r="V453" s="357">
        <f t="shared" si="421"/>
        <v>0</v>
      </c>
      <c r="W453" s="357">
        <f t="shared" si="421"/>
        <v>0</v>
      </c>
      <c r="X453" s="357">
        <f t="shared" si="421"/>
        <v>0</v>
      </c>
      <c r="Y453" s="357">
        <f t="shared" si="421"/>
        <v>0</v>
      </c>
      <c r="Z453" s="357">
        <f t="shared" si="421"/>
        <v>0</v>
      </c>
      <c r="AA453" s="357">
        <f t="shared" si="421"/>
        <v>0</v>
      </c>
      <c r="AB453" s="357">
        <f t="shared" si="421"/>
        <v>0</v>
      </c>
      <c r="AC453" s="357">
        <f t="shared" si="421"/>
        <v>0</v>
      </c>
    </row>
    <row r="454" spans="1:29">
      <c r="A454" s="74" t="str">
        <f>A192</f>
        <v>Accounts Payable</v>
      </c>
      <c r="C454" s="89"/>
      <c r="D454" s="90"/>
      <c r="E454" s="90">
        <f t="shared" ref="E454:G456" si="422">E408</f>
        <v>0</v>
      </c>
      <c r="F454" s="90">
        <f t="shared" si="422"/>
        <v>0</v>
      </c>
      <c r="G454" s="90">
        <f t="shared" si="422"/>
        <v>0</v>
      </c>
      <c r="H454" s="90">
        <f>N408</f>
        <v>0</v>
      </c>
      <c r="I454" s="357">
        <f ca="1">I444/365*(I$70+H70)</f>
        <v>0</v>
      </c>
      <c r="J454" s="358">
        <f t="shared" ref="J454:S454" ca="1" si="423">J444/365*(J$70)</f>
        <v>0</v>
      </c>
      <c r="K454" s="357">
        <f t="shared" ca="1" si="423"/>
        <v>0</v>
      </c>
      <c r="L454" s="357">
        <f t="shared" ca="1" si="423"/>
        <v>0</v>
      </c>
      <c r="M454" s="357">
        <f t="shared" ca="1" si="423"/>
        <v>0</v>
      </c>
      <c r="N454" s="357">
        <f t="shared" ca="1" si="423"/>
        <v>0</v>
      </c>
      <c r="O454" s="357">
        <f t="shared" ca="1" si="423"/>
        <v>0</v>
      </c>
      <c r="P454" s="357">
        <f t="shared" ca="1" si="423"/>
        <v>0</v>
      </c>
      <c r="Q454" s="357">
        <f t="shared" ca="1" si="423"/>
        <v>0</v>
      </c>
      <c r="R454" s="357">
        <f t="shared" ca="1" si="423"/>
        <v>0</v>
      </c>
      <c r="S454" s="357">
        <f t="shared" ca="1" si="423"/>
        <v>0</v>
      </c>
      <c r="T454" s="357">
        <f t="shared" ref="T454:AC454" ca="1" si="424">T444/365*(T$70)</f>
        <v>0</v>
      </c>
      <c r="U454" s="357">
        <f t="shared" ca="1" si="424"/>
        <v>0</v>
      </c>
      <c r="V454" s="357">
        <f t="shared" ca="1" si="424"/>
        <v>0</v>
      </c>
      <c r="W454" s="357">
        <f t="shared" ca="1" si="424"/>
        <v>0</v>
      </c>
      <c r="X454" s="357">
        <f t="shared" ca="1" si="424"/>
        <v>0</v>
      </c>
      <c r="Y454" s="357">
        <f t="shared" ca="1" si="424"/>
        <v>0</v>
      </c>
      <c r="Z454" s="357">
        <f t="shared" ca="1" si="424"/>
        <v>0</v>
      </c>
      <c r="AA454" s="357">
        <f t="shared" ca="1" si="424"/>
        <v>0</v>
      </c>
      <c r="AB454" s="357">
        <f t="shared" ca="1" si="424"/>
        <v>0</v>
      </c>
      <c r="AC454" s="357">
        <f t="shared" ca="1" si="424"/>
        <v>0</v>
      </c>
    </row>
    <row r="455" spans="1:29">
      <c r="A455" s="74" t="str">
        <f>A193</f>
        <v>Accrued Liabilities</v>
      </c>
      <c r="C455" s="89"/>
      <c r="D455" s="90"/>
      <c r="E455" s="90">
        <f t="shared" si="422"/>
        <v>0</v>
      </c>
      <c r="F455" s="90">
        <f t="shared" si="422"/>
        <v>0</v>
      </c>
      <c r="G455" s="90">
        <f t="shared" si="422"/>
        <v>0</v>
      </c>
      <c r="H455" s="90">
        <f>N409</f>
        <v>0</v>
      </c>
      <c r="I455" s="357">
        <f ca="1">I445/365*(I$69+H69)</f>
        <v>0</v>
      </c>
      <c r="J455" s="358">
        <f t="shared" ref="J455:S455" ca="1" si="425">J445/365*(J$69)</f>
        <v>0</v>
      </c>
      <c r="K455" s="357">
        <f t="shared" ca="1" si="425"/>
        <v>0</v>
      </c>
      <c r="L455" s="357">
        <f t="shared" ca="1" si="425"/>
        <v>0</v>
      </c>
      <c r="M455" s="357">
        <f t="shared" ca="1" si="425"/>
        <v>0</v>
      </c>
      <c r="N455" s="357">
        <f t="shared" ca="1" si="425"/>
        <v>0</v>
      </c>
      <c r="O455" s="357">
        <f t="shared" ca="1" si="425"/>
        <v>0</v>
      </c>
      <c r="P455" s="357">
        <f t="shared" ca="1" si="425"/>
        <v>0</v>
      </c>
      <c r="Q455" s="357">
        <f t="shared" ca="1" si="425"/>
        <v>0</v>
      </c>
      <c r="R455" s="357">
        <f t="shared" ca="1" si="425"/>
        <v>0</v>
      </c>
      <c r="S455" s="357">
        <f t="shared" ca="1" si="425"/>
        <v>0</v>
      </c>
      <c r="T455" s="357">
        <f t="shared" ref="T455:AC455" ca="1" si="426">T445/365*(T$69)</f>
        <v>0</v>
      </c>
      <c r="U455" s="357">
        <f t="shared" ca="1" si="426"/>
        <v>0</v>
      </c>
      <c r="V455" s="357">
        <f t="shared" ca="1" si="426"/>
        <v>0</v>
      </c>
      <c r="W455" s="357">
        <f t="shared" ca="1" si="426"/>
        <v>0</v>
      </c>
      <c r="X455" s="357">
        <f t="shared" ca="1" si="426"/>
        <v>0</v>
      </c>
      <c r="Y455" s="357">
        <f t="shared" ca="1" si="426"/>
        <v>0</v>
      </c>
      <c r="Z455" s="357">
        <f t="shared" ca="1" si="426"/>
        <v>0</v>
      </c>
      <c r="AA455" s="357">
        <f t="shared" ca="1" si="426"/>
        <v>0</v>
      </c>
      <c r="AB455" s="357">
        <f t="shared" ca="1" si="426"/>
        <v>0</v>
      </c>
      <c r="AC455" s="357">
        <f t="shared" ca="1" si="426"/>
        <v>0</v>
      </c>
    </row>
    <row r="456" spans="1:29">
      <c r="A456" s="74" t="str">
        <f>A194</f>
        <v>Other Payables</v>
      </c>
      <c r="C456" s="90"/>
      <c r="D456" s="90"/>
      <c r="E456" s="90">
        <f t="shared" si="422"/>
        <v>0</v>
      </c>
      <c r="F456" s="90">
        <f t="shared" si="422"/>
        <v>0</v>
      </c>
      <c r="G456" s="90">
        <f t="shared" si="422"/>
        <v>0</v>
      </c>
      <c r="H456" s="90">
        <f>N410</f>
        <v>0</v>
      </c>
      <c r="I456" s="357">
        <f t="shared" ref="I456:AC456" si="427">I446</f>
        <v>0</v>
      </c>
      <c r="J456" s="358">
        <f t="shared" si="427"/>
        <v>0</v>
      </c>
      <c r="K456" s="357">
        <f t="shared" si="427"/>
        <v>0</v>
      </c>
      <c r="L456" s="357">
        <f t="shared" si="427"/>
        <v>0</v>
      </c>
      <c r="M456" s="357">
        <f t="shared" si="427"/>
        <v>0</v>
      </c>
      <c r="N456" s="357">
        <f t="shared" si="427"/>
        <v>0</v>
      </c>
      <c r="O456" s="357">
        <f t="shared" si="427"/>
        <v>0</v>
      </c>
      <c r="P456" s="357">
        <f t="shared" si="427"/>
        <v>0</v>
      </c>
      <c r="Q456" s="357">
        <f t="shared" si="427"/>
        <v>0</v>
      </c>
      <c r="R456" s="357">
        <f t="shared" si="427"/>
        <v>0</v>
      </c>
      <c r="S456" s="357">
        <f t="shared" si="427"/>
        <v>0</v>
      </c>
      <c r="T456" s="357">
        <f t="shared" si="427"/>
        <v>0</v>
      </c>
      <c r="U456" s="357">
        <f t="shared" si="427"/>
        <v>0</v>
      </c>
      <c r="V456" s="357">
        <f t="shared" si="427"/>
        <v>0</v>
      </c>
      <c r="W456" s="357">
        <f t="shared" si="427"/>
        <v>0</v>
      </c>
      <c r="X456" s="357">
        <f t="shared" si="427"/>
        <v>0</v>
      </c>
      <c r="Y456" s="357">
        <f t="shared" si="427"/>
        <v>0</v>
      </c>
      <c r="Z456" s="357">
        <f t="shared" si="427"/>
        <v>0</v>
      </c>
      <c r="AA456" s="357">
        <f t="shared" si="427"/>
        <v>0</v>
      </c>
      <c r="AB456" s="357">
        <f t="shared" si="427"/>
        <v>0</v>
      </c>
      <c r="AC456" s="357">
        <f t="shared" si="427"/>
        <v>0</v>
      </c>
    </row>
    <row r="457" spans="1:29" ht="12" thickBot="1">
      <c r="A457" s="74" t="s">
        <v>819</v>
      </c>
      <c r="C457" s="90"/>
      <c r="D457" s="147">
        <f>E457</f>
        <v>0</v>
      </c>
      <c r="E457" s="101">
        <f t="shared" ref="E457:N457" si="428">E450+E451+E452+E453-E454-E455-E456</f>
        <v>0</v>
      </c>
      <c r="F457" s="101">
        <f t="shared" si="428"/>
        <v>0</v>
      </c>
      <c r="G457" s="101">
        <f t="shared" si="428"/>
        <v>0</v>
      </c>
      <c r="H457" s="101">
        <f t="shared" si="428"/>
        <v>0</v>
      </c>
      <c r="I457" s="101">
        <f t="shared" ca="1" si="428"/>
        <v>0</v>
      </c>
      <c r="J457" s="288">
        <f t="shared" ca="1" si="428"/>
        <v>0</v>
      </c>
      <c r="K457" s="101">
        <f t="shared" ca="1" si="428"/>
        <v>0</v>
      </c>
      <c r="L457" s="101">
        <f t="shared" ca="1" si="428"/>
        <v>0</v>
      </c>
      <c r="M457" s="101">
        <f t="shared" ca="1" si="428"/>
        <v>0</v>
      </c>
      <c r="N457" s="101">
        <f t="shared" ca="1" si="428"/>
        <v>0</v>
      </c>
      <c r="O457" s="101">
        <f t="shared" ref="O457:AC457" ca="1" si="429">O450+O451+O452+O453-O454-O455-O456</f>
        <v>0</v>
      </c>
      <c r="P457" s="101">
        <f t="shared" ca="1" si="429"/>
        <v>0</v>
      </c>
      <c r="Q457" s="101">
        <f t="shared" ca="1" si="429"/>
        <v>0</v>
      </c>
      <c r="R457" s="101">
        <f t="shared" ca="1" si="429"/>
        <v>0</v>
      </c>
      <c r="S457" s="101">
        <f t="shared" ca="1" si="429"/>
        <v>0</v>
      </c>
      <c r="T457" s="101">
        <f t="shared" ca="1" si="429"/>
        <v>0</v>
      </c>
      <c r="U457" s="101">
        <f t="shared" ca="1" si="429"/>
        <v>0</v>
      </c>
      <c r="V457" s="101">
        <f t="shared" ca="1" si="429"/>
        <v>0</v>
      </c>
      <c r="W457" s="101">
        <f t="shared" ca="1" si="429"/>
        <v>0</v>
      </c>
      <c r="X457" s="101">
        <f t="shared" ca="1" si="429"/>
        <v>0</v>
      </c>
      <c r="Y457" s="101">
        <f t="shared" ca="1" si="429"/>
        <v>0</v>
      </c>
      <c r="Z457" s="101">
        <f t="shared" ca="1" si="429"/>
        <v>0</v>
      </c>
      <c r="AA457" s="101">
        <f t="shared" ca="1" si="429"/>
        <v>0</v>
      </c>
      <c r="AB457" s="101">
        <f t="shared" ca="1" si="429"/>
        <v>0</v>
      </c>
      <c r="AC457" s="101">
        <f t="shared" ca="1" si="429"/>
        <v>0</v>
      </c>
    </row>
    <row r="458" spans="1:29" ht="12" thickTop="1">
      <c r="A458" s="74"/>
      <c r="J458" s="75"/>
    </row>
    <row r="459" spans="1:29">
      <c r="A459" s="74" t="s">
        <v>684</v>
      </c>
      <c r="E459" s="5">
        <f t="shared" ref="E459:N459" si="430">E457-D457</f>
        <v>0</v>
      </c>
      <c r="F459" s="5">
        <f t="shared" si="430"/>
        <v>0</v>
      </c>
      <c r="G459" s="5">
        <f t="shared" si="430"/>
        <v>0</v>
      </c>
      <c r="H459" s="5">
        <f t="shared" si="430"/>
        <v>0</v>
      </c>
      <c r="I459" s="5">
        <f t="shared" ca="1" si="430"/>
        <v>0</v>
      </c>
      <c r="J459" s="75">
        <f t="shared" ca="1" si="430"/>
        <v>0</v>
      </c>
      <c r="K459" s="5">
        <f t="shared" ca="1" si="430"/>
        <v>0</v>
      </c>
      <c r="L459" s="5">
        <f t="shared" ca="1" si="430"/>
        <v>0</v>
      </c>
      <c r="M459" s="5">
        <f t="shared" ca="1" si="430"/>
        <v>0</v>
      </c>
      <c r="N459" s="5">
        <f t="shared" ca="1" si="430"/>
        <v>0</v>
      </c>
      <c r="O459" s="5">
        <f t="shared" ref="O459:AC459" ca="1" si="431">O457-N457</f>
        <v>0</v>
      </c>
      <c r="P459" s="5">
        <f t="shared" ca="1" si="431"/>
        <v>0</v>
      </c>
      <c r="Q459" s="5">
        <f t="shared" ca="1" si="431"/>
        <v>0</v>
      </c>
      <c r="R459" s="5">
        <f t="shared" ca="1" si="431"/>
        <v>0</v>
      </c>
      <c r="S459" s="5">
        <f t="shared" ca="1" si="431"/>
        <v>0</v>
      </c>
      <c r="T459" s="5">
        <f t="shared" ca="1" si="431"/>
        <v>0</v>
      </c>
      <c r="U459" s="5">
        <f t="shared" ca="1" si="431"/>
        <v>0</v>
      </c>
      <c r="V459" s="5">
        <f t="shared" ca="1" si="431"/>
        <v>0</v>
      </c>
      <c r="W459" s="5">
        <f t="shared" ca="1" si="431"/>
        <v>0</v>
      </c>
      <c r="X459" s="5">
        <f t="shared" ca="1" si="431"/>
        <v>0</v>
      </c>
      <c r="Y459" s="5">
        <f t="shared" ca="1" si="431"/>
        <v>0</v>
      </c>
      <c r="Z459" s="5">
        <f t="shared" ca="1" si="431"/>
        <v>0</v>
      </c>
      <c r="AA459" s="5">
        <f t="shared" ca="1" si="431"/>
        <v>0</v>
      </c>
      <c r="AB459" s="5">
        <f t="shared" ca="1" si="431"/>
        <v>0</v>
      </c>
      <c r="AC459" s="5">
        <f t="shared" ca="1" si="431"/>
        <v>0</v>
      </c>
    </row>
    <row r="460" spans="1:29">
      <c r="A460" s="74"/>
      <c r="J460" s="75"/>
    </row>
    <row r="461" spans="1:29">
      <c r="A461" s="74"/>
      <c r="J461" s="75"/>
    </row>
    <row r="462" spans="1:29">
      <c r="A462" s="19" t="s">
        <v>820</v>
      </c>
      <c r="J462" s="75"/>
    </row>
    <row r="463" spans="1:29">
      <c r="A463" s="74" t="s">
        <v>821</v>
      </c>
      <c r="E463" s="16"/>
      <c r="F463" s="16"/>
      <c r="G463" s="16"/>
      <c r="H463" s="16"/>
      <c r="I463" s="554">
        <v>0</v>
      </c>
      <c r="J463" s="567">
        <v>0</v>
      </c>
      <c r="K463" s="554">
        <v>0</v>
      </c>
      <c r="L463" s="554">
        <v>0</v>
      </c>
      <c r="M463" s="554">
        <v>0</v>
      </c>
      <c r="N463" s="554">
        <v>0</v>
      </c>
      <c r="O463" s="554">
        <v>0</v>
      </c>
      <c r="P463" s="554">
        <v>0</v>
      </c>
      <c r="Q463" s="554">
        <v>0</v>
      </c>
      <c r="R463" s="554">
        <v>0</v>
      </c>
      <c r="S463" s="554">
        <v>0</v>
      </c>
      <c r="T463" s="554">
        <v>0</v>
      </c>
      <c r="U463" s="554">
        <v>0</v>
      </c>
      <c r="V463" s="554">
        <v>0</v>
      </c>
      <c r="W463" s="554">
        <v>0</v>
      </c>
      <c r="X463" s="554">
        <v>0</v>
      </c>
      <c r="Y463" s="554">
        <v>0</v>
      </c>
      <c r="Z463" s="554">
        <v>0</v>
      </c>
      <c r="AA463" s="554">
        <v>0</v>
      </c>
      <c r="AB463" s="554">
        <v>0</v>
      </c>
      <c r="AC463" s="554">
        <v>0</v>
      </c>
    </row>
    <row r="464" spans="1:29">
      <c r="A464" s="74" t="s">
        <v>822</v>
      </c>
      <c r="I464" s="554">
        <v>0</v>
      </c>
      <c r="J464" s="567">
        <v>0</v>
      </c>
      <c r="K464" s="554">
        <v>0</v>
      </c>
      <c r="L464" s="554">
        <v>0</v>
      </c>
      <c r="M464" s="554">
        <v>0</v>
      </c>
      <c r="N464" s="554">
        <v>0</v>
      </c>
      <c r="O464" s="554">
        <v>0</v>
      </c>
      <c r="P464" s="554">
        <v>0</v>
      </c>
      <c r="Q464" s="554">
        <v>0</v>
      </c>
      <c r="R464" s="554">
        <v>0</v>
      </c>
      <c r="S464" s="554">
        <v>0</v>
      </c>
      <c r="T464" s="554">
        <v>0</v>
      </c>
      <c r="U464" s="554">
        <v>0</v>
      </c>
      <c r="V464" s="554">
        <v>0</v>
      </c>
      <c r="W464" s="554">
        <v>0</v>
      </c>
      <c r="X464" s="554">
        <v>0</v>
      </c>
      <c r="Y464" s="554">
        <v>0</v>
      </c>
      <c r="Z464" s="554">
        <v>0</v>
      </c>
      <c r="AA464" s="554">
        <v>0</v>
      </c>
      <c r="AB464" s="554">
        <v>0</v>
      </c>
      <c r="AC464" s="554">
        <v>0</v>
      </c>
    </row>
    <row r="465" spans="1:33">
      <c r="A465" s="74"/>
      <c r="J465" s="75"/>
    </row>
    <row r="466" spans="1:33" ht="12" thickBot="1">
      <c r="A466" s="74"/>
      <c r="J466" s="75"/>
    </row>
    <row r="467" spans="1:33" ht="12.75" thickTop="1" thickBot="1">
      <c r="A467" s="356"/>
      <c r="B467" s="304"/>
      <c r="C467" s="304"/>
      <c r="D467" s="304"/>
      <c r="E467" s="304"/>
      <c r="F467" s="304"/>
      <c r="G467" s="304"/>
      <c r="H467" s="301"/>
      <c r="I467" s="304"/>
      <c r="J467" s="384"/>
      <c r="K467" s="304"/>
      <c r="L467" s="304"/>
      <c r="M467" s="304"/>
      <c r="N467" s="304"/>
      <c r="O467" s="304"/>
      <c r="P467" s="304"/>
      <c r="Q467" s="304"/>
      <c r="R467" s="304"/>
      <c r="S467" s="304"/>
      <c r="T467" s="304"/>
      <c r="U467" s="304"/>
      <c r="V467" s="304"/>
      <c r="W467" s="304"/>
      <c r="X467" s="304"/>
      <c r="Y467" s="304"/>
      <c r="Z467" s="304"/>
      <c r="AA467" s="304"/>
      <c r="AB467" s="304"/>
      <c r="AC467" s="304"/>
    </row>
    <row r="468" spans="1:33" ht="12.75" thickTop="1" thickBot="1">
      <c r="A468" s="19" t="s">
        <v>823</v>
      </c>
      <c r="E468" s="73">
        <f>E580</f>
        <v>1996</v>
      </c>
      <c r="F468" s="73">
        <f>F580</f>
        <v>1997</v>
      </c>
      <c r="G468" s="73">
        <f>G580</f>
        <v>1998</v>
      </c>
      <c r="H468" s="86" t="str">
        <f ca="1">$H$579&amp;"/"&amp;TEXT($H$580,"0")</f>
        <v>6 M/1999</v>
      </c>
      <c r="I468" s="146" t="str">
        <f ca="1">$I$579&amp;"/"&amp;TEXT($I$580,"0")</f>
        <v>6 M/1999</v>
      </c>
      <c r="J468" s="140">
        <f t="shared" ref="J468:AC468" si="432">J580</f>
        <v>2000</v>
      </c>
      <c r="K468" s="140">
        <f t="shared" si="432"/>
        <v>2001</v>
      </c>
      <c r="L468" s="140">
        <f t="shared" si="432"/>
        <v>2002</v>
      </c>
      <c r="M468" s="140">
        <f t="shared" si="432"/>
        <v>2003</v>
      </c>
      <c r="N468" s="140">
        <f t="shared" si="432"/>
        <v>2004</v>
      </c>
      <c r="O468" s="140">
        <f t="shared" si="432"/>
        <v>2005</v>
      </c>
      <c r="P468" s="140">
        <f t="shared" si="432"/>
        <v>2006</v>
      </c>
      <c r="Q468" s="140">
        <f t="shared" si="432"/>
        <v>2007</v>
      </c>
      <c r="R468" s="140">
        <f t="shared" si="432"/>
        <v>2008</v>
      </c>
      <c r="S468" s="140">
        <f t="shared" si="432"/>
        <v>2009</v>
      </c>
      <c r="T468" s="140">
        <f t="shared" si="432"/>
        <v>2010</v>
      </c>
      <c r="U468" s="140">
        <f t="shared" si="432"/>
        <v>2011</v>
      </c>
      <c r="V468" s="140">
        <f t="shared" si="432"/>
        <v>2012</v>
      </c>
      <c r="W468" s="140">
        <f t="shared" si="432"/>
        <v>2013</v>
      </c>
      <c r="X468" s="140">
        <f t="shared" si="432"/>
        <v>2014</v>
      </c>
      <c r="Y468" s="140">
        <f t="shared" si="432"/>
        <v>2015</v>
      </c>
      <c r="Z468" s="140">
        <f t="shared" si="432"/>
        <v>2016</v>
      </c>
      <c r="AA468" s="140">
        <f t="shared" si="432"/>
        <v>2017</v>
      </c>
      <c r="AB468" s="140">
        <f t="shared" si="432"/>
        <v>2018</v>
      </c>
      <c r="AC468" s="140">
        <f t="shared" si="432"/>
        <v>2019</v>
      </c>
    </row>
    <row r="469" spans="1:33" ht="12" thickTop="1">
      <c r="A469" s="74" t="s">
        <v>824</v>
      </c>
      <c r="G469" s="681" t="s">
        <v>825</v>
      </c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spans="1:33">
      <c r="A470" s="74" t="s">
        <v>826</v>
      </c>
      <c r="C470"/>
      <c r="F470" s="71" t="str">
        <f>A390</f>
        <v>Accounts Receivable</v>
      </c>
      <c r="G470" s="568">
        <v>0.4</v>
      </c>
      <c r="H470" s="147"/>
    </row>
    <row r="471" spans="1:33">
      <c r="A471" s="74"/>
      <c r="C471"/>
      <c r="F471" s="71" t="str">
        <f>A391</f>
        <v>Inventories</v>
      </c>
      <c r="G471" s="568">
        <v>0</v>
      </c>
    </row>
    <row r="472" spans="1:33">
      <c r="A472" s="74"/>
      <c r="C472"/>
      <c r="F472" s="20" t="s">
        <v>827</v>
      </c>
      <c r="G472" s="721">
        <v>0.75</v>
      </c>
    </row>
    <row r="473" spans="1:33">
      <c r="A473" s="74"/>
    </row>
    <row r="474" spans="1:33">
      <c r="A474" s="74" t="s">
        <v>828</v>
      </c>
      <c r="E474" s="484">
        <v>0</v>
      </c>
      <c r="F474" s="484">
        <v>0</v>
      </c>
      <c r="G474" s="484">
        <v>0</v>
      </c>
      <c r="H474" s="484">
        <v>0</v>
      </c>
      <c r="I474">
        <f t="shared" ref="I474:AC474" ca="1" si="433">IF($G$469="YES",IF(I451*$G$470+I452*$G$471+I962*$G$472&gt;=I483,I483,I451*$G$470+I452*$G$471+I962*$G$472),+I483)</f>
        <v>24227.661288862102</v>
      </c>
      <c r="J474">
        <f t="shared" ca="1" si="433"/>
        <v>41011.225319889047</v>
      </c>
      <c r="K474">
        <f t="shared" ca="1" si="433"/>
        <v>48807.187448386539</v>
      </c>
      <c r="L474">
        <f t="shared" ca="1" si="433"/>
        <v>56448.809835081222</v>
      </c>
      <c r="M474">
        <f t="shared" ca="1" si="433"/>
        <v>62978.208219352557</v>
      </c>
      <c r="N474">
        <f t="shared" ca="1" si="433"/>
        <v>68028.975167083277</v>
      </c>
      <c r="O474">
        <f t="shared" ca="1" si="433"/>
        <v>70955.892113116046</v>
      </c>
      <c r="P474">
        <f t="shared" ca="1" si="433"/>
        <v>75631.803354725111</v>
      </c>
      <c r="Q474">
        <f t="shared" ca="1" si="433"/>
        <v>71589.215046717407</v>
      </c>
      <c r="R474">
        <f t="shared" ca="1" si="433"/>
        <v>60130.430636780089</v>
      </c>
      <c r="S474">
        <f t="shared" ca="1" si="433"/>
        <v>49539.268007623767</v>
      </c>
      <c r="T474">
        <f t="shared" ca="1" si="433"/>
        <v>40030.083489593773</v>
      </c>
      <c r="U474">
        <f t="shared" ca="1" si="433"/>
        <v>31859.537119863649</v>
      </c>
      <c r="V474">
        <f t="shared" ca="1" si="433"/>
        <v>25173.014345118198</v>
      </c>
      <c r="W474">
        <f t="shared" ca="1" si="433"/>
        <v>19722.773889256194</v>
      </c>
      <c r="X474">
        <f t="shared" ca="1" si="433"/>
        <v>15241.822789045931</v>
      </c>
      <c r="Y474">
        <f t="shared" ca="1" si="433"/>
        <v>11492.92493907427</v>
      </c>
      <c r="Z474">
        <f t="shared" ca="1" si="433"/>
        <v>8341.6256325552258</v>
      </c>
      <c r="AA474">
        <f t="shared" ca="1" si="433"/>
        <v>5730.6336326460178</v>
      </c>
      <c r="AB474">
        <f t="shared" ca="1" si="433"/>
        <v>3529.885851015028</v>
      </c>
      <c r="AC474">
        <f t="shared" ca="1" si="433"/>
        <v>1647.0566654537877</v>
      </c>
    </row>
    <row r="475" spans="1:33">
      <c r="A475" s="74"/>
      <c r="J475" s="69"/>
    </row>
    <row r="476" spans="1:33" ht="12" thickBot="1">
      <c r="A476" s="74"/>
    </row>
    <row r="477" spans="1:33" ht="12" thickTop="1">
      <c r="A477" s="356"/>
      <c r="B477" s="304"/>
      <c r="C477" s="304"/>
      <c r="D477" s="304"/>
      <c r="E477" s="304"/>
      <c r="F477" s="304"/>
      <c r="G477" s="304"/>
      <c r="H477" s="304"/>
      <c r="I477" s="304"/>
      <c r="J477" s="304"/>
      <c r="K477" s="304"/>
      <c r="L477" s="304"/>
      <c r="M477" s="304"/>
      <c r="N477" s="304"/>
      <c r="O477" s="304"/>
      <c r="P477" s="304"/>
      <c r="Q477" s="304"/>
      <c r="R477" s="304"/>
      <c r="S477" s="304"/>
      <c r="T477" s="304"/>
      <c r="U477" s="304"/>
      <c r="V477" s="304"/>
      <c r="W477" s="304"/>
      <c r="X477" s="304"/>
      <c r="Y477" s="304"/>
      <c r="Z477" s="304"/>
      <c r="AA477" s="304"/>
      <c r="AB477" s="304"/>
      <c r="AC477" s="304"/>
    </row>
    <row r="478" spans="1:33" ht="12" thickBot="1">
      <c r="A478" s="19" t="s">
        <v>829</v>
      </c>
    </row>
    <row r="479" spans="1:33" ht="12.75" thickTop="1" thickBot="1">
      <c r="A479" s="19" t="s">
        <v>830</v>
      </c>
      <c r="D479" s="22"/>
      <c r="E479" s="73">
        <f>E580</f>
        <v>1996</v>
      </c>
      <c r="F479" s="73">
        <f>F580</f>
        <v>1997</v>
      </c>
      <c r="G479" s="73">
        <f>G580</f>
        <v>1998</v>
      </c>
      <c r="H479" s="86" t="str">
        <f ca="1">$H$579&amp;"/"&amp;TEXT($H$580,"0")</f>
        <v>6 M/1999</v>
      </c>
      <c r="I479" s="146" t="str">
        <f ca="1">$I$579&amp;"/"&amp;TEXT($I$580,"0")</f>
        <v>6 M/1999</v>
      </c>
      <c r="J479" s="140">
        <f t="shared" ref="J479:AC479" si="434">J580</f>
        <v>2000</v>
      </c>
      <c r="K479" s="140">
        <f t="shared" si="434"/>
        <v>2001</v>
      </c>
      <c r="L479" s="140">
        <f t="shared" si="434"/>
        <v>2002</v>
      </c>
      <c r="M479" s="140">
        <f t="shared" si="434"/>
        <v>2003</v>
      </c>
      <c r="N479" s="140">
        <f t="shared" si="434"/>
        <v>2004</v>
      </c>
      <c r="O479" s="140">
        <f t="shared" si="434"/>
        <v>2005</v>
      </c>
      <c r="P479" s="140">
        <f t="shared" si="434"/>
        <v>2006</v>
      </c>
      <c r="Q479" s="140">
        <f t="shared" si="434"/>
        <v>2007</v>
      </c>
      <c r="R479" s="140">
        <f t="shared" si="434"/>
        <v>2008</v>
      </c>
      <c r="S479" s="140">
        <f t="shared" si="434"/>
        <v>2009</v>
      </c>
      <c r="T479" s="140">
        <f t="shared" si="434"/>
        <v>2010</v>
      </c>
      <c r="U479" s="140">
        <f t="shared" si="434"/>
        <v>2011</v>
      </c>
      <c r="V479" s="140">
        <f t="shared" si="434"/>
        <v>2012</v>
      </c>
      <c r="W479" s="140">
        <f t="shared" si="434"/>
        <v>2013</v>
      </c>
      <c r="X479" s="140">
        <f t="shared" si="434"/>
        <v>2014</v>
      </c>
      <c r="Y479" s="140">
        <f t="shared" si="434"/>
        <v>2015</v>
      </c>
      <c r="Z479" s="140">
        <f t="shared" si="434"/>
        <v>2016</v>
      </c>
      <c r="AA479" s="140">
        <f t="shared" si="434"/>
        <v>2017</v>
      </c>
      <c r="AB479" s="140">
        <f t="shared" si="434"/>
        <v>2018</v>
      </c>
      <c r="AC479" s="140">
        <f t="shared" si="434"/>
        <v>2019</v>
      </c>
    </row>
    <row r="480" spans="1:33" ht="12" thickTop="1">
      <c r="A480" s="19"/>
      <c r="D480" s="22"/>
      <c r="E480" s="141"/>
      <c r="F480" s="141"/>
      <c r="G480" s="141"/>
      <c r="H480" s="148"/>
      <c r="I480" s="141"/>
      <c r="J480" s="141"/>
      <c r="K480" s="141"/>
      <c r="L480" s="141"/>
      <c r="M480" s="141"/>
      <c r="N480" s="141"/>
      <c r="O480" s="141"/>
      <c r="P480" s="141"/>
      <c r="Q480" s="141"/>
      <c r="R480" s="141"/>
      <c r="S480" s="141"/>
      <c r="T480" s="141"/>
      <c r="U480" s="141"/>
      <c r="V480" s="141"/>
      <c r="W480" s="141"/>
      <c r="X480" s="141"/>
      <c r="Y480" s="141"/>
      <c r="Z480" s="141"/>
      <c r="AA480" s="141"/>
      <c r="AB480" s="141"/>
      <c r="AC480" s="141"/>
      <c r="AD480"/>
      <c r="AE480"/>
      <c r="AF480"/>
      <c r="AG480"/>
    </row>
    <row r="481" spans="1:33">
      <c r="A481" s="70" t="str">
        <f>B337</f>
        <v>Revolving Loan</v>
      </c>
      <c r="B481"/>
      <c r="C481"/>
      <c r="E481" s="16"/>
      <c r="F481" s="16"/>
      <c r="G481" s="71" t="s">
        <v>708</v>
      </c>
      <c r="H481" s="16"/>
      <c r="I481" s="554">
        <v>0</v>
      </c>
      <c r="J481" s="554">
        <v>0</v>
      </c>
      <c r="K481" s="554">
        <v>0</v>
      </c>
      <c r="L481" s="554">
        <v>0</v>
      </c>
      <c r="M481" s="554">
        <v>0</v>
      </c>
      <c r="N481" s="554">
        <v>0</v>
      </c>
      <c r="O481" s="554">
        <v>0</v>
      </c>
      <c r="P481" s="554">
        <v>0</v>
      </c>
      <c r="Q481" s="554">
        <v>0</v>
      </c>
      <c r="R481" s="554">
        <v>0</v>
      </c>
      <c r="S481" s="554">
        <v>0</v>
      </c>
      <c r="T481" s="554">
        <v>0</v>
      </c>
      <c r="U481" s="554">
        <v>0</v>
      </c>
      <c r="V481" s="554">
        <v>0</v>
      </c>
      <c r="W481" s="554">
        <v>0</v>
      </c>
      <c r="X481" s="554">
        <v>0</v>
      </c>
      <c r="Y481" s="554">
        <v>0</v>
      </c>
      <c r="Z481" s="554">
        <v>0</v>
      </c>
      <c r="AA481" s="554">
        <v>0</v>
      </c>
      <c r="AB481" s="554">
        <v>0</v>
      </c>
      <c r="AC481" s="554">
        <v>0</v>
      </c>
      <c r="AD481"/>
      <c r="AE481"/>
      <c r="AF481"/>
      <c r="AG481"/>
    </row>
    <row r="482" spans="1:33">
      <c r="A482" s="74"/>
      <c r="B482"/>
      <c r="C482"/>
      <c r="G482" s="20" t="s">
        <v>711</v>
      </c>
      <c r="I482" s="554">
        <v>0</v>
      </c>
      <c r="J482" s="554">
        <v>0</v>
      </c>
      <c r="K482" s="554">
        <v>0</v>
      </c>
      <c r="L482" s="554">
        <v>0</v>
      </c>
      <c r="M482" s="554">
        <v>0</v>
      </c>
      <c r="N482" s="554">
        <v>0</v>
      </c>
      <c r="O482" s="554">
        <v>0</v>
      </c>
      <c r="P482" s="554">
        <v>0</v>
      </c>
      <c r="Q482" s="554">
        <v>0</v>
      </c>
      <c r="R482" s="554">
        <v>0</v>
      </c>
      <c r="S482" s="554">
        <v>0</v>
      </c>
      <c r="T482" s="554">
        <v>0</v>
      </c>
      <c r="U482" s="554">
        <v>0</v>
      </c>
      <c r="V482" s="554">
        <v>0</v>
      </c>
      <c r="W482" s="554">
        <v>0</v>
      </c>
      <c r="X482" s="554">
        <v>0</v>
      </c>
      <c r="Y482" s="554">
        <v>0</v>
      </c>
      <c r="Z482" s="554">
        <v>0</v>
      </c>
      <c r="AA482" s="554">
        <v>0</v>
      </c>
      <c r="AB482" s="554">
        <v>0</v>
      </c>
      <c r="AC482" s="554">
        <v>0</v>
      </c>
      <c r="AD482"/>
      <c r="AE482"/>
      <c r="AF482"/>
      <c r="AG482"/>
    </row>
    <row r="483" spans="1:33">
      <c r="A483" s="74"/>
      <c r="B483"/>
      <c r="C483"/>
      <c r="G483" s="71" t="s">
        <v>831</v>
      </c>
      <c r="I483" s="554">
        <v>100000</v>
      </c>
      <c r="J483" s="554">
        <v>100000</v>
      </c>
      <c r="K483" s="554">
        <v>100000</v>
      </c>
      <c r="L483" s="554">
        <v>100000</v>
      </c>
      <c r="M483" s="554">
        <v>100000</v>
      </c>
      <c r="N483" s="554">
        <v>100000</v>
      </c>
      <c r="O483" s="554">
        <v>100000</v>
      </c>
      <c r="P483" s="554">
        <v>100000</v>
      </c>
      <c r="Q483" s="554">
        <v>100000</v>
      </c>
      <c r="R483" s="554">
        <v>100000</v>
      </c>
      <c r="S483" s="554">
        <v>100000</v>
      </c>
      <c r="T483" s="554">
        <v>100000</v>
      </c>
      <c r="U483" s="554">
        <v>100000</v>
      </c>
      <c r="V483" s="554">
        <v>100000</v>
      </c>
      <c r="W483" s="554">
        <v>100000</v>
      </c>
      <c r="X483" s="554">
        <v>100000</v>
      </c>
      <c r="Y483" s="554">
        <v>100000</v>
      </c>
      <c r="Z483" s="554">
        <v>100000</v>
      </c>
      <c r="AA483" s="554">
        <v>100000</v>
      </c>
      <c r="AB483" s="554">
        <v>100000</v>
      </c>
      <c r="AC483" s="554">
        <v>100000</v>
      </c>
      <c r="AD483"/>
      <c r="AE483"/>
      <c r="AF483"/>
      <c r="AG483"/>
    </row>
    <row r="484" spans="1:33">
      <c r="A484" s="74"/>
      <c r="B484"/>
      <c r="C484"/>
      <c r="G484" s="71" t="s">
        <v>832</v>
      </c>
      <c r="I484" s="508">
        <v>1</v>
      </c>
      <c r="J484" s="508">
        <f t="shared" ref="J484:AC484" si="435">I484</f>
        <v>1</v>
      </c>
      <c r="K484" s="508">
        <f t="shared" si="435"/>
        <v>1</v>
      </c>
      <c r="L484" s="508">
        <f t="shared" si="435"/>
        <v>1</v>
      </c>
      <c r="M484" s="508">
        <f t="shared" si="435"/>
        <v>1</v>
      </c>
      <c r="N484" s="508">
        <f t="shared" si="435"/>
        <v>1</v>
      </c>
      <c r="O484" s="508">
        <f t="shared" si="435"/>
        <v>1</v>
      </c>
      <c r="P484" s="508">
        <f t="shared" si="435"/>
        <v>1</v>
      </c>
      <c r="Q484" s="508">
        <f t="shared" si="435"/>
        <v>1</v>
      </c>
      <c r="R484" s="508">
        <f t="shared" si="435"/>
        <v>1</v>
      </c>
      <c r="S484" s="508">
        <f t="shared" si="435"/>
        <v>1</v>
      </c>
      <c r="T484" s="508">
        <f t="shared" si="435"/>
        <v>1</v>
      </c>
      <c r="U484" s="508">
        <f t="shared" si="435"/>
        <v>1</v>
      </c>
      <c r="V484" s="508">
        <f t="shared" si="435"/>
        <v>1</v>
      </c>
      <c r="W484" s="508">
        <f t="shared" si="435"/>
        <v>1</v>
      </c>
      <c r="X484" s="508">
        <f t="shared" si="435"/>
        <v>1</v>
      </c>
      <c r="Y484" s="508">
        <f t="shared" si="435"/>
        <v>1</v>
      </c>
      <c r="Z484" s="508">
        <f t="shared" si="435"/>
        <v>1</v>
      </c>
      <c r="AA484" s="508">
        <f t="shared" si="435"/>
        <v>1</v>
      </c>
      <c r="AB484" s="508">
        <f t="shared" si="435"/>
        <v>1</v>
      </c>
      <c r="AC484" s="508">
        <f t="shared" si="435"/>
        <v>1</v>
      </c>
      <c r="AD484"/>
      <c r="AE484"/>
      <c r="AF484"/>
      <c r="AG484"/>
    </row>
    <row r="485" spans="1:33">
      <c r="A485" s="74"/>
      <c r="B485"/>
      <c r="C485"/>
      <c r="G485" s="71"/>
      <c r="O485" s="15"/>
      <c r="AD485"/>
      <c r="AE485"/>
      <c r="AF485"/>
      <c r="AG485"/>
    </row>
    <row r="486" spans="1:33">
      <c r="A486" s="70" t="str">
        <f>B338</f>
        <v>Term Loan</v>
      </c>
      <c r="B486"/>
      <c r="C486"/>
      <c r="D486" s="89"/>
      <c r="E486" s="89"/>
      <c r="F486" s="89"/>
      <c r="G486" s="71" t="s">
        <v>708</v>
      </c>
      <c r="H486" s="89"/>
      <c r="I486" s="553">
        <v>0</v>
      </c>
      <c r="J486" s="553">
        <v>0</v>
      </c>
      <c r="K486" s="553">
        <v>0</v>
      </c>
      <c r="L486" s="553">
        <v>0</v>
      </c>
      <c r="M486" s="553">
        <v>0</v>
      </c>
      <c r="N486" s="553">
        <v>0</v>
      </c>
      <c r="O486" s="553">
        <v>0</v>
      </c>
      <c r="P486" s="553">
        <v>0</v>
      </c>
      <c r="Q486" s="553">
        <v>0</v>
      </c>
      <c r="R486" s="553">
        <v>0</v>
      </c>
      <c r="S486" s="553">
        <v>0</v>
      </c>
      <c r="T486" s="553">
        <v>0</v>
      </c>
      <c r="U486" s="553">
        <v>0</v>
      </c>
      <c r="V486" s="553">
        <v>0</v>
      </c>
      <c r="W486" s="553">
        <v>0</v>
      </c>
      <c r="X486" s="553">
        <v>0</v>
      </c>
      <c r="Y486" s="553">
        <v>0</v>
      </c>
      <c r="Z486" s="553">
        <v>0</v>
      </c>
      <c r="AA486" s="553">
        <v>0</v>
      </c>
      <c r="AB486" s="553">
        <v>0</v>
      </c>
      <c r="AC486" s="553">
        <v>0</v>
      </c>
    </row>
    <row r="487" spans="1:33">
      <c r="A487" s="74"/>
      <c r="B487"/>
      <c r="C487"/>
      <c r="G487" s="20" t="s">
        <v>711</v>
      </c>
      <c r="I487" s="554">
        <v>0</v>
      </c>
      <c r="J487" s="554">
        <v>0</v>
      </c>
      <c r="K487" s="554">
        <v>0</v>
      </c>
      <c r="L487" s="554">
        <v>0</v>
      </c>
      <c r="M487" s="554">
        <v>0</v>
      </c>
      <c r="N487" s="554">
        <v>0</v>
      </c>
      <c r="O487" s="554">
        <v>0</v>
      </c>
      <c r="P487" s="554">
        <v>0</v>
      </c>
      <c r="Q487" s="554">
        <v>0</v>
      </c>
      <c r="R487" s="554">
        <v>0</v>
      </c>
      <c r="S487" s="554">
        <v>0</v>
      </c>
      <c r="T487" s="554">
        <v>0</v>
      </c>
      <c r="U487" s="554">
        <v>0</v>
      </c>
      <c r="V487" s="554">
        <v>0</v>
      </c>
      <c r="W487" s="554">
        <v>0</v>
      </c>
      <c r="X487" s="554">
        <v>0</v>
      </c>
      <c r="Y487" s="554">
        <v>0</v>
      </c>
      <c r="Z487" s="554">
        <v>0</v>
      </c>
      <c r="AA487" s="554">
        <v>0</v>
      </c>
      <c r="AB487" s="554">
        <v>0</v>
      </c>
      <c r="AC487" s="554">
        <v>0</v>
      </c>
    </row>
    <row r="488" spans="1:33">
      <c r="A488" s="74"/>
      <c r="B488"/>
      <c r="C488"/>
      <c r="G488" s="71" t="s">
        <v>832</v>
      </c>
      <c r="I488" s="568">
        <v>0.75</v>
      </c>
      <c r="J488" s="568">
        <f t="shared" ref="J488:AC488" si="436">I488</f>
        <v>0.75</v>
      </c>
      <c r="K488" s="568">
        <f t="shared" si="436"/>
        <v>0.75</v>
      </c>
      <c r="L488" s="568">
        <f t="shared" si="436"/>
        <v>0.75</v>
      </c>
      <c r="M488" s="568">
        <f t="shared" si="436"/>
        <v>0.75</v>
      </c>
      <c r="N488" s="568">
        <f t="shared" si="436"/>
        <v>0.75</v>
      </c>
      <c r="O488" s="568">
        <f t="shared" si="436"/>
        <v>0.75</v>
      </c>
      <c r="P488" s="568">
        <f t="shared" si="436"/>
        <v>0.75</v>
      </c>
      <c r="Q488" s="568">
        <f t="shared" si="436"/>
        <v>0.75</v>
      </c>
      <c r="R488" s="568">
        <f t="shared" si="436"/>
        <v>0.75</v>
      </c>
      <c r="S488" s="568">
        <f t="shared" si="436"/>
        <v>0.75</v>
      </c>
      <c r="T488" s="568">
        <f t="shared" si="436"/>
        <v>0.75</v>
      </c>
      <c r="U488" s="568">
        <f t="shared" si="436"/>
        <v>0.75</v>
      </c>
      <c r="V488" s="568">
        <f t="shared" si="436"/>
        <v>0.75</v>
      </c>
      <c r="W488" s="568">
        <f t="shared" si="436"/>
        <v>0.75</v>
      </c>
      <c r="X488" s="568">
        <f t="shared" si="436"/>
        <v>0.75</v>
      </c>
      <c r="Y488" s="568">
        <f t="shared" si="436"/>
        <v>0.75</v>
      </c>
      <c r="Z488" s="568">
        <f t="shared" si="436"/>
        <v>0.75</v>
      </c>
      <c r="AA488" s="568">
        <f t="shared" si="436"/>
        <v>0.75</v>
      </c>
      <c r="AB488" s="568">
        <f t="shared" si="436"/>
        <v>0.75</v>
      </c>
      <c r="AC488" s="568">
        <f t="shared" si="436"/>
        <v>0.75</v>
      </c>
    </row>
    <row r="489" spans="1:33">
      <c r="A489" s="74"/>
      <c r="B489" s="74"/>
      <c r="C489"/>
      <c r="G489" s="71"/>
      <c r="I489" s="149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  <c r="AA489" s="143"/>
      <c r="AB489" s="143"/>
      <c r="AC489" s="143"/>
    </row>
    <row r="490" spans="1:33">
      <c r="A490"/>
      <c r="C490"/>
      <c r="G490" s="71"/>
    </row>
    <row r="491" spans="1:33">
      <c r="A491" s="70" t="s">
        <v>833</v>
      </c>
      <c r="B491" s="150" t="s">
        <v>834</v>
      </c>
      <c r="C491"/>
      <c r="G491" s="151" t="s">
        <v>835</v>
      </c>
      <c r="I491" s="554">
        <v>0</v>
      </c>
      <c r="J491" s="554">
        <v>0</v>
      </c>
      <c r="K491" s="554">
        <v>0</v>
      </c>
      <c r="L491" s="554">
        <v>0</v>
      </c>
      <c r="M491" s="554">
        <v>0</v>
      </c>
      <c r="N491" s="554">
        <v>0</v>
      </c>
      <c r="O491" s="554">
        <v>0</v>
      </c>
      <c r="P491" s="554">
        <v>0</v>
      </c>
      <c r="Q491" s="554">
        <v>0</v>
      </c>
      <c r="R491" s="554">
        <v>0</v>
      </c>
      <c r="S491" s="554">
        <v>0</v>
      </c>
      <c r="T491" s="554">
        <v>0</v>
      </c>
      <c r="U491" s="554">
        <v>0</v>
      </c>
      <c r="V491" s="554">
        <v>0</v>
      </c>
      <c r="W491" s="554">
        <v>0</v>
      </c>
      <c r="X491" s="554">
        <v>0</v>
      </c>
      <c r="Y491" s="554">
        <v>0</v>
      </c>
      <c r="Z491" s="554">
        <v>0</v>
      </c>
      <c r="AA491" s="554">
        <v>0</v>
      </c>
      <c r="AB491" s="554">
        <v>0</v>
      </c>
      <c r="AC491" s="554">
        <v>0</v>
      </c>
    </row>
    <row r="492" spans="1:33">
      <c r="A492" s="74"/>
      <c r="C492"/>
      <c r="G492" s="71"/>
    </row>
    <row r="493" spans="1:33">
      <c r="A493" s="390" t="str">
        <f>B339</f>
        <v>Production Payment</v>
      </c>
      <c r="B493" s="231"/>
      <c r="C493" s="231"/>
      <c r="D493" s="231"/>
      <c r="E493" s="231"/>
      <c r="F493" s="231"/>
      <c r="G493" s="391" t="s">
        <v>708</v>
      </c>
      <c r="H493" s="79"/>
      <c r="I493" s="5">
        <f t="shared" ref="I493:R493" si="437">I495*$I$498+I496*$I$499</f>
        <v>0</v>
      </c>
      <c r="J493" s="5">
        <f t="shared" si="437"/>
        <v>0</v>
      </c>
      <c r="K493" s="5">
        <f t="shared" si="437"/>
        <v>0</v>
      </c>
      <c r="L493" s="5">
        <f t="shared" si="437"/>
        <v>0</v>
      </c>
      <c r="M493" s="5">
        <f t="shared" si="437"/>
        <v>0</v>
      </c>
      <c r="N493" s="5">
        <f t="shared" si="437"/>
        <v>0</v>
      </c>
      <c r="O493" s="5">
        <f t="shared" si="437"/>
        <v>0</v>
      </c>
      <c r="P493" s="5">
        <f t="shared" si="437"/>
        <v>0</v>
      </c>
      <c r="Q493" s="5">
        <f t="shared" si="437"/>
        <v>0</v>
      </c>
      <c r="R493" s="5">
        <f t="shared" si="437"/>
        <v>0</v>
      </c>
      <c r="S493" s="5">
        <f t="shared" ref="S493:AC493" si="438">S495*$I$498+S496*$I$499</f>
        <v>0</v>
      </c>
      <c r="T493" s="5">
        <f t="shared" si="438"/>
        <v>0</v>
      </c>
      <c r="U493" s="5">
        <f t="shared" si="438"/>
        <v>0</v>
      </c>
      <c r="V493" s="5">
        <f t="shared" si="438"/>
        <v>0</v>
      </c>
      <c r="W493" s="5">
        <f t="shared" si="438"/>
        <v>0</v>
      </c>
      <c r="X493" s="5">
        <f t="shared" si="438"/>
        <v>0</v>
      </c>
      <c r="Y493" s="5">
        <f t="shared" si="438"/>
        <v>0</v>
      </c>
      <c r="Z493" s="5">
        <f t="shared" si="438"/>
        <v>0</v>
      </c>
      <c r="AA493" s="5">
        <f t="shared" si="438"/>
        <v>0</v>
      </c>
      <c r="AB493" s="5">
        <f t="shared" si="438"/>
        <v>0</v>
      </c>
      <c r="AC493" s="5">
        <f t="shared" si="438"/>
        <v>0</v>
      </c>
    </row>
    <row r="494" spans="1:33">
      <c r="A494" s="390"/>
      <c r="B494" s="231"/>
      <c r="C494" s="231"/>
      <c r="D494" s="231"/>
      <c r="E494" s="231"/>
      <c r="F494" s="231"/>
      <c r="G494" s="391" t="s">
        <v>836</v>
      </c>
      <c r="H494" s="69"/>
      <c r="I494" s="484">
        <v>0</v>
      </c>
      <c r="J494" s="484">
        <v>0</v>
      </c>
      <c r="K494" s="484">
        <v>0</v>
      </c>
      <c r="L494" s="484">
        <v>0</v>
      </c>
      <c r="M494" s="484">
        <v>0</v>
      </c>
      <c r="N494" s="484">
        <v>0</v>
      </c>
      <c r="O494" s="484">
        <v>0</v>
      </c>
      <c r="P494" s="484">
        <v>0</v>
      </c>
      <c r="Q494" s="484">
        <v>0</v>
      </c>
      <c r="R494" s="484">
        <v>0</v>
      </c>
      <c r="S494" s="484">
        <v>0</v>
      </c>
      <c r="T494" s="484">
        <v>0</v>
      </c>
      <c r="U494" s="484">
        <v>0</v>
      </c>
      <c r="V494" s="484">
        <v>0</v>
      </c>
      <c r="W494" s="484">
        <v>0</v>
      </c>
      <c r="X494" s="484">
        <v>0</v>
      </c>
      <c r="Y494" s="484">
        <v>0</v>
      </c>
      <c r="Z494" s="484">
        <v>0</v>
      </c>
      <c r="AA494" s="484">
        <v>0</v>
      </c>
      <c r="AB494" s="484">
        <v>0</v>
      </c>
      <c r="AC494" s="484">
        <v>0</v>
      </c>
    </row>
    <row r="495" spans="1:33">
      <c r="A495" s="229"/>
      <c r="B495" s="231"/>
      <c r="C495" s="231"/>
      <c r="D495" s="231"/>
      <c r="E495" s="231"/>
      <c r="F495" s="392"/>
      <c r="G495" s="393" t="s">
        <v>837</v>
      </c>
      <c r="H495"/>
      <c r="I495" s="392">
        <f t="shared" ref="I495:R495" si="439">+I957</f>
        <v>0</v>
      </c>
      <c r="J495" s="392">
        <f t="shared" si="439"/>
        <v>0</v>
      </c>
      <c r="K495" s="392">
        <f t="shared" si="439"/>
        <v>0</v>
      </c>
      <c r="L495" s="392">
        <f t="shared" si="439"/>
        <v>0</v>
      </c>
      <c r="M495" s="392">
        <f t="shared" si="439"/>
        <v>0</v>
      </c>
      <c r="N495" s="392">
        <f t="shared" si="439"/>
        <v>0</v>
      </c>
      <c r="O495" s="392">
        <f t="shared" si="439"/>
        <v>0</v>
      </c>
      <c r="P495" s="392">
        <f t="shared" si="439"/>
        <v>0</v>
      </c>
      <c r="Q495" s="392">
        <f t="shared" si="439"/>
        <v>0</v>
      </c>
      <c r="R495" s="392">
        <f t="shared" si="439"/>
        <v>0</v>
      </c>
      <c r="S495" s="392">
        <f t="shared" ref="S495:AC495" si="440">+S957</f>
        <v>0</v>
      </c>
      <c r="T495" s="392">
        <f t="shared" si="440"/>
        <v>0</v>
      </c>
      <c r="U495" s="392">
        <f t="shared" si="440"/>
        <v>0</v>
      </c>
      <c r="V495" s="392">
        <f t="shared" si="440"/>
        <v>0</v>
      </c>
      <c r="W495" s="392">
        <f t="shared" si="440"/>
        <v>0</v>
      </c>
      <c r="X495" s="392">
        <f t="shared" si="440"/>
        <v>0</v>
      </c>
      <c r="Y495" s="392">
        <f t="shared" si="440"/>
        <v>0</v>
      </c>
      <c r="Z495" s="392">
        <f t="shared" si="440"/>
        <v>0</v>
      </c>
      <c r="AA495" s="392">
        <f t="shared" si="440"/>
        <v>0</v>
      </c>
      <c r="AB495" s="392">
        <f t="shared" si="440"/>
        <v>0</v>
      </c>
      <c r="AC495" s="392">
        <f t="shared" si="440"/>
        <v>0</v>
      </c>
    </row>
    <row r="496" spans="1:33">
      <c r="A496" s="229"/>
      <c r="B496" s="231"/>
      <c r="C496" s="231"/>
      <c r="D496" s="231"/>
      <c r="E496" s="231"/>
      <c r="F496" s="231"/>
      <c r="G496" s="393" t="s">
        <v>838</v>
      </c>
      <c r="H496"/>
      <c r="I496" s="392">
        <f t="shared" ref="I496:R496" si="441">+I958</f>
        <v>0</v>
      </c>
      <c r="J496" s="392">
        <f t="shared" si="441"/>
        <v>0</v>
      </c>
      <c r="K496" s="392">
        <f t="shared" si="441"/>
        <v>0</v>
      </c>
      <c r="L496" s="392">
        <f t="shared" si="441"/>
        <v>0</v>
      </c>
      <c r="M496" s="392">
        <f t="shared" si="441"/>
        <v>0</v>
      </c>
      <c r="N496" s="392">
        <f t="shared" si="441"/>
        <v>0</v>
      </c>
      <c r="O496" s="392">
        <f t="shared" si="441"/>
        <v>0</v>
      </c>
      <c r="P496" s="392">
        <f t="shared" si="441"/>
        <v>0</v>
      </c>
      <c r="Q496" s="392">
        <f t="shared" si="441"/>
        <v>0</v>
      </c>
      <c r="R496" s="392">
        <f t="shared" si="441"/>
        <v>0</v>
      </c>
      <c r="S496" s="392">
        <f t="shared" ref="S496:AC496" si="442">+S958</f>
        <v>0</v>
      </c>
      <c r="T496" s="392">
        <f t="shared" si="442"/>
        <v>0</v>
      </c>
      <c r="U496" s="392">
        <f t="shared" si="442"/>
        <v>0</v>
      </c>
      <c r="V496" s="392">
        <f t="shared" si="442"/>
        <v>0</v>
      </c>
      <c r="W496" s="392">
        <f t="shared" si="442"/>
        <v>0</v>
      </c>
      <c r="X496" s="392">
        <f t="shared" si="442"/>
        <v>0</v>
      </c>
      <c r="Y496" s="392">
        <f t="shared" si="442"/>
        <v>0</v>
      </c>
      <c r="Z496" s="392">
        <f t="shared" si="442"/>
        <v>0</v>
      </c>
      <c r="AA496" s="392">
        <f t="shared" si="442"/>
        <v>0</v>
      </c>
      <c r="AB496" s="392">
        <f t="shared" si="442"/>
        <v>0</v>
      </c>
      <c r="AC496" s="392">
        <f t="shared" si="442"/>
        <v>0</v>
      </c>
    </row>
    <row r="497" spans="1:31">
      <c r="A497" s="74"/>
      <c r="G497"/>
      <c r="AA497"/>
    </row>
    <row r="498" spans="1:31">
      <c r="A498" s="74"/>
      <c r="F498"/>
      <c r="G498"/>
      <c r="H498" s="71" t="s">
        <v>839</v>
      </c>
      <c r="I498" s="269">
        <v>0</v>
      </c>
      <c r="J498"/>
      <c r="AA498"/>
    </row>
    <row r="499" spans="1:31">
      <c r="A499" s="74"/>
      <c r="B499" s="74"/>
      <c r="F499"/>
      <c r="G499"/>
      <c r="H499" s="71" t="s">
        <v>840</v>
      </c>
      <c r="I499" s="569">
        <v>0</v>
      </c>
      <c r="J499"/>
      <c r="K499" s="16"/>
      <c r="L499" s="16"/>
      <c r="M499" s="16"/>
      <c r="N499" s="16"/>
      <c r="O499" s="16"/>
      <c r="P499" s="16"/>
      <c r="Q499" s="16"/>
      <c r="R499" s="16"/>
      <c r="S499" s="16"/>
      <c r="AA499"/>
    </row>
    <row r="500" spans="1:31">
      <c r="A500" s="74"/>
      <c r="C500"/>
      <c r="G500" s="71"/>
    </row>
    <row r="501" spans="1:31">
      <c r="A501" s="70" t="str">
        <f>B340</f>
        <v>ESOP Notes</v>
      </c>
      <c r="B501"/>
      <c r="C501"/>
      <c r="G501" s="71" t="s">
        <v>708</v>
      </c>
      <c r="I501" s="5">
        <f t="shared" ref="I501:AC501" si="443">I631</f>
        <v>0</v>
      </c>
      <c r="J501" s="5">
        <f t="shared" si="443"/>
        <v>0</v>
      </c>
      <c r="K501" s="5">
        <f t="shared" si="443"/>
        <v>0</v>
      </c>
      <c r="L501" s="5">
        <f t="shared" si="443"/>
        <v>0</v>
      </c>
      <c r="M501" s="5">
        <f t="shared" si="443"/>
        <v>0</v>
      </c>
      <c r="N501" s="5">
        <f t="shared" si="443"/>
        <v>0</v>
      </c>
      <c r="O501" s="5">
        <f t="shared" si="443"/>
        <v>0</v>
      </c>
      <c r="P501" s="5">
        <f t="shared" si="443"/>
        <v>0</v>
      </c>
      <c r="Q501" s="5">
        <f t="shared" si="443"/>
        <v>0</v>
      </c>
      <c r="R501" s="5">
        <f t="shared" si="443"/>
        <v>0</v>
      </c>
      <c r="S501" s="5">
        <f t="shared" si="443"/>
        <v>0</v>
      </c>
      <c r="T501" s="5">
        <f t="shared" si="443"/>
        <v>0</v>
      </c>
      <c r="U501" s="5">
        <f t="shared" si="443"/>
        <v>0</v>
      </c>
      <c r="V501" s="5">
        <f t="shared" si="443"/>
        <v>0</v>
      </c>
      <c r="W501" s="5">
        <f t="shared" si="443"/>
        <v>0</v>
      </c>
      <c r="X501" s="5">
        <f t="shared" si="443"/>
        <v>0</v>
      </c>
      <c r="Y501" s="5">
        <f t="shared" si="443"/>
        <v>0</v>
      </c>
      <c r="Z501" s="5">
        <f t="shared" si="443"/>
        <v>0</v>
      </c>
      <c r="AA501" s="5">
        <f t="shared" si="443"/>
        <v>0</v>
      </c>
      <c r="AB501" s="5">
        <f t="shared" si="443"/>
        <v>0</v>
      </c>
      <c r="AC501" s="5">
        <f t="shared" si="443"/>
        <v>0</v>
      </c>
    </row>
    <row r="502" spans="1:31">
      <c r="A502" s="74"/>
      <c r="B502"/>
      <c r="C502"/>
      <c r="G502" s="71" t="s">
        <v>836</v>
      </c>
      <c r="I502" s="554">
        <v>0</v>
      </c>
      <c r="J502" s="554">
        <v>0</v>
      </c>
      <c r="K502" s="554">
        <v>0</v>
      </c>
      <c r="L502" s="554">
        <v>0</v>
      </c>
      <c r="M502" s="554">
        <v>0</v>
      </c>
      <c r="N502" s="554">
        <v>0</v>
      </c>
      <c r="O502" s="554">
        <v>0</v>
      </c>
      <c r="P502" s="554">
        <v>0</v>
      </c>
      <c r="Q502" s="554">
        <v>0</v>
      </c>
      <c r="R502" s="554">
        <v>0</v>
      </c>
      <c r="S502" s="554">
        <v>0</v>
      </c>
      <c r="T502" s="554">
        <v>0</v>
      </c>
      <c r="U502" s="554">
        <v>0</v>
      </c>
      <c r="V502" s="554">
        <v>0</v>
      </c>
      <c r="W502" s="554">
        <v>0</v>
      </c>
      <c r="X502" s="554">
        <v>0</v>
      </c>
      <c r="Y502" s="554">
        <v>0</v>
      </c>
      <c r="Z502" s="554">
        <v>0</v>
      </c>
      <c r="AA502" s="554">
        <v>0</v>
      </c>
      <c r="AB502" s="554">
        <v>0</v>
      </c>
      <c r="AC502" s="554">
        <v>0</v>
      </c>
    </row>
    <row r="503" spans="1:31">
      <c r="A503" s="74"/>
      <c r="B503"/>
      <c r="C503"/>
      <c r="G503" s="71"/>
    </row>
    <row r="504" spans="1:31">
      <c r="A504" s="70" t="str">
        <f>B341</f>
        <v>Placement 1</v>
      </c>
      <c r="B504"/>
      <c r="C504"/>
      <c r="D504" s="89"/>
      <c r="E504" s="89"/>
      <c r="F504" s="89"/>
      <c r="G504" s="71" t="s">
        <v>708</v>
      </c>
      <c r="H504" s="89"/>
      <c r="I504" s="553">
        <v>0</v>
      </c>
      <c r="J504" s="553">
        <v>0</v>
      </c>
      <c r="K504" s="553">
        <v>0</v>
      </c>
      <c r="L504" s="553">
        <v>0</v>
      </c>
      <c r="M504" s="553">
        <v>0</v>
      </c>
      <c r="N504" s="553">
        <v>0</v>
      </c>
      <c r="O504" s="553">
        <v>0</v>
      </c>
      <c r="P504" s="553">
        <v>0</v>
      </c>
      <c r="Q504" s="553">
        <v>0</v>
      </c>
      <c r="R504" s="553">
        <v>0</v>
      </c>
      <c r="S504" s="553">
        <v>0</v>
      </c>
      <c r="T504" s="553">
        <v>0</v>
      </c>
      <c r="U504" s="553">
        <v>0</v>
      </c>
      <c r="V504" s="553">
        <v>0</v>
      </c>
      <c r="W504" s="553">
        <v>0</v>
      </c>
      <c r="X504" s="553">
        <v>0</v>
      </c>
      <c r="Y504" s="553">
        <v>0</v>
      </c>
      <c r="Z504" s="553">
        <v>0</v>
      </c>
      <c r="AA504" s="553">
        <v>0</v>
      </c>
      <c r="AB504" s="553">
        <v>0</v>
      </c>
      <c r="AC504" s="553">
        <v>0</v>
      </c>
    </row>
    <row r="505" spans="1:31">
      <c r="A505" s="70"/>
      <c r="B505"/>
      <c r="C505"/>
      <c r="G505" s="20" t="s">
        <v>711</v>
      </c>
      <c r="I505" s="553">
        <v>0</v>
      </c>
      <c r="J505" s="553">
        <v>0</v>
      </c>
      <c r="K505" s="553">
        <v>0</v>
      </c>
      <c r="L505" s="553">
        <v>0</v>
      </c>
      <c r="M505" s="553">
        <v>0</v>
      </c>
      <c r="N505" s="553">
        <v>0</v>
      </c>
      <c r="O505" s="553">
        <v>0</v>
      </c>
      <c r="P505" s="553">
        <v>0</v>
      </c>
      <c r="Q505" s="553">
        <v>0</v>
      </c>
      <c r="R505" s="553">
        <v>0</v>
      </c>
      <c r="S505" s="553">
        <v>0</v>
      </c>
      <c r="T505" s="553">
        <v>0</v>
      </c>
      <c r="U505" s="553">
        <v>0</v>
      </c>
      <c r="V505" s="553">
        <v>0</v>
      </c>
      <c r="W505" s="553">
        <v>0</v>
      </c>
      <c r="X505" s="553">
        <v>0</v>
      </c>
      <c r="Y505" s="553">
        <v>0</v>
      </c>
      <c r="Z505" s="553">
        <v>0</v>
      </c>
      <c r="AA505" s="553">
        <v>0</v>
      </c>
      <c r="AB505" s="553">
        <v>0</v>
      </c>
      <c r="AC505" s="553">
        <v>0</v>
      </c>
    </row>
    <row r="506" spans="1:31">
      <c r="A506" s="70"/>
    </row>
    <row r="507" spans="1:31">
      <c r="A507" s="70" t="str">
        <f>B342</f>
        <v>Placement 2</v>
      </c>
      <c r="B507"/>
      <c r="C507" s="85"/>
      <c r="D507" s="85"/>
      <c r="E507" s="85"/>
      <c r="F507" s="85"/>
      <c r="G507" s="71" t="str">
        <f>"Cash Flow for Repayment (CLASS B Reserves Income before NPI)*"</f>
        <v>Cash Flow for Repayment (CLASS B Reserves Income before NPI)*</v>
      </c>
      <c r="H507" s="79"/>
      <c r="I507" s="311">
        <f t="shared" ref="I507:R507" ca="1" si="444">+I956</f>
        <v>-15.572178500000001</v>
      </c>
      <c r="J507" s="311">
        <f t="shared" ca="1" si="444"/>
        <v>97.961506319999955</v>
      </c>
      <c r="K507" s="311">
        <f t="shared" ca="1" si="444"/>
        <v>31.592715766666664</v>
      </c>
      <c r="L507" s="311">
        <f t="shared" ca="1" si="444"/>
        <v>63.550314513333319</v>
      </c>
      <c r="M507" s="311">
        <f t="shared" ca="1" si="444"/>
        <v>165.10911147600001</v>
      </c>
      <c r="N507" s="311">
        <f t="shared" ca="1" si="444"/>
        <v>69.494640328000003</v>
      </c>
      <c r="O507" s="311">
        <f t="shared" ca="1" si="444"/>
        <v>27.749212905333337</v>
      </c>
      <c r="P507" s="311">
        <f t="shared" ca="1" si="444"/>
        <v>-24.189682961999996</v>
      </c>
      <c r="Q507" s="311">
        <f t="shared" ca="1" si="444"/>
        <v>-39.152085768666673</v>
      </c>
      <c r="R507" s="311">
        <f t="shared" ca="1" si="444"/>
        <v>-43.940745346</v>
      </c>
      <c r="S507" s="311">
        <f t="shared" ref="S507:AC507" ca="1" si="445">+S956</f>
        <v>-27.522127003999998</v>
      </c>
      <c r="T507" s="311">
        <f t="shared" ca="1" si="445"/>
        <v>-29.245198424999995</v>
      </c>
      <c r="U507" s="311">
        <f t="shared" ca="1" si="445"/>
        <v>-30.726257276666665</v>
      </c>
      <c r="V507" s="311">
        <f t="shared" ca="1" si="445"/>
        <v>-32.00407281333333</v>
      </c>
      <c r="W507" s="311">
        <f t="shared" ca="1" si="445"/>
        <v>-12.799887822000001</v>
      </c>
      <c r="X507" s="311">
        <f t="shared" ca="1" si="445"/>
        <v>-13.654038730666665</v>
      </c>
      <c r="Y507" s="311">
        <f t="shared" ca="1" si="445"/>
        <v>0.2852711353333337</v>
      </c>
      <c r="Z507" s="311">
        <f t="shared" ca="1" si="445"/>
        <v>0</v>
      </c>
      <c r="AA507" s="311">
        <f t="shared" ca="1" si="445"/>
        <v>0</v>
      </c>
      <c r="AB507" s="311">
        <f t="shared" ca="1" si="445"/>
        <v>0</v>
      </c>
      <c r="AC507" s="311">
        <f t="shared" ca="1" si="445"/>
        <v>0</v>
      </c>
    </row>
    <row r="508" spans="1:31">
      <c r="A508" s="70"/>
      <c r="B508"/>
      <c r="C508"/>
      <c r="D508" s="71" t="s">
        <v>841</v>
      </c>
      <c r="E508" s="344">
        <v>0</v>
      </c>
      <c r="F508" s="85"/>
      <c r="G508" s="71" t="s">
        <v>842</v>
      </c>
      <c r="H508"/>
      <c r="I508" s="311">
        <f t="shared" ref="I508:R508" ca="1" si="446">I507*$E$508</f>
        <v>0</v>
      </c>
      <c r="J508" s="311">
        <f t="shared" ca="1" si="446"/>
        <v>0</v>
      </c>
      <c r="K508" s="311">
        <f t="shared" ca="1" si="446"/>
        <v>0</v>
      </c>
      <c r="L508" s="311">
        <f t="shared" ca="1" si="446"/>
        <v>0</v>
      </c>
      <c r="M508" s="311">
        <f t="shared" ca="1" si="446"/>
        <v>0</v>
      </c>
      <c r="N508" s="311">
        <f t="shared" ca="1" si="446"/>
        <v>0</v>
      </c>
      <c r="O508" s="311">
        <f t="shared" ca="1" si="446"/>
        <v>0</v>
      </c>
      <c r="P508" s="311">
        <f t="shared" ca="1" si="446"/>
        <v>0</v>
      </c>
      <c r="Q508" s="311">
        <f t="shared" ca="1" si="446"/>
        <v>0</v>
      </c>
      <c r="R508" s="311">
        <f t="shared" ca="1" si="446"/>
        <v>0</v>
      </c>
      <c r="S508" s="311">
        <f t="shared" ref="S508:AC508" ca="1" si="447">S507*$E$508</f>
        <v>0</v>
      </c>
      <c r="T508" s="311">
        <f t="shared" ca="1" si="447"/>
        <v>0</v>
      </c>
      <c r="U508" s="311">
        <f t="shared" ca="1" si="447"/>
        <v>0</v>
      </c>
      <c r="V508" s="311">
        <f t="shared" ca="1" si="447"/>
        <v>0</v>
      </c>
      <c r="W508" s="311">
        <f t="shared" ca="1" si="447"/>
        <v>0</v>
      </c>
      <c r="X508" s="311">
        <f t="shared" ca="1" si="447"/>
        <v>0</v>
      </c>
      <c r="Y508" s="311">
        <f t="shared" ca="1" si="447"/>
        <v>0</v>
      </c>
      <c r="Z508" s="311">
        <f t="shared" ca="1" si="447"/>
        <v>0</v>
      </c>
      <c r="AA508" s="311">
        <f t="shared" ca="1" si="447"/>
        <v>0</v>
      </c>
      <c r="AB508" s="311">
        <f t="shared" ca="1" si="447"/>
        <v>0</v>
      </c>
      <c r="AC508" s="311">
        <f t="shared" ca="1" si="447"/>
        <v>0</v>
      </c>
    </row>
    <row r="509" spans="1:31">
      <c r="A509" s="70"/>
      <c r="B509"/>
      <c r="C509"/>
      <c r="D509"/>
      <c r="E509"/>
      <c r="F509" s="85"/>
      <c r="G509" s="71" t="s">
        <v>843</v>
      </c>
      <c r="H509"/>
      <c r="I509" s="223">
        <f t="shared" ref="I509:AC509" ca="1" si="448">I96</f>
        <v>0</v>
      </c>
      <c r="J509" s="223">
        <f t="shared" ca="1" si="448"/>
        <v>0</v>
      </c>
      <c r="K509" s="223">
        <f t="shared" ca="1" si="448"/>
        <v>0</v>
      </c>
      <c r="L509" s="223">
        <f t="shared" ca="1" si="448"/>
        <v>0</v>
      </c>
      <c r="M509" s="223">
        <f t="shared" ca="1" si="448"/>
        <v>0</v>
      </c>
      <c r="N509" s="223">
        <f t="shared" ca="1" si="448"/>
        <v>0</v>
      </c>
      <c r="O509" s="223">
        <f t="shared" ca="1" si="448"/>
        <v>0</v>
      </c>
      <c r="P509" s="223">
        <f t="shared" ca="1" si="448"/>
        <v>0</v>
      </c>
      <c r="Q509" s="223">
        <f t="shared" ca="1" si="448"/>
        <v>0</v>
      </c>
      <c r="R509" s="223">
        <f t="shared" ca="1" si="448"/>
        <v>0</v>
      </c>
      <c r="S509" s="223">
        <f t="shared" ca="1" si="448"/>
        <v>0</v>
      </c>
      <c r="T509" s="223">
        <f t="shared" ca="1" si="448"/>
        <v>0</v>
      </c>
      <c r="U509" s="223">
        <f t="shared" ca="1" si="448"/>
        <v>0</v>
      </c>
      <c r="V509" s="223">
        <f t="shared" ca="1" si="448"/>
        <v>0</v>
      </c>
      <c r="W509" s="223">
        <f t="shared" ca="1" si="448"/>
        <v>0</v>
      </c>
      <c r="X509" s="223">
        <f t="shared" ca="1" si="448"/>
        <v>0</v>
      </c>
      <c r="Y509" s="223">
        <f t="shared" ca="1" si="448"/>
        <v>0</v>
      </c>
      <c r="Z509" s="223">
        <f t="shared" ca="1" si="448"/>
        <v>0</v>
      </c>
      <c r="AA509" s="223">
        <f t="shared" ca="1" si="448"/>
        <v>0</v>
      </c>
      <c r="AB509" s="223">
        <f t="shared" ca="1" si="448"/>
        <v>0</v>
      </c>
      <c r="AC509" s="223">
        <f t="shared" ca="1" si="448"/>
        <v>0</v>
      </c>
      <c r="AD509" s="223"/>
      <c r="AE509" s="223"/>
    </row>
    <row r="510" spans="1:31">
      <c r="A510" s="70"/>
      <c r="B510"/>
      <c r="C510"/>
      <c r="D510"/>
      <c r="E510"/>
      <c r="F510"/>
      <c r="G510" s="71" t="s">
        <v>708</v>
      </c>
      <c r="H510"/>
      <c r="I510" s="145">
        <f t="shared" ref="I510:R510" ca="1" si="449">MIN(I508-I509,I268-I269)</f>
        <v>0</v>
      </c>
      <c r="J510" s="145">
        <f t="shared" ca="1" si="449"/>
        <v>0</v>
      </c>
      <c r="K510" s="145">
        <f t="shared" ca="1" si="449"/>
        <v>0</v>
      </c>
      <c r="L510" s="145">
        <f t="shared" ca="1" si="449"/>
        <v>0</v>
      </c>
      <c r="M510" s="145">
        <f t="shared" ca="1" si="449"/>
        <v>0</v>
      </c>
      <c r="N510" s="145">
        <f t="shared" ca="1" si="449"/>
        <v>0</v>
      </c>
      <c r="O510" s="145">
        <f t="shared" ca="1" si="449"/>
        <v>0</v>
      </c>
      <c r="P510" s="145">
        <f t="shared" ca="1" si="449"/>
        <v>0</v>
      </c>
      <c r="Q510" s="145">
        <f t="shared" ca="1" si="449"/>
        <v>0</v>
      </c>
      <c r="R510" s="145">
        <f t="shared" ca="1" si="449"/>
        <v>0</v>
      </c>
      <c r="S510" s="145">
        <f t="shared" ref="S510:AC510" ca="1" si="450">MIN(S508-S509,S268-S269)</f>
        <v>0</v>
      </c>
      <c r="T510" s="145">
        <f t="shared" ca="1" si="450"/>
        <v>0</v>
      </c>
      <c r="U510" s="145">
        <f t="shared" ca="1" si="450"/>
        <v>0</v>
      </c>
      <c r="V510" s="145">
        <f t="shared" ca="1" si="450"/>
        <v>0</v>
      </c>
      <c r="W510" s="145">
        <f t="shared" ca="1" si="450"/>
        <v>0</v>
      </c>
      <c r="X510" s="145">
        <f t="shared" ca="1" si="450"/>
        <v>0</v>
      </c>
      <c r="Y510" s="145">
        <f t="shared" ca="1" si="450"/>
        <v>0</v>
      </c>
      <c r="Z510" s="145">
        <f t="shared" ca="1" si="450"/>
        <v>0</v>
      </c>
      <c r="AA510" s="145">
        <f t="shared" ca="1" si="450"/>
        <v>0</v>
      </c>
      <c r="AB510" s="145">
        <f t="shared" ca="1" si="450"/>
        <v>0</v>
      </c>
      <c r="AC510" s="145">
        <f t="shared" ca="1" si="450"/>
        <v>0</v>
      </c>
      <c r="AD510" s="145"/>
      <c r="AE510" s="145"/>
    </row>
    <row r="511" spans="1:31">
      <c r="A511" s="70"/>
      <c r="B511"/>
      <c r="C511"/>
      <c r="D511" s="71" t="s">
        <v>844</v>
      </c>
      <c r="E511" s="344">
        <v>0</v>
      </c>
      <c r="F511"/>
      <c r="G511" s="71" t="s">
        <v>836</v>
      </c>
      <c r="H511"/>
      <c r="I511" s="145">
        <f t="shared" ref="I511:R511" si="451">-$E$511*I942</f>
        <v>0</v>
      </c>
      <c r="J511" s="145">
        <f t="shared" si="451"/>
        <v>0</v>
      </c>
      <c r="K511" s="145">
        <f t="shared" si="451"/>
        <v>0</v>
      </c>
      <c r="L511" s="145">
        <f t="shared" si="451"/>
        <v>0</v>
      </c>
      <c r="M511" s="145">
        <f t="shared" si="451"/>
        <v>0</v>
      </c>
      <c r="N511" s="145">
        <f t="shared" si="451"/>
        <v>0</v>
      </c>
      <c r="O511" s="145">
        <f t="shared" si="451"/>
        <v>0</v>
      </c>
      <c r="P511" s="145">
        <f t="shared" si="451"/>
        <v>0</v>
      </c>
      <c r="Q511" s="145">
        <f t="shared" si="451"/>
        <v>0</v>
      </c>
      <c r="R511" s="145">
        <f t="shared" si="451"/>
        <v>0</v>
      </c>
      <c r="S511" s="145">
        <f t="shared" ref="S511:AC511" si="452">-$E$511*S942</f>
        <v>0</v>
      </c>
      <c r="T511" s="145">
        <f t="shared" si="452"/>
        <v>0</v>
      </c>
      <c r="U511" s="145">
        <f t="shared" si="452"/>
        <v>0</v>
      </c>
      <c r="V511" s="145">
        <f t="shared" si="452"/>
        <v>0</v>
      </c>
      <c r="W511" s="145">
        <f t="shared" si="452"/>
        <v>0</v>
      </c>
      <c r="X511" s="145">
        <f t="shared" si="452"/>
        <v>0</v>
      </c>
      <c r="Y511" s="145">
        <f t="shared" si="452"/>
        <v>0</v>
      </c>
      <c r="Z511" s="145">
        <f t="shared" si="452"/>
        <v>0</v>
      </c>
      <c r="AA511" s="145">
        <f t="shared" si="452"/>
        <v>0</v>
      </c>
      <c r="AB511" s="145">
        <f t="shared" si="452"/>
        <v>0</v>
      </c>
      <c r="AC511" s="145">
        <f t="shared" si="452"/>
        <v>0</v>
      </c>
    </row>
    <row r="512" spans="1:31">
      <c r="A512" s="70"/>
      <c r="B512" s="74"/>
      <c r="D512" s="227" t="s">
        <v>845</v>
      </c>
      <c r="G512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spans="1:29">
      <c r="A513" s="70"/>
      <c r="B513" s="74"/>
      <c r="I513" s="223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spans="1:29">
      <c r="A514" s="70" t="str">
        <f>B343</f>
        <v>Sr Sub Notes</v>
      </c>
      <c r="B514"/>
      <c r="D514" s="89"/>
      <c r="E514" s="89"/>
      <c r="F514" s="89"/>
      <c r="G514" s="71" t="s">
        <v>708</v>
      </c>
      <c r="I514" s="553">
        <v>0</v>
      </c>
      <c r="J514" s="553">
        <f>I514</f>
        <v>0</v>
      </c>
      <c r="K514" s="553">
        <f>J514</f>
        <v>0</v>
      </c>
      <c r="L514" s="553">
        <v>0</v>
      </c>
      <c r="M514" s="553">
        <v>0</v>
      </c>
      <c r="N514" s="553">
        <v>0</v>
      </c>
      <c r="O514" s="553">
        <v>0</v>
      </c>
      <c r="P514" s="553">
        <v>0</v>
      </c>
      <c r="Q514" s="553">
        <v>0</v>
      </c>
      <c r="R514" s="553">
        <v>0</v>
      </c>
      <c r="S514" s="553">
        <v>0</v>
      </c>
      <c r="T514" s="553">
        <v>0</v>
      </c>
      <c r="U514" s="553">
        <v>0</v>
      </c>
      <c r="V514" s="553">
        <v>0</v>
      </c>
      <c r="W514" s="553">
        <v>0</v>
      </c>
      <c r="X514" s="553">
        <v>0</v>
      </c>
      <c r="Y514" s="553">
        <v>0</v>
      </c>
      <c r="Z514" s="553">
        <v>0</v>
      </c>
      <c r="AA514" s="553">
        <v>0</v>
      </c>
      <c r="AB514" s="553">
        <v>0</v>
      </c>
      <c r="AC514" s="553">
        <v>0</v>
      </c>
    </row>
    <row r="515" spans="1:29">
      <c r="A515" s="70"/>
      <c r="B515"/>
      <c r="G515" s="20" t="s">
        <v>711</v>
      </c>
      <c r="I515" s="554">
        <v>0</v>
      </c>
      <c r="J515" s="554">
        <v>0</v>
      </c>
      <c r="K515" s="554">
        <v>0</v>
      </c>
      <c r="L515" s="554">
        <v>0</v>
      </c>
      <c r="M515" s="554">
        <v>0</v>
      </c>
      <c r="N515" s="554">
        <v>0</v>
      </c>
      <c r="O515" s="554">
        <v>0</v>
      </c>
      <c r="P515" s="554">
        <v>0</v>
      </c>
      <c r="Q515" s="554">
        <v>0</v>
      </c>
      <c r="R515" s="554">
        <v>0</v>
      </c>
      <c r="S515" s="554">
        <v>0</v>
      </c>
      <c r="T515" s="554">
        <v>0</v>
      </c>
      <c r="U515" s="554">
        <v>0</v>
      </c>
      <c r="V515" s="554">
        <v>0</v>
      </c>
      <c r="W515" s="554">
        <v>0</v>
      </c>
      <c r="X515" s="554">
        <v>0</v>
      </c>
      <c r="Y515" s="554">
        <v>0</v>
      </c>
      <c r="Z515" s="554">
        <v>0</v>
      </c>
      <c r="AA515" s="554">
        <v>0</v>
      </c>
      <c r="AB515" s="554">
        <v>0</v>
      </c>
      <c r="AC515" s="554">
        <v>0</v>
      </c>
    </row>
    <row r="516" spans="1:29">
      <c r="A516" s="70"/>
      <c r="B516"/>
      <c r="D516" s="144"/>
      <c r="E516" s="144"/>
      <c r="F516" s="144"/>
      <c r="G516" s="71" t="s">
        <v>846</v>
      </c>
      <c r="I516" s="570" t="s">
        <v>847</v>
      </c>
      <c r="J516" s="570" t="s">
        <v>847</v>
      </c>
      <c r="K516" s="570" t="s">
        <v>847</v>
      </c>
      <c r="L516" s="570" t="s">
        <v>847</v>
      </c>
      <c r="M516" s="570" t="s">
        <v>847</v>
      </c>
      <c r="N516" s="570" t="s">
        <v>847</v>
      </c>
      <c r="O516" s="570" t="s">
        <v>847</v>
      </c>
      <c r="P516" s="570" t="s">
        <v>847</v>
      </c>
      <c r="Q516" s="570" t="s">
        <v>847</v>
      </c>
      <c r="R516" s="570" t="s">
        <v>847</v>
      </c>
      <c r="S516" s="570" t="s">
        <v>847</v>
      </c>
      <c r="T516" s="570" t="s">
        <v>847</v>
      </c>
      <c r="U516" s="570" t="s">
        <v>847</v>
      </c>
      <c r="V516" s="570" t="s">
        <v>847</v>
      </c>
      <c r="W516" s="570" t="s">
        <v>847</v>
      </c>
      <c r="X516" s="570" t="s">
        <v>847</v>
      </c>
      <c r="Y516" s="570" t="s">
        <v>847</v>
      </c>
      <c r="Z516" s="570" t="s">
        <v>847</v>
      </c>
      <c r="AA516" s="570" t="s">
        <v>847</v>
      </c>
      <c r="AB516" s="570" t="s">
        <v>847</v>
      </c>
      <c r="AC516" s="570" t="s">
        <v>847</v>
      </c>
    </row>
    <row r="517" spans="1:29">
      <c r="A517" s="70"/>
      <c r="B517"/>
      <c r="G517" s="71" t="s">
        <v>848</v>
      </c>
      <c r="I517" s="570" t="s">
        <v>825</v>
      </c>
    </row>
    <row r="518" spans="1:29">
      <c r="A518" s="70"/>
      <c r="B518"/>
      <c r="D518" s="143"/>
      <c r="E518" s="143"/>
      <c r="F518" s="143"/>
      <c r="G518" s="71" t="s">
        <v>849</v>
      </c>
      <c r="H518" s="22"/>
      <c r="I518" s="568">
        <f t="shared" ref="I518:AC518" si="453">I568</f>
        <v>0</v>
      </c>
      <c r="J518" s="568">
        <f t="shared" si="453"/>
        <v>0</v>
      </c>
      <c r="K518" s="568">
        <f t="shared" si="453"/>
        <v>0</v>
      </c>
      <c r="L518" s="568">
        <f t="shared" si="453"/>
        <v>0</v>
      </c>
      <c r="M518" s="568">
        <f t="shared" si="453"/>
        <v>0</v>
      </c>
      <c r="N518" s="568">
        <f t="shared" si="453"/>
        <v>0</v>
      </c>
      <c r="O518" s="568">
        <f t="shared" si="453"/>
        <v>0</v>
      </c>
      <c r="P518" s="568">
        <f t="shared" si="453"/>
        <v>0</v>
      </c>
      <c r="Q518" s="568">
        <f t="shared" si="453"/>
        <v>0</v>
      </c>
      <c r="R518" s="568">
        <f t="shared" si="453"/>
        <v>0</v>
      </c>
      <c r="S518" s="568">
        <f t="shared" si="453"/>
        <v>0</v>
      </c>
      <c r="T518" s="568">
        <f t="shared" si="453"/>
        <v>0</v>
      </c>
      <c r="U518" s="568">
        <f t="shared" si="453"/>
        <v>0</v>
      </c>
      <c r="V518" s="568">
        <f t="shared" si="453"/>
        <v>0</v>
      </c>
      <c r="W518" s="568">
        <f t="shared" si="453"/>
        <v>0</v>
      </c>
      <c r="X518" s="568">
        <f t="shared" si="453"/>
        <v>0</v>
      </c>
      <c r="Y518" s="568">
        <f t="shared" si="453"/>
        <v>0</v>
      </c>
      <c r="Z518" s="568">
        <f t="shared" si="453"/>
        <v>0</v>
      </c>
      <c r="AA518" s="568">
        <f t="shared" si="453"/>
        <v>0</v>
      </c>
      <c r="AB518" s="568">
        <f t="shared" si="453"/>
        <v>0</v>
      </c>
      <c r="AC518" s="568">
        <f t="shared" si="453"/>
        <v>0</v>
      </c>
    </row>
    <row r="519" spans="1:29">
      <c r="A519" s="70"/>
      <c r="B519"/>
      <c r="G519" s="71" t="s">
        <v>850</v>
      </c>
      <c r="H519" s="90"/>
      <c r="I519" s="90">
        <f ca="1">IF(I516="YES",((1+I518/2)^2-1)*I276*-1,0)*C328</f>
        <v>0</v>
      </c>
      <c r="J519" s="90">
        <f t="shared" ref="J519:S519" si="454">IF(J516="YES",((1+J518/2)^2-1)*J276*-1,0)</f>
        <v>0</v>
      </c>
      <c r="K519" s="90">
        <f t="shared" si="454"/>
        <v>0</v>
      </c>
      <c r="L519" s="90">
        <f t="shared" si="454"/>
        <v>0</v>
      </c>
      <c r="M519" s="90">
        <f t="shared" si="454"/>
        <v>0</v>
      </c>
      <c r="N519" s="90">
        <f t="shared" si="454"/>
        <v>0</v>
      </c>
      <c r="O519" s="90">
        <f t="shared" si="454"/>
        <v>0</v>
      </c>
      <c r="P519" s="90">
        <f t="shared" si="454"/>
        <v>0</v>
      </c>
      <c r="Q519" s="90">
        <f t="shared" si="454"/>
        <v>0</v>
      </c>
      <c r="R519" s="90">
        <f t="shared" si="454"/>
        <v>0</v>
      </c>
      <c r="S519" s="90">
        <f t="shared" si="454"/>
        <v>0</v>
      </c>
      <c r="T519" s="90">
        <f t="shared" ref="T519:AC519" si="455">IF(T516="YES",((1+T518/2)^2-1)*T276*-1,0)</f>
        <v>0</v>
      </c>
      <c r="U519" s="90">
        <f t="shared" si="455"/>
        <v>0</v>
      </c>
      <c r="V519" s="90">
        <f t="shared" si="455"/>
        <v>0</v>
      </c>
      <c r="W519" s="90">
        <f t="shared" si="455"/>
        <v>0</v>
      </c>
      <c r="X519" s="90">
        <f t="shared" si="455"/>
        <v>0</v>
      </c>
      <c r="Y519" s="90">
        <f t="shared" si="455"/>
        <v>0</v>
      </c>
      <c r="Z519" s="90">
        <f t="shared" si="455"/>
        <v>0</v>
      </c>
      <c r="AA519" s="90">
        <f t="shared" si="455"/>
        <v>0</v>
      </c>
      <c r="AB519" s="90">
        <f t="shared" si="455"/>
        <v>0</v>
      </c>
      <c r="AC519" s="90">
        <f t="shared" si="455"/>
        <v>0</v>
      </c>
    </row>
    <row r="520" spans="1:29">
      <c r="A520" s="70"/>
      <c r="B520"/>
      <c r="G520" s="71" t="s">
        <v>832</v>
      </c>
      <c r="H520" s="90"/>
      <c r="I520" s="568">
        <v>0.75</v>
      </c>
      <c r="J520" s="568">
        <f t="shared" ref="J520:AC520" si="456">I520</f>
        <v>0.75</v>
      </c>
      <c r="K520" s="568">
        <f t="shared" si="456"/>
        <v>0.75</v>
      </c>
      <c r="L520" s="568">
        <f t="shared" si="456"/>
        <v>0.75</v>
      </c>
      <c r="M520" s="568">
        <f t="shared" si="456"/>
        <v>0.75</v>
      </c>
      <c r="N520" s="568">
        <f t="shared" si="456"/>
        <v>0.75</v>
      </c>
      <c r="O520" s="568">
        <f t="shared" si="456"/>
        <v>0.75</v>
      </c>
      <c r="P520" s="568">
        <f t="shared" si="456"/>
        <v>0.75</v>
      </c>
      <c r="Q520" s="568">
        <f t="shared" si="456"/>
        <v>0.75</v>
      </c>
      <c r="R520" s="568">
        <f t="shared" si="456"/>
        <v>0.75</v>
      </c>
      <c r="S520" s="568">
        <f t="shared" si="456"/>
        <v>0.75</v>
      </c>
      <c r="T520" s="568">
        <f t="shared" si="456"/>
        <v>0.75</v>
      </c>
      <c r="U520" s="568">
        <f t="shared" si="456"/>
        <v>0.75</v>
      </c>
      <c r="V520" s="568">
        <f t="shared" si="456"/>
        <v>0.75</v>
      </c>
      <c r="W520" s="568">
        <f t="shared" si="456"/>
        <v>0.75</v>
      </c>
      <c r="X520" s="568">
        <f t="shared" si="456"/>
        <v>0.75</v>
      </c>
      <c r="Y520" s="568">
        <f t="shared" si="456"/>
        <v>0.75</v>
      </c>
      <c r="Z520" s="568">
        <f t="shared" si="456"/>
        <v>0.75</v>
      </c>
      <c r="AA520" s="568">
        <f t="shared" si="456"/>
        <v>0.75</v>
      </c>
      <c r="AB520" s="568">
        <f t="shared" si="456"/>
        <v>0.75</v>
      </c>
      <c r="AC520" s="568">
        <f t="shared" si="456"/>
        <v>0.75</v>
      </c>
    </row>
    <row r="521" spans="1:29">
      <c r="A521" s="70"/>
      <c r="H521" s="22"/>
    </row>
    <row r="522" spans="1:29">
      <c r="A522" s="70" t="str">
        <f>B344</f>
        <v>Jr. Sub Notes</v>
      </c>
      <c r="B522"/>
      <c r="G522" s="71" t="s">
        <v>708</v>
      </c>
      <c r="H522" s="22"/>
      <c r="I522" s="553">
        <v>0</v>
      </c>
      <c r="J522" s="553">
        <f>I522</f>
        <v>0</v>
      </c>
      <c r="K522" s="553">
        <f>J522</f>
        <v>0</v>
      </c>
      <c r="L522" s="553">
        <v>0</v>
      </c>
      <c r="M522" s="553">
        <v>0</v>
      </c>
      <c r="N522" s="553">
        <v>0</v>
      </c>
      <c r="O522" s="553">
        <v>0</v>
      </c>
      <c r="P522" s="553">
        <v>0</v>
      </c>
      <c r="Q522" s="553">
        <v>0</v>
      </c>
      <c r="R522" s="553">
        <v>0</v>
      </c>
      <c r="S522" s="553">
        <v>0</v>
      </c>
      <c r="T522" s="553">
        <v>0</v>
      </c>
      <c r="U522" s="553">
        <v>0</v>
      </c>
      <c r="V522" s="553">
        <v>0</v>
      </c>
      <c r="W522" s="553">
        <v>0</v>
      </c>
      <c r="X522" s="553">
        <v>0</v>
      </c>
      <c r="Y522" s="553">
        <v>0</v>
      </c>
      <c r="Z522" s="553">
        <v>0</v>
      </c>
      <c r="AA522" s="553">
        <v>0</v>
      </c>
      <c r="AB522" s="553">
        <v>0</v>
      </c>
      <c r="AC522" s="553">
        <v>0</v>
      </c>
    </row>
    <row r="523" spans="1:29">
      <c r="A523" s="70"/>
      <c r="B523"/>
      <c r="G523" s="20" t="s">
        <v>711</v>
      </c>
      <c r="H523" s="22"/>
      <c r="I523" s="554">
        <v>0</v>
      </c>
      <c r="J523" s="554">
        <v>0</v>
      </c>
      <c r="K523" s="554">
        <v>0</v>
      </c>
      <c r="L523" s="554">
        <v>0</v>
      </c>
      <c r="M523" s="554">
        <v>0</v>
      </c>
      <c r="N523" s="554">
        <v>0</v>
      </c>
      <c r="O523" s="554">
        <v>0</v>
      </c>
      <c r="P523" s="554">
        <v>0</v>
      </c>
      <c r="Q523" s="554">
        <v>0</v>
      </c>
      <c r="R523" s="554">
        <v>0</v>
      </c>
      <c r="S523" s="554">
        <v>0</v>
      </c>
      <c r="T523" s="554">
        <v>0</v>
      </c>
      <c r="U523" s="554">
        <v>0</v>
      </c>
      <c r="V523" s="554">
        <v>0</v>
      </c>
      <c r="W523" s="554">
        <v>0</v>
      </c>
      <c r="X523" s="554">
        <v>0</v>
      </c>
      <c r="Y523" s="554">
        <v>0</v>
      </c>
      <c r="Z523" s="554">
        <v>0</v>
      </c>
      <c r="AA523" s="554">
        <v>0</v>
      </c>
      <c r="AB523" s="554">
        <v>0</v>
      </c>
      <c r="AC523" s="554">
        <v>0</v>
      </c>
    </row>
    <row r="524" spans="1:29">
      <c r="A524" s="70"/>
      <c r="B524"/>
      <c r="G524" s="71" t="s">
        <v>846</v>
      </c>
      <c r="I524" s="570" t="s">
        <v>847</v>
      </c>
      <c r="J524" s="570" t="s">
        <v>847</v>
      </c>
      <c r="K524" s="570" t="s">
        <v>847</v>
      </c>
      <c r="L524" s="570" t="s">
        <v>847</v>
      </c>
      <c r="M524" s="570" t="s">
        <v>847</v>
      </c>
      <c r="N524" s="570" t="s">
        <v>847</v>
      </c>
      <c r="O524" s="570" t="s">
        <v>847</v>
      </c>
      <c r="P524" s="570" t="s">
        <v>847</v>
      </c>
      <c r="Q524" s="570" t="s">
        <v>847</v>
      </c>
      <c r="R524" s="570" t="s">
        <v>847</v>
      </c>
      <c r="S524" s="570" t="s">
        <v>847</v>
      </c>
      <c r="T524" s="570" t="s">
        <v>847</v>
      </c>
      <c r="U524" s="570" t="s">
        <v>847</v>
      </c>
      <c r="V524" s="570" t="s">
        <v>847</v>
      </c>
      <c r="W524" s="570" t="s">
        <v>847</v>
      </c>
      <c r="X524" s="570" t="s">
        <v>847</v>
      </c>
      <c r="Y524" s="570" t="s">
        <v>847</v>
      </c>
      <c r="Z524" s="570" t="s">
        <v>847</v>
      </c>
      <c r="AA524" s="570" t="s">
        <v>847</v>
      </c>
      <c r="AB524" s="570" t="s">
        <v>847</v>
      </c>
      <c r="AC524" s="570" t="s">
        <v>847</v>
      </c>
    </row>
    <row r="525" spans="1:29">
      <c r="A525" s="70"/>
      <c r="B525"/>
      <c r="G525" s="71" t="s">
        <v>848</v>
      </c>
      <c r="I525" s="570" t="s">
        <v>825</v>
      </c>
    </row>
    <row r="526" spans="1:29">
      <c r="A526" s="70"/>
      <c r="B526"/>
      <c r="G526" s="71" t="s">
        <v>849</v>
      </c>
      <c r="H526" s="22"/>
      <c r="I526" s="568">
        <f t="shared" ref="I526:AC526" si="457">I569</f>
        <v>0</v>
      </c>
      <c r="J526" s="568">
        <f t="shared" si="457"/>
        <v>0</v>
      </c>
      <c r="K526" s="568">
        <f t="shared" si="457"/>
        <v>0</v>
      </c>
      <c r="L526" s="568">
        <f t="shared" si="457"/>
        <v>0</v>
      </c>
      <c r="M526" s="568">
        <f t="shared" si="457"/>
        <v>0</v>
      </c>
      <c r="N526" s="568">
        <f t="shared" si="457"/>
        <v>0</v>
      </c>
      <c r="O526" s="568">
        <f t="shared" si="457"/>
        <v>0</v>
      </c>
      <c r="P526" s="568">
        <f t="shared" si="457"/>
        <v>0</v>
      </c>
      <c r="Q526" s="568">
        <f t="shared" si="457"/>
        <v>0</v>
      </c>
      <c r="R526" s="568">
        <f t="shared" si="457"/>
        <v>0</v>
      </c>
      <c r="S526" s="568">
        <f t="shared" si="457"/>
        <v>0</v>
      </c>
      <c r="T526" s="568">
        <f t="shared" si="457"/>
        <v>0</v>
      </c>
      <c r="U526" s="568">
        <f t="shared" si="457"/>
        <v>0</v>
      </c>
      <c r="V526" s="568">
        <f t="shared" si="457"/>
        <v>0</v>
      </c>
      <c r="W526" s="568">
        <f t="shared" si="457"/>
        <v>0</v>
      </c>
      <c r="X526" s="568">
        <f t="shared" si="457"/>
        <v>0</v>
      </c>
      <c r="Y526" s="568">
        <f t="shared" si="457"/>
        <v>0</v>
      </c>
      <c r="Z526" s="568">
        <f t="shared" si="457"/>
        <v>0</v>
      </c>
      <c r="AA526" s="568">
        <f t="shared" si="457"/>
        <v>0</v>
      </c>
      <c r="AB526" s="568">
        <f t="shared" si="457"/>
        <v>0</v>
      </c>
      <c r="AC526" s="568">
        <f t="shared" si="457"/>
        <v>0</v>
      </c>
    </row>
    <row r="527" spans="1:29">
      <c r="A527" s="70"/>
      <c r="B527"/>
      <c r="G527" s="71" t="s">
        <v>850</v>
      </c>
      <c r="H527" s="90"/>
      <c r="I527" s="90">
        <f ca="1">IF(I524="YES",((1+I526/2)^2-1)*I283*-1,0)*C328</f>
        <v>0</v>
      </c>
      <c r="J527" s="90">
        <f t="shared" ref="J527:S527" ca="1" si="458">IF(J524="YES",((1+J526/2)^2-1)*J283*-1,0)</f>
        <v>0</v>
      </c>
      <c r="K527" s="90">
        <f t="shared" ca="1" si="458"/>
        <v>0</v>
      </c>
      <c r="L527" s="90">
        <f t="shared" ca="1" si="458"/>
        <v>0</v>
      </c>
      <c r="M527" s="90">
        <f t="shared" ca="1" si="458"/>
        <v>0</v>
      </c>
      <c r="N527" s="90">
        <f t="shared" ca="1" si="458"/>
        <v>0</v>
      </c>
      <c r="O527" s="90">
        <f t="shared" ca="1" si="458"/>
        <v>0</v>
      </c>
      <c r="P527" s="90">
        <f t="shared" ca="1" si="458"/>
        <v>0</v>
      </c>
      <c r="Q527" s="90">
        <f t="shared" ca="1" si="458"/>
        <v>0</v>
      </c>
      <c r="R527" s="90">
        <f t="shared" ca="1" si="458"/>
        <v>0</v>
      </c>
      <c r="S527" s="90">
        <f t="shared" ca="1" si="458"/>
        <v>0</v>
      </c>
      <c r="T527" s="90">
        <f t="shared" ref="T527:AC527" ca="1" si="459">IF(T524="YES",((1+T526/2)^2-1)*T283*-1,0)</f>
        <v>0</v>
      </c>
      <c r="U527" s="90">
        <f t="shared" ca="1" si="459"/>
        <v>0</v>
      </c>
      <c r="V527" s="90">
        <f t="shared" ca="1" si="459"/>
        <v>0</v>
      </c>
      <c r="W527" s="90">
        <f t="shared" ca="1" si="459"/>
        <v>0</v>
      </c>
      <c r="X527" s="90">
        <f t="shared" ca="1" si="459"/>
        <v>0</v>
      </c>
      <c r="Y527" s="90">
        <f t="shared" ca="1" si="459"/>
        <v>0</v>
      </c>
      <c r="Z527" s="90">
        <f t="shared" ca="1" si="459"/>
        <v>0</v>
      </c>
      <c r="AA527" s="90">
        <f t="shared" ca="1" si="459"/>
        <v>0</v>
      </c>
      <c r="AB527" s="90">
        <f t="shared" ca="1" si="459"/>
        <v>0</v>
      </c>
      <c r="AC527" s="90">
        <f t="shared" ca="1" si="459"/>
        <v>0</v>
      </c>
    </row>
    <row r="528" spans="1:29">
      <c r="A528" s="70"/>
      <c r="H528" s="22"/>
    </row>
    <row r="529" spans="1:33">
      <c r="A529" s="70" t="str">
        <f>B345</f>
        <v>Preferred Stock</v>
      </c>
      <c r="B529"/>
      <c r="G529" s="71" t="s">
        <v>851</v>
      </c>
      <c r="H529" s="22"/>
      <c r="I529" s="554">
        <v>0</v>
      </c>
      <c r="J529" s="554">
        <v>0</v>
      </c>
      <c r="K529" s="554">
        <v>0</v>
      </c>
      <c r="L529" s="554">
        <v>0</v>
      </c>
      <c r="M529" s="554">
        <v>0</v>
      </c>
      <c r="N529" s="554">
        <v>0</v>
      </c>
      <c r="O529" s="554">
        <v>0</v>
      </c>
      <c r="P529" s="554">
        <v>0</v>
      </c>
      <c r="Q529" s="554">
        <v>0</v>
      </c>
      <c r="R529" s="554">
        <v>0</v>
      </c>
      <c r="S529" s="554">
        <v>0</v>
      </c>
      <c r="T529" s="554">
        <v>0</v>
      </c>
      <c r="U529" s="554">
        <v>0</v>
      </c>
      <c r="V529" s="554">
        <v>0</v>
      </c>
      <c r="W529" s="554">
        <v>0</v>
      </c>
      <c r="X529" s="554">
        <v>0</v>
      </c>
      <c r="Y529" s="554">
        <v>0</v>
      </c>
      <c r="Z529" s="554">
        <v>0</v>
      </c>
      <c r="AA529" s="554">
        <v>0</v>
      </c>
      <c r="AB529" s="554">
        <v>0</v>
      </c>
      <c r="AC529" s="554">
        <v>0</v>
      </c>
    </row>
    <row r="530" spans="1:33">
      <c r="A530" s="70"/>
      <c r="B530"/>
      <c r="G530" s="71" t="s">
        <v>852</v>
      </c>
      <c r="H530" s="22"/>
      <c r="I530" s="554">
        <v>0</v>
      </c>
      <c r="J530" s="554">
        <v>0</v>
      </c>
      <c r="K530" s="554">
        <v>0</v>
      </c>
      <c r="L530" s="554">
        <v>0</v>
      </c>
      <c r="M530" s="554">
        <v>0</v>
      </c>
      <c r="N530" s="554">
        <v>0</v>
      </c>
      <c r="O530" s="554">
        <v>0</v>
      </c>
      <c r="P530" s="554">
        <v>0</v>
      </c>
      <c r="Q530" s="554">
        <v>0</v>
      </c>
      <c r="R530" s="554">
        <v>0</v>
      </c>
      <c r="S530" s="554">
        <v>0</v>
      </c>
      <c r="T530" s="554">
        <v>0</v>
      </c>
      <c r="U530" s="554">
        <v>0</v>
      </c>
      <c r="V530" s="554">
        <v>0</v>
      </c>
      <c r="W530" s="554">
        <v>0</v>
      </c>
      <c r="X530" s="554">
        <v>0</v>
      </c>
      <c r="Y530" s="554">
        <v>0</v>
      </c>
      <c r="Z530" s="554">
        <v>0</v>
      </c>
      <c r="AA530" s="554">
        <v>0</v>
      </c>
      <c r="AB530" s="554">
        <v>0</v>
      </c>
      <c r="AC530" s="554">
        <v>0</v>
      </c>
    </row>
    <row r="531" spans="1:33">
      <c r="A531" s="70"/>
      <c r="B531"/>
      <c r="D531" s="22"/>
      <c r="E531" s="22"/>
      <c r="F531" s="22"/>
      <c r="G531" s="71" t="s">
        <v>853</v>
      </c>
      <c r="H531" s="144"/>
      <c r="I531" s="680" t="s">
        <v>847</v>
      </c>
      <c r="J531" s="680" t="s">
        <v>847</v>
      </c>
      <c r="K531" s="680" t="s">
        <v>847</v>
      </c>
      <c r="L531" s="680" t="s">
        <v>847</v>
      </c>
      <c r="M531" s="680" t="s">
        <v>847</v>
      </c>
      <c r="N531" s="680" t="s">
        <v>847</v>
      </c>
      <c r="O531" s="680" t="s">
        <v>847</v>
      </c>
      <c r="P531" s="680" t="s">
        <v>847</v>
      </c>
      <c r="Q531" s="680" t="s">
        <v>847</v>
      </c>
      <c r="R531" s="680" t="s">
        <v>847</v>
      </c>
      <c r="S531" s="680" t="s">
        <v>847</v>
      </c>
      <c r="T531" s="680" t="s">
        <v>847</v>
      </c>
      <c r="U531" s="680" t="s">
        <v>847</v>
      </c>
      <c r="V531" s="680" t="s">
        <v>847</v>
      </c>
      <c r="W531" s="680" t="s">
        <v>847</v>
      </c>
      <c r="X531" s="680" t="s">
        <v>847</v>
      </c>
      <c r="Y531" s="680" t="s">
        <v>847</v>
      </c>
      <c r="Z531" s="680" t="s">
        <v>847</v>
      </c>
      <c r="AA531" s="680" t="s">
        <v>847</v>
      </c>
      <c r="AB531" s="680" t="s">
        <v>847</v>
      </c>
      <c r="AC531" s="680" t="s">
        <v>847</v>
      </c>
    </row>
    <row r="532" spans="1:33">
      <c r="A532" s="70"/>
      <c r="B532"/>
      <c r="G532" s="71" t="s">
        <v>854</v>
      </c>
      <c r="H532" s="22"/>
      <c r="I532" s="568">
        <f t="shared" ref="I532:AC532" si="460">I570</f>
        <v>0.06</v>
      </c>
      <c r="J532" s="568">
        <f t="shared" si="460"/>
        <v>0.06</v>
      </c>
      <c r="K532" s="568">
        <f t="shared" si="460"/>
        <v>0.06</v>
      </c>
      <c r="L532" s="568">
        <f t="shared" si="460"/>
        <v>0.06</v>
      </c>
      <c r="M532" s="568">
        <f t="shared" si="460"/>
        <v>0.06</v>
      </c>
      <c r="N532" s="568">
        <f t="shared" si="460"/>
        <v>0.06</v>
      </c>
      <c r="O532" s="568">
        <f t="shared" si="460"/>
        <v>0.06</v>
      </c>
      <c r="P532" s="568">
        <f t="shared" si="460"/>
        <v>0.06</v>
      </c>
      <c r="Q532" s="568">
        <f t="shared" si="460"/>
        <v>0.06</v>
      </c>
      <c r="R532" s="568">
        <f t="shared" si="460"/>
        <v>0.06</v>
      </c>
      <c r="S532" s="568">
        <f t="shared" si="460"/>
        <v>0.06</v>
      </c>
      <c r="T532" s="568">
        <f t="shared" si="460"/>
        <v>0.06</v>
      </c>
      <c r="U532" s="568">
        <f t="shared" si="460"/>
        <v>0.06</v>
      </c>
      <c r="V532" s="568">
        <f t="shared" si="460"/>
        <v>0.06</v>
      </c>
      <c r="W532" s="568">
        <f t="shared" si="460"/>
        <v>0.06</v>
      </c>
      <c r="X532" s="568">
        <f t="shared" si="460"/>
        <v>0.06</v>
      </c>
      <c r="Y532" s="568">
        <f t="shared" si="460"/>
        <v>0.06</v>
      </c>
      <c r="Z532" s="568">
        <f t="shared" si="460"/>
        <v>0.06</v>
      </c>
      <c r="AA532" s="568">
        <f t="shared" si="460"/>
        <v>0.06</v>
      </c>
      <c r="AB532" s="568">
        <f t="shared" si="460"/>
        <v>0.06</v>
      </c>
      <c r="AC532" s="568">
        <f t="shared" si="460"/>
        <v>0.06</v>
      </c>
    </row>
    <row r="533" spans="1:33">
      <c r="A533" s="70"/>
      <c r="B533"/>
      <c r="G533" s="71" t="s">
        <v>855</v>
      </c>
      <c r="H533" s="90"/>
      <c r="I533" s="90">
        <f ca="1">IF(I531="YES",((1+I532/4)^4-1)*I289,0)*C328</f>
        <v>0</v>
      </c>
      <c r="J533" s="90">
        <f t="shared" ref="J533:S533" ca="1" si="461">IF(J531="YES",((1+J532/4)^4-1)*J289,0)</f>
        <v>0</v>
      </c>
      <c r="K533" s="90">
        <f t="shared" ca="1" si="461"/>
        <v>0</v>
      </c>
      <c r="L533" s="90">
        <f t="shared" ca="1" si="461"/>
        <v>0</v>
      </c>
      <c r="M533" s="90">
        <f t="shared" ca="1" si="461"/>
        <v>0</v>
      </c>
      <c r="N533" s="90">
        <f t="shared" ca="1" si="461"/>
        <v>0</v>
      </c>
      <c r="O533" s="90">
        <f t="shared" ca="1" si="461"/>
        <v>0</v>
      </c>
      <c r="P533" s="90">
        <f t="shared" ca="1" si="461"/>
        <v>0</v>
      </c>
      <c r="Q533" s="90">
        <f t="shared" ca="1" si="461"/>
        <v>0</v>
      </c>
      <c r="R533" s="90">
        <f t="shared" ca="1" si="461"/>
        <v>0</v>
      </c>
      <c r="S533" s="90">
        <f t="shared" ca="1" si="461"/>
        <v>0</v>
      </c>
      <c r="T533" s="90">
        <f t="shared" ref="T533:AC533" ca="1" si="462">IF(T531="YES",((1+T532/4)^4-1)*T289,0)</f>
        <v>0</v>
      </c>
      <c r="U533" s="90">
        <f t="shared" ca="1" si="462"/>
        <v>0</v>
      </c>
      <c r="V533" s="90">
        <f t="shared" ca="1" si="462"/>
        <v>0</v>
      </c>
      <c r="W533" s="90">
        <f t="shared" ca="1" si="462"/>
        <v>0</v>
      </c>
      <c r="X533" s="90">
        <f t="shared" ca="1" si="462"/>
        <v>0</v>
      </c>
      <c r="Y533" s="90">
        <f t="shared" ca="1" si="462"/>
        <v>0</v>
      </c>
      <c r="Z533" s="90">
        <f t="shared" ca="1" si="462"/>
        <v>0</v>
      </c>
      <c r="AA533" s="90">
        <f t="shared" ca="1" si="462"/>
        <v>0</v>
      </c>
      <c r="AB533" s="90">
        <f t="shared" ca="1" si="462"/>
        <v>0</v>
      </c>
      <c r="AC533" s="90">
        <f t="shared" ca="1" si="462"/>
        <v>0</v>
      </c>
    </row>
    <row r="534" spans="1:33">
      <c r="A534" s="70"/>
      <c r="B534"/>
      <c r="G534" s="71"/>
    </row>
    <row r="535" spans="1:33">
      <c r="A535" s="70" t="str">
        <f>B346</f>
        <v>Common Stock</v>
      </c>
      <c r="B535"/>
      <c r="G535" s="71" t="s">
        <v>856</v>
      </c>
      <c r="I535" s="554">
        <v>0</v>
      </c>
      <c r="J535" s="554">
        <v>0</v>
      </c>
      <c r="K535" s="554">
        <v>0</v>
      </c>
      <c r="L535" s="554">
        <v>0</v>
      </c>
      <c r="M535" s="554">
        <v>0</v>
      </c>
      <c r="N535" s="554">
        <v>0</v>
      </c>
      <c r="O535" s="554">
        <v>0</v>
      </c>
      <c r="P535" s="554">
        <v>0</v>
      </c>
      <c r="Q535" s="554">
        <v>0</v>
      </c>
      <c r="R535" s="554">
        <v>0</v>
      </c>
      <c r="S535" s="554">
        <v>0</v>
      </c>
      <c r="T535" s="554">
        <v>0</v>
      </c>
      <c r="U535" s="554">
        <v>0</v>
      </c>
      <c r="V535" s="554">
        <v>0</v>
      </c>
      <c r="W535" s="554">
        <v>0</v>
      </c>
      <c r="X535" s="554">
        <v>0</v>
      </c>
      <c r="Y535" s="554">
        <v>0</v>
      </c>
      <c r="Z535" s="554">
        <v>0</v>
      </c>
      <c r="AA535" s="554">
        <v>0</v>
      </c>
      <c r="AB535" s="554">
        <v>0</v>
      </c>
      <c r="AC535" s="554">
        <v>0</v>
      </c>
    </row>
    <row r="536" spans="1:33">
      <c r="A536" s="70"/>
      <c r="B536"/>
      <c r="G536" s="71" t="s">
        <v>852</v>
      </c>
      <c r="I536" s="554">
        <v>0</v>
      </c>
      <c r="J536" s="554">
        <v>0</v>
      </c>
      <c r="K536" s="554">
        <v>0</v>
      </c>
      <c r="L536" s="554">
        <v>0</v>
      </c>
      <c r="M536" s="554">
        <v>0</v>
      </c>
      <c r="N536" s="554">
        <v>0</v>
      </c>
      <c r="O536" s="554">
        <v>0</v>
      </c>
      <c r="P536" s="554">
        <v>0</v>
      </c>
      <c r="Q536" s="554">
        <v>0</v>
      </c>
      <c r="R536" s="554">
        <v>0</v>
      </c>
      <c r="S536" s="554">
        <v>0</v>
      </c>
      <c r="T536" s="554">
        <v>0</v>
      </c>
      <c r="U536" s="554">
        <v>0</v>
      </c>
      <c r="V536" s="554">
        <v>0</v>
      </c>
      <c r="W536" s="554">
        <v>0</v>
      </c>
      <c r="X536" s="554">
        <v>0</v>
      </c>
      <c r="Y536" s="554">
        <v>0</v>
      </c>
      <c r="Z536" s="554">
        <v>0</v>
      </c>
      <c r="AA536" s="554">
        <v>0</v>
      </c>
      <c r="AB536" s="554">
        <v>0</v>
      </c>
      <c r="AC536" s="554">
        <v>0</v>
      </c>
    </row>
    <row r="537" spans="1:33">
      <c r="A537" s="70"/>
      <c r="B537"/>
      <c r="G537" s="71"/>
    </row>
    <row r="538" spans="1:33">
      <c r="A538" s="70" t="s">
        <v>857</v>
      </c>
      <c r="B538"/>
      <c r="C538"/>
      <c r="F538" s="71" t="s">
        <v>721</v>
      </c>
      <c r="G538" s="71" t="s">
        <v>708</v>
      </c>
      <c r="H538" s="152"/>
      <c r="I538" s="553">
        <v>0</v>
      </c>
      <c r="J538" s="553">
        <v>0</v>
      </c>
      <c r="K538" s="553">
        <v>0</v>
      </c>
      <c r="L538" s="553">
        <v>0</v>
      </c>
      <c r="M538" s="553">
        <v>0</v>
      </c>
      <c r="N538" s="553">
        <v>0</v>
      </c>
      <c r="O538" s="553">
        <v>0</v>
      </c>
      <c r="P538" s="553">
        <v>0</v>
      </c>
      <c r="Q538" s="553">
        <v>0</v>
      </c>
      <c r="R538" s="553">
        <v>0</v>
      </c>
      <c r="S538" s="553">
        <v>0</v>
      </c>
      <c r="T538" s="553">
        <v>0</v>
      </c>
      <c r="U538" s="553">
        <v>0</v>
      </c>
      <c r="V538" s="553">
        <v>0</v>
      </c>
      <c r="W538" s="553">
        <v>0</v>
      </c>
      <c r="X538" s="553">
        <v>0</v>
      </c>
      <c r="Y538" s="553">
        <v>0</v>
      </c>
      <c r="Z538" s="553">
        <v>0</v>
      </c>
      <c r="AA538" s="553">
        <v>0</v>
      </c>
      <c r="AB538" s="553">
        <v>0</v>
      </c>
      <c r="AC538" s="553">
        <v>0</v>
      </c>
    </row>
    <row r="539" spans="1:33" s="85" customFormat="1">
      <c r="A539" s="70"/>
      <c r="B539"/>
      <c r="C539"/>
      <c r="D539" s="5"/>
      <c r="E539" s="5"/>
      <c r="F539" s="71"/>
      <c r="G539" s="71" t="s">
        <v>836</v>
      </c>
      <c r="H539" s="5"/>
      <c r="I539" s="554">
        <v>0</v>
      </c>
      <c r="J539" s="554">
        <v>0</v>
      </c>
      <c r="K539" s="554">
        <v>0</v>
      </c>
      <c r="L539" s="554">
        <v>0</v>
      </c>
      <c r="M539" s="554">
        <v>0</v>
      </c>
      <c r="N539" s="554">
        <v>0</v>
      </c>
      <c r="O539" s="554">
        <v>0</v>
      </c>
      <c r="P539" s="554">
        <v>0</v>
      </c>
      <c r="Q539" s="554">
        <v>0</v>
      </c>
      <c r="R539" s="554">
        <v>0</v>
      </c>
      <c r="S539" s="554">
        <v>0</v>
      </c>
      <c r="T539" s="554">
        <v>0</v>
      </c>
      <c r="U539" s="554">
        <v>0</v>
      </c>
      <c r="V539" s="554">
        <v>0</v>
      </c>
      <c r="W539" s="554">
        <v>0</v>
      </c>
      <c r="X539" s="554">
        <v>0</v>
      </c>
      <c r="Y539" s="554">
        <v>0</v>
      </c>
      <c r="Z539" s="554">
        <v>0</v>
      </c>
      <c r="AA539" s="554">
        <v>0</v>
      </c>
      <c r="AB539" s="554">
        <v>0</v>
      </c>
      <c r="AC539" s="554">
        <v>0</v>
      </c>
      <c r="AD539" s="5"/>
      <c r="AE539" s="5"/>
      <c r="AF539" s="5"/>
      <c r="AG539" s="5"/>
    </row>
    <row r="540" spans="1:33" s="85" customFormat="1">
      <c r="A540" s="70"/>
      <c r="B540"/>
      <c r="C540"/>
      <c r="D540" s="5"/>
      <c r="E540" s="5"/>
      <c r="F540" s="71" t="s">
        <v>722</v>
      </c>
      <c r="G540" s="71" t="s">
        <v>708</v>
      </c>
      <c r="H540" s="5"/>
      <c r="I540" s="554">
        <v>0</v>
      </c>
      <c r="J540" s="554">
        <v>0</v>
      </c>
      <c r="K540" s="554">
        <v>0</v>
      </c>
      <c r="L540" s="554">
        <v>0</v>
      </c>
      <c r="M540" s="554">
        <v>0</v>
      </c>
      <c r="N540" s="554">
        <v>0</v>
      </c>
      <c r="O540" s="554">
        <v>0</v>
      </c>
      <c r="P540" s="554">
        <v>0</v>
      </c>
      <c r="Q540" s="554">
        <v>0</v>
      </c>
      <c r="R540" s="554">
        <v>0</v>
      </c>
      <c r="S540" s="554">
        <v>0</v>
      </c>
      <c r="T540" s="554">
        <v>0</v>
      </c>
      <c r="U540" s="554">
        <v>0</v>
      </c>
      <c r="V540" s="554">
        <v>0</v>
      </c>
      <c r="W540" s="554">
        <v>0</v>
      </c>
      <c r="X540" s="554">
        <v>0</v>
      </c>
      <c r="Y540" s="554">
        <v>0</v>
      </c>
      <c r="Z540" s="554">
        <v>0</v>
      </c>
      <c r="AA540" s="554">
        <v>0</v>
      </c>
      <c r="AB540" s="554">
        <v>0</v>
      </c>
      <c r="AC540" s="554">
        <v>0</v>
      </c>
      <c r="AD540" s="5"/>
      <c r="AE540" s="5"/>
      <c r="AF540" s="5"/>
      <c r="AG540" s="5"/>
    </row>
    <row r="541" spans="1:33" s="85" customFormat="1">
      <c r="A541" s="70"/>
      <c r="B541" s="5"/>
      <c r="C541"/>
      <c r="D541" s="5"/>
      <c r="E541" s="5"/>
      <c r="F541" s="5"/>
      <c r="G541" s="71" t="s">
        <v>836</v>
      </c>
      <c r="H541" s="5"/>
      <c r="I541" s="554">
        <v>0</v>
      </c>
      <c r="J541" s="554">
        <v>0</v>
      </c>
      <c r="K541" s="554">
        <v>0</v>
      </c>
      <c r="L541" s="554">
        <v>0</v>
      </c>
      <c r="M541" s="554">
        <v>0</v>
      </c>
      <c r="N541" s="554">
        <v>0</v>
      </c>
      <c r="O541" s="554">
        <v>0</v>
      </c>
      <c r="P541" s="554">
        <v>0</v>
      </c>
      <c r="Q541" s="554">
        <v>0</v>
      </c>
      <c r="R541" s="554">
        <v>0</v>
      </c>
      <c r="S541" s="554">
        <v>0</v>
      </c>
      <c r="T541" s="554">
        <v>0</v>
      </c>
      <c r="U541" s="554">
        <v>0</v>
      </c>
      <c r="V541" s="554">
        <v>0</v>
      </c>
      <c r="W541" s="554">
        <v>0</v>
      </c>
      <c r="X541" s="554">
        <v>0</v>
      </c>
      <c r="Y541" s="554">
        <v>0</v>
      </c>
      <c r="Z541" s="554">
        <v>0</v>
      </c>
      <c r="AA541" s="554">
        <v>0</v>
      </c>
      <c r="AB541" s="554">
        <v>0</v>
      </c>
      <c r="AC541" s="554">
        <v>0</v>
      </c>
      <c r="AD541" s="5"/>
      <c r="AE541" s="5"/>
      <c r="AF541" s="5"/>
      <c r="AG541" s="5"/>
    </row>
    <row r="542" spans="1:33" s="85" customFormat="1">
      <c r="A542" s="70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s="85" customFormat="1">
      <c r="A543" s="225" t="s">
        <v>858</v>
      </c>
      <c r="B543"/>
      <c r="C543" s="5"/>
      <c r="D543" s="5"/>
      <c r="E543" s="152"/>
      <c r="F543" s="152"/>
      <c r="G543" s="71" t="s">
        <v>708</v>
      </c>
      <c r="H543" s="152"/>
      <c r="I543" s="554">
        <v>0</v>
      </c>
      <c r="J543" s="554">
        <v>0</v>
      </c>
      <c r="K543" s="554">
        <v>0</v>
      </c>
      <c r="L543" s="554">
        <v>0</v>
      </c>
      <c r="M543" s="554">
        <v>0</v>
      </c>
      <c r="N543" s="554">
        <v>0</v>
      </c>
      <c r="O543" s="554">
        <v>0</v>
      </c>
      <c r="P543" s="554">
        <v>0</v>
      </c>
      <c r="Q543" s="554">
        <v>0</v>
      </c>
      <c r="R543" s="554">
        <v>0</v>
      </c>
      <c r="S543" s="554">
        <v>0</v>
      </c>
      <c r="T543" s="554">
        <v>0</v>
      </c>
      <c r="U543" s="554">
        <v>0</v>
      </c>
      <c r="V543" s="554">
        <v>0</v>
      </c>
      <c r="W543" s="554">
        <v>0</v>
      </c>
      <c r="X543" s="554">
        <v>0</v>
      </c>
      <c r="Y543" s="554">
        <v>0</v>
      </c>
      <c r="Z543" s="554">
        <v>0</v>
      </c>
      <c r="AA543" s="554">
        <v>0</v>
      </c>
      <c r="AB543" s="554">
        <v>0</v>
      </c>
      <c r="AC543" s="554">
        <v>0</v>
      </c>
      <c r="AD543" s="5"/>
      <c r="AE543" s="5"/>
      <c r="AF543" s="5"/>
      <c r="AG543" s="5"/>
    </row>
    <row r="544" spans="1:33" s="85" customFormat="1">
      <c r="A544" s="70"/>
      <c r="B544"/>
      <c r="C544" s="5"/>
      <c r="D544" s="5"/>
      <c r="E544" s="5"/>
      <c r="F544" s="5"/>
      <c r="G544" s="71" t="s">
        <v>836</v>
      </c>
      <c r="H544" s="5"/>
      <c r="I544" s="554">
        <v>0</v>
      </c>
      <c r="J544" s="554">
        <v>0</v>
      </c>
      <c r="K544" s="554">
        <v>0</v>
      </c>
      <c r="L544" s="554">
        <v>0</v>
      </c>
      <c r="M544" s="554">
        <v>0</v>
      </c>
      <c r="N544" s="554">
        <v>0</v>
      </c>
      <c r="O544" s="554">
        <v>0</v>
      </c>
      <c r="P544" s="554">
        <v>0</v>
      </c>
      <c r="Q544" s="554">
        <v>0</v>
      </c>
      <c r="R544" s="554">
        <v>0</v>
      </c>
      <c r="S544" s="554">
        <v>0</v>
      </c>
      <c r="T544" s="554">
        <v>0</v>
      </c>
      <c r="U544" s="554">
        <v>0</v>
      </c>
      <c r="V544" s="554">
        <v>0</v>
      </c>
      <c r="W544" s="554">
        <v>0</v>
      </c>
      <c r="X544" s="554">
        <v>0</v>
      </c>
      <c r="Y544" s="554">
        <v>0</v>
      </c>
      <c r="Z544" s="554">
        <v>0</v>
      </c>
      <c r="AA544" s="554">
        <v>0</v>
      </c>
      <c r="AB544" s="554">
        <v>0</v>
      </c>
      <c r="AC544" s="554">
        <v>0</v>
      </c>
      <c r="AD544" s="5"/>
      <c r="AE544" s="5"/>
      <c r="AF544" s="5"/>
      <c r="AG544" s="5"/>
    </row>
    <row r="545" spans="1:33" s="85" customFormat="1">
      <c r="A545" s="70"/>
      <c r="B545"/>
      <c r="C545" s="5"/>
      <c r="D545" s="5"/>
      <c r="E545" s="5"/>
      <c r="F545" s="5"/>
      <c r="G545" s="7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s="85" customFormat="1">
      <c r="A546" s="70" t="s">
        <v>859</v>
      </c>
      <c r="B546"/>
      <c r="C546" s="5"/>
      <c r="D546" s="5"/>
      <c r="E546" s="5"/>
      <c r="F546" s="5"/>
      <c r="G546" s="71" t="s">
        <v>851</v>
      </c>
      <c r="H546" s="5"/>
      <c r="I546" s="554">
        <v>0</v>
      </c>
      <c r="J546" s="554">
        <v>0</v>
      </c>
      <c r="K546" s="554">
        <v>0</v>
      </c>
      <c r="L546" s="554">
        <v>0</v>
      </c>
      <c r="M546" s="554">
        <v>0</v>
      </c>
      <c r="N546" s="554">
        <v>0</v>
      </c>
      <c r="O546" s="554">
        <v>0</v>
      </c>
      <c r="P546" s="554">
        <v>0</v>
      </c>
      <c r="Q546" s="554">
        <v>0</v>
      </c>
      <c r="R546" s="554">
        <v>0</v>
      </c>
      <c r="S546" s="554">
        <v>0</v>
      </c>
      <c r="T546" s="554">
        <v>0</v>
      </c>
      <c r="U546" s="554">
        <v>0</v>
      </c>
      <c r="V546" s="554">
        <v>0</v>
      </c>
      <c r="W546" s="554">
        <v>0</v>
      </c>
      <c r="X546" s="554">
        <v>0</v>
      </c>
      <c r="Y546" s="554">
        <v>0</v>
      </c>
      <c r="Z546" s="554">
        <v>0</v>
      </c>
      <c r="AA546" s="554">
        <v>0</v>
      </c>
      <c r="AB546" s="554">
        <v>0</v>
      </c>
      <c r="AC546" s="554">
        <v>0</v>
      </c>
      <c r="AD546" s="5"/>
      <c r="AE546" s="5"/>
      <c r="AF546" s="5"/>
      <c r="AG546" s="5"/>
    </row>
    <row r="547" spans="1:33" s="85" customFormat="1">
      <c r="A547" s="70"/>
      <c r="B547"/>
      <c r="C547" s="5"/>
      <c r="D547" s="5"/>
      <c r="E547" s="5"/>
      <c r="F547" s="5"/>
      <c r="G547" s="71" t="s">
        <v>852</v>
      </c>
      <c r="H547" s="5"/>
      <c r="I547" s="554">
        <v>0</v>
      </c>
      <c r="J547" s="554">
        <v>0</v>
      </c>
      <c r="K547" s="554">
        <v>0</v>
      </c>
      <c r="L547" s="554">
        <v>0</v>
      </c>
      <c r="M547" s="554">
        <v>0</v>
      </c>
      <c r="N547" s="554">
        <v>0</v>
      </c>
      <c r="O547" s="554">
        <v>0</v>
      </c>
      <c r="P547" s="554">
        <v>0</v>
      </c>
      <c r="Q547" s="554">
        <v>0</v>
      </c>
      <c r="R547" s="554">
        <v>0</v>
      </c>
      <c r="S547" s="554">
        <v>0</v>
      </c>
      <c r="T547" s="554">
        <v>0</v>
      </c>
      <c r="U547" s="554">
        <v>0</v>
      </c>
      <c r="V547" s="554">
        <v>0</v>
      </c>
      <c r="W547" s="554">
        <v>0</v>
      </c>
      <c r="X547" s="554">
        <v>0</v>
      </c>
      <c r="Y547" s="554">
        <v>0</v>
      </c>
      <c r="Z547" s="554">
        <v>0</v>
      </c>
      <c r="AA547" s="554">
        <v>0</v>
      </c>
      <c r="AB547" s="554">
        <v>0</v>
      </c>
      <c r="AC547" s="554">
        <v>0</v>
      </c>
      <c r="AD547" s="5"/>
      <c r="AE547" s="5"/>
      <c r="AF547" s="5"/>
      <c r="AG547" s="5"/>
    </row>
    <row r="548" spans="1:33">
      <c r="A548" s="70"/>
      <c r="B548" s="74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spans="1:33" ht="12" thickBot="1">
      <c r="A549" s="74"/>
      <c r="B549" s="74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spans="1:33" ht="12.75" thickTop="1" thickBot="1">
      <c r="A550" s="356"/>
      <c r="B550" s="304"/>
      <c r="C550" s="304"/>
      <c r="D550" s="304"/>
      <c r="E550" s="380"/>
      <c r="F550" s="304"/>
      <c r="G550" s="304"/>
      <c r="H550" s="380"/>
      <c r="I550" s="304"/>
      <c r="J550" s="380"/>
      <c r="K550" s="304"/>
      <c r="L550" s="304"/>
      <c r="M550" s="304"/>
      <c r="N550" s="304"/>
      <c r="O550" s="304"/>
      <c r="P550" s="304"/>
      <c r="Q550" s="304"/>
      <c r="R550" s="304"/>
      <c r="S550" s="304"/>
      <c r="T550" s="304"/>
      <c r="U550" s="304"/>
      <c r="V550" s="304"/>
      <c r="W550" s="304"/>
      <c r="X550" s="304"/>
      <c r="Y550" s="304"/>
      <c r="Z550" s="304"/>
      <c r="AA550" s="304"/>
      <c r="AB550" s="304"/>
      <c r="AC550" s="304"/>
    </row>
    <row r="551" spans="1:33" ht="12" thickTop="1">
      <c r="A551" s="19" t="s">
        <v>860</v>
      </c>
      <c r="D551" s="22"/>
      <c r="E551" s="153">
        <f>E580</f>
        <v>1996</v>
      </c>
      <c r="F551" s="154">
        <f>F580</f>
        <v>1997</v>
      </c>
      <c r="G551" s="154">
        <f>G580</f>
        <v>1998</v>
      </c>
      <c r="H551" s="155" t="str">
        <f ca="1">$H$579&amp;"/"&amp;TEXT($H$580,"0")</f>
        <v>6 M/1999</v>
      </c>
      <c r="I551" s="156" t="str">
        <f ca="1">$I$579&amp;"/"&amp;TEXT($I$580,"0")</f>
        <v>6 M/1999</v>
      </c>
      <c r="J551" s="157">
        <f t="shared" ref="J551:AC551" si="463">J580</f>
        <v>2000</v>
      </c>
      <c r="K551" s="157">
        <f t="shared" si="463"/>
        <v>2001</v>
      </c>
      <c r="L551" s="157">
        <f t="shared" si="463"/>
        <v>2002</v>
      </c>
      <c r="M551" s="157">
        <f t="shared" si="463"/>
        <v>2003</v>
      </c>
      <c r="N551" s="157">
        <f t="shared" si="463"/>
        <v>2004</v>
      </c>
      <c r="O551" s="157">
        <f t="shared" si="463"/>
        <v>2005</v>
      </c>
      <c r="P551" s="157">
        <f t="shared" si="463"/>
        <v>2006</v>
      </c>
      <c r="Q551" s="157">
        <f t="shared" si="463"/>
        <v>2007</v>
      </c>
      <c r="R551" s="157">
        <f t="shared" si="463"/>
        <v>2008</v>
      </c>
      <c r="S551" s="157">
        <f t="shared" si="463"/>
        <v>2009</v>
      </c>
      <c r="T551" s="157">
        <f t="shared" si="463"/>
        <v>2010</v>
      </c>
      <c r="U551" s="157">
        <f t="shared" si="463"/>
        <v>2011</v>
      </c>
      <c r="V551" s="157">
        <f t="shared" si="463"/>
        <v>2012</v>
      </c>
      <c r="W551" s="157">
        <f t="shared" si="463"/>
        <v>2013</v>
      </c>
      <c r="X551" s="157">
        <f t="shared" si="463"/>
        <v>2014</v>
      </c>
      <c r="Y551" s="157">
        <f t="shared" si="463"/>
        <v>2015</v>
      </c>
      <c r="Z551" s="157">
        <f t="shared" si="463"/>
        <v>2016</v>
      </c>
      <c r="AA551" s="157">
        <f t="shared" si="463"/>
        <v>2017</v>
      </c>
      <c r="AB551" s="157">
        <f t="shared" si="463"/>
        <v>2018</v>
      </c>
      <c r="AC551" s="157">
        <f t="shared" si="463"/>
        <v>2019</v>
      </c>
    </row>
    <row r="552" spans="1:33" ht="12" thickBot="1">
      <c r="A552" s="337" t="s">
        <v>861</v>
      </c>
      <c r="E552" s="158" t="s">
        <v>765</v>
      </c>
      <c r="F552" s="158" t="s">
        <v>765</v>
      </c>
      <c r="G552" s="158" t="s">
        <v>765</v>
      </c>
      <c r="H552" s="159" t="s">
        <v>765</v>
      </c>
      <c r="I552" s="160" t="s">
        <v>764</v>
      </c>
      <c r="J552" s="161" t="s">
        <v>764</v>
      </c>
      <c r="K552" s="161" t="s">
        <v>764</v>
      </c>
      <c r="L552" s="161" t="s">
        <v>764</v>
      </c>
      <c r="M552" s="161" t="s">
        <v>764</v>
      </c>
      <c r="N552" s="161" t="s">
        <v>764</v>
      </c>
      <c r="O552" s="161" t="s">
        <v>764</v>
      </c>
      <c r="P552" s="161" t="s">
        <v>764</v>
      </c>
      <c r="Q552" s="161" t="s">
        <v>764</v>
      </c>
      <c r="R552" s="161" t="s">
        <v>764</v>
      </c>
      <c r="S552" s="161" t="s">
        <v>764</v>
      </c>
      <c r="T552" s="161" t="s">
        <v>764</v>
      </c>
      <c r="U552" s="161" t="s">
        <v>764</v>
      </c>
      <c r="V552" s="161" t="s">
        <v>764</v>
      </c>
      <c r="W552" s="161" t="s">
        <v>764</v>
      </c>
      <c r="X552" s="161" t="s">
        <v>764</v>
      </c>
      <c r="Y552" s="161" t="s">
        <v>764</v>
      </c>
      <c r="Z552" s="161" t="s">
        <v>764</v>
      </c>
      <c r="AA552" s="161" t="s">
        <v>764</v>
      </c>
      <c r="AB552" s="161" t="s">
        <v>764</v>
      </c>
      <c r="AC552" s="161" t="s">
        <v>764</v>
      </c>
    </row>
    <row r="553" spans="1:33" ht="12" thickTop="1">
      <c r="A553" s="337"/>
      <c r="E553" s="394"/>
      <c r="F553" s="394"/>
      <c r="G553" s="394"/>
      <c r="H553" s="395"/>
      <c r="I553" s="395"/>
      <c r="J553" s="395"/>
      <c r="K553" s="395"/>
      <c r="L553" s="395"/>
      <c r="M553" s="395"/>
      <c r="N553" s="395"/>
      <c r="O553" s="395"/>
      <c r="P553" s="395"/>
      <c r="Q553" s="395"/>
      <c r="R553" s="395"/>
      <c r="S553" s="395"/>
      <c r="T553" s="395"/>
      <c r="U553" s="395"/>
      <c r="V553" s="395"/>
      <c r="W553" s="395"/>
      <c r="X553" s="395"/>
      <c r="Y553" s="395"/>
      <c r="Z553" s="395"/>
      <c r="AA553" s="395"/>
      <c r="AB553" s="395"/>
      <c r="AC553" s="395"/>
    </row>
    <row r="554" spans="1:33">
      <c r="A554" s="74" t="s">
        <v>862</v>
      </c>
      <c r="D554" s="143"/>
      <c r="E554" s="553">
        <v>0</v>
      </c>
      <c r="F554" s="553">
        <v>0</v>
      </c>
      <c r="G554" s="553">
        <v>0</v>
      </c>
      <c r="H554" s="553">
        <v>0</v>
      </c>
      <c r="I554" s="568">
        <v>0</v>
      </c>
      <c r="J554" s="568">
        <v>0</v>
      </c>
      <c r="K554" s="568">
        <v>0</v>
      </c>
      <c r="L554" s="568">
        <v>0</v>
      </c>
      <c r="M554" s="568">
        <v>0</v>
      </c>
      <c r="N554" s="568">
        <v>0</v>
      </c>
      <c r="O554" s="568">
        <v>0</v>
      </c>
      <c r="P554" s="568">
        <v>0</v>
      </c>
      <c r="Q554" s="568">
        <v>0</v>
      </c>
      <c r="R554" s="568">
        <v>0</v>
      </c>
      <c r="S554" s="568">
        <v>0</v>
      </c>
      <c r="T554" s="568">
        <v>0</v>
      </c>
      <c r="U554" s="568">
        <v>0</v>
      </c>
      <c r="V554" s="568">
        <v>0</v>
      </c>
      <c r="W554" s="568">
        <v>0</v>
      </c>
      <c r="X554" s="568">
        <v>0</v>
      </c>
      <c r="Y554" s="568">
        <v>0</v>
      </c>
      <c r="Z554" s="568">
        <v>0</v>
      </c>
      <c r="AA554" s="568">
        <v>0</v>
      </c>
      <c r="AB554" s="568">
        <v>0</v>
      </c>
      <c r="AC554" s="568">
        <v>0</v>
      </c>
    </row>
    <row r="555" spans="1:33">
      <c r="A555" s="74" t="s">
        <v>863</v>
      </c>
      <c r="E555" s="554">
        <v>0</v>
      </c>
      <c r="F555" s="554">
        <v>0</v>
      </c>
      <c r="G555" s="554">
        <v>0</v>
      </c>
      <c r="H555" s="554">
        <v>0</v>
      </c>
      <c r="I555" s="568">
        <v>0</v>
      </c>
      <c r="J555" s="568">
        <f t="shared" ref="J555:AC555" si="464">I555</f>
        <v>0</v>
      </c>
      <c r="K555" s="568">
        <f t="shared" si="464"/>
        <v>0</v>
      </c>
      <c r="L555" s="568">
        <f t="shared" si="464"/>
        <v>0</v>
      </c>
      <c r="M555" s="568">
        <f t="shared" si="464"/>
        <v>0</v>
      </c>
      <c r="N555" s="568">
        <f t="shared" si="464"/>
        <v>0</v>
      </c>
      <c r="O555" s="568">
        <f t="shared" si="464"/>
        <v>0</v>
      </c>
      <c r="P555" s="568">
        <f t="shared" si="464"/>
        <v>0</v>
      </c>
      <c r="Q555" s="568">
        <f t="shared" si="464"/>
        <v>0</v>
      </c>
      <c r="R555" s="568">
        <f t="shared" si="464"/>
        <v>0</v>
      </c>
      <c r="S555" s="568">
        <f t="shared" si="464"/>
        <v>0</v>
      </c>
      <c r="T555" s="568">
        <f t="shared" si="464"/>
        <v>0</v>
      </c>
      <c r="U555" s="568">
        <f t="shared" si="464"/>
        <v>0</v>
      </c>
      <c r="V555" s="568">
        <f t="shared" si="464"/>
        <v>0</v>
      </c>
      <c r="W555" s="568">
        <f t="shared" si="464"/>
        <v>0</v>
      </c>
      <c r="X555" s="568">
        <f t="shared" si="464"/>
        <v>0</v>
      </c>
      <c r="Y555" s="568">
        <f t="shared" si="464"/>
        <v>0</v>
      </c>
      <c r="Z555" s="568">
        <f t="shared" si="464"/>
        <v>0</v>
      </c>
      <c r="AA555" s="568">
        <f t="shared" si="464"/>
        <v>0</v>
      </c>
      <c r="AB555" s="568">
        <f t="shared" si="464"/>
        <v>0</v>
      </c>
      <c r="AC555" s="568">
        <f t="shared" si="464"/>
        <v>0</v>
      </c>
    </row>
    <row r="556" spans="1:33">
      <c r="A556" s="74" t="s">
        <v>864</v>
      </c>
      <c r="E556" s="554">
        <v>0</v>
      </c>
      <c r="F556" s="554">
        <v>0</v>
      </c>
      <c r="G556" s="554">
        <v>0</v>
      </c>
      <c r="H556" s="554">
        <v>0</v>
      </c>
      <c r="I556" s="568">
        <v>0.06</v>
      </c>
      <c r="J556" s="568">
        <f t="shared" ref="J556:AC556" si="465">I556</f>
        <v>0.06</v>
      </c>
      <c r="K556" s="568">
        <f t="shared" si="465"/>
        <v>0.06</v>
      </c>
      <c r="L556" s="568">
        <f t="shared" si="465"/>
        <v>0.06</v>
      </c>
      <c r="M556" s="568">
        <f t="shared" si="465"/>
        <v>0.06</v>
      </c>
      <c r="N556" s="568">
        <f t="shared" si="465"/>
        <v>0.06</v>
      </c>
      <c r="O556" s="568">
        <f t="shared" si="465"/>
        <v>0.06</v>
      </c>
      <c r="P556" s="568">
        <f t="shared" si="465"/>
        <v>0.06</v>
      </c>
      <c r="Q556" s="568">
        <f t="shared" si="465"/>
        <v>0.06</v>
      </c>
      <c r="R556" s="568">
        <f t="shared" si="465"/>
        <v>0.06</v>
      </c>
      <c r="S556" s="568">
        <f t="shared" si="465"/>
        <v>0.06</v>
      </c>
      <c r="T556" s="568">
        <f t="shared" si="465"/>
        <v>0.06</v>
      </c>
      <c r="U556" s="568">
        <f t="shared" si="465"/>
        <v>0.06</v>
      </c>
      <c r="V556" s="568">
        <f t="shared" si="465"/>
        <v>0.06</v>
      </c>
      <c r="W556" s="568">
        <f t="shared" si="465"/>
        <v>0.06</v>
      </c>
      <c r="X556" s="568">
        <f t="shared" si="465"/>
        <v>0.06</v>
      </c>
      <c r="Y556" s="568">
        <f t="shared" si="465"/>
        <v>0.06</v>
      </c>
      <c r="Z556" s="568">
        <f t="shared" si="465"/>
        <v>0.06</v>
      </c>
      <c r="AA556" s="568">
        <f t="shared" si="465"/>
        <v>0.06</v>
      </c>
      <c r="AB556" s="568">
        <f t="shared" si="465"/>
        <v>0.06</v>
      </c>
      <c r="AC556" s="568">
        <f t="shared" si="465"/>
        <v>0.06</v>
      </c>
    </row>
    <row r="557" spans="1:33">
      <c r="A557" s="74" t="s">
        <v>865</v>
      </c>
      <c r="E557" s="554">
        <v>0</v>
      </c>
      <c r="F557" s="554">
        <v>0</v>
      </c>
      <c r="G557" s="554">
        <v>0</v>
      </c>
      <c r="H557" s="554">
        <v>0</v>
      </c>
    </row>
    <row r="559" spans="1:33">
      <c r="A559" s="74" t="s">
        <v>866</v>
      </c>
      <c r="E559" s="318"/>
      <c r="I559" s="568">
        <v>0.09</v>
      </c>
      <c r="J559" s="568">
        <v>0.09</v>
      </c>
      <c r="K559" s="568">
        <v>0.09</v>
      </c>
      <c r="L559" s="568">
        <v>0.09</v>
      </c>
      <c r="M559" s="568">
        <v>0.09</v>
      </c>
      <c r="N559" s="568">
        <v>0.09</v>
      </c>
      <c r="O559" s="568">
        <v>0.09</v>
      </c>
      <c r="P559" s="568">
        <v>0.09</v>
      </c>
      <c r="Q559" s="568">
        <v>0.09</v>
      </c>
      <c r="R559" s="568">
        <v>0.09</v>
      </c>
      <c r="S559" s="568">
        <v>0.09</v>
      </c>
      <c r="T559" s="568">
        <v>0.09</v>
      </c>
      <c r="U559" s="568">
        <v>0.09</v>
      </c>
      <c r="V559" s="568">
        <v>0.09</v>
      </c>
      <c r="W559" s="568">
        <v>0.09</v>
      </c>
      <c r="X559" s="568">
        <v>0.09</v>
      </c>
      <c r="Y559" s="568">
        <v>0.09</v>
      </c>
      <c r="Z559" s="568">
        <v>0.09</v>
      </c>
      <c r="AA559" s="568">
        <v>0.09</v>
      </c>
      <c r="AB559" s="568">
        <v>0.09</v>
      </c>
      <c r="AC559" s="568">
        <v>0.09</v>
      </c>
    </row>
    <row r="560" spans="1:33">
      <c r="A560" s="74" t="str">
        <f>B337</f>
        <v>Revolving Loan</v>
      </c>
      <c r="E560" s="90"/>
      <c r="F560" s="90"/>
      <c r="G560" s="90"/>
      <c r="H560" s="90"/>
      <c r="I560" s="568">
        <v>0.09</v>
      </c>
      <c r="J560" s="568">
        <f t="shared" ref="J560:AC560" si="466">I560</f>
        <v>0.09</v>
      </c>
      <c r="K560" s="568">
        <f t="shared" si="466"/>
        <v>0.09</v>
      </c>
      <c r="L560" s="568">
        <f t="shared" si="466"/>
        <v>0.09</v>
      </c>
      <c r="M560" s="568">
        <f t="shared" si="466"/>
        <v>0.09</v>
      </c>
      <c r="N560" s="568">
        <f t="shared" si="466"/>
        <v>0.09</v>
      </c>
      <c r="O560" s="568">
        <f t="shared" si="466"/>
        <v>0.09</v>
      </c>
      <c r="P560" s="568">
        <f t="shared" si="466"/>
        <v>0.09</v>
      </c>
      <c r="Q560" s="568">
        <f t="shared" si="466"/>
        <v>0.09</v>
      </c>
      <c r="R560" s="568">
        <f t="shared" si="466"/>
        <v>0.09</v>
      </c>
      <c r="S560" s="568">
        <f t="shared" si="466"/>
        <v>0.09</v>
      </c>
      <c r="T560" s="568">
        <f t="shared" si="466"/>
        <v>0.09</v>
      </c>
      <c r="U560" s="568">
        <f t="shared" si="466"/>
        <v>0.09</v>
      </c>
      <c r="V560" s="568">
        <f t="shared" si="466"/>
        <v>0.09</v>
      </c>
      <c r="W560" s="568">
        <f t="shared" si="466"/>
        <v>0.09</v>
      </c>
      <c r="X560" s="568">
        <f t="shared" si="466"/>
        <v>0.09</v>
      </c>
      <c r="Y560" s="568">
        <f t="shared" si="466"/>
        <v>0.09</v>
      </c>
      <c r="Z560" s="568">
        <f t="shared" si="466"/>
        <v>0.09</v>
      </c>
      <c r="AA560" s="568">
        <f t="shared" si="466"/>
        <v>0.09</v>
      </c>
      <c r="AB560" s="568">
        <f t="shared" si="466"/>
        <v>0.09</v>
      </c>
      <c r="AC560" s="568">
        <f t="shared" si="466"/>
        <v>0.09</v>
      </c>
    </row>
    <row r="561" spans="1:29">
      <c r="A561" s="74" t="str">
        <f>B338</f>
        <v>Term Loan</v>
      </c>
      <c r="E561" s="90"/>
      <c r="F561" s="90"/>
      <c r="G561" s="90"/>
      <c r="H561" s="90"/>
      <c r="I561" s="568">
        <v>0</v>
      </c>
      <c r="J561" s="568">
        <f t="shared" ref="J561:AC561" si="467">I561</f>
        <v>0</v>
      </c>
      <c r="K561" s="568">
        <f t="shared" si="467"/>
        <v>0</v>
      </c>
      <c r="L561" s="568">
        <f t="shared" si="467"/>
        <v>0</v>
      </c>
      <c r="M561" s="568">
        <f t="shared" si="467"/>
        <v>0</v>
      </c>
      <c r="N561" s="568">
        <f t="shared" si="467"/>
        <v>0</v>
      </c>
      <c r="O561" s="568">
        <f t="shared" si="467"/>
        <v>0</v>
      </c>
      <c r="P561" s="568">
        <f t="shared" si="467"/>
        <v>0</v>
      </c>
      <c r="Q561" s="568">
        <f t="shared" si="467"/>
        <v>0</v>
      </c>
      <c r="R561" s="568">
        <f t="shared" si="467"/>
        <v>0</v>
      </c>
      <c r="S561" s="568">
        <f t="shared" si="467"/>
        <v>0</v>
      </c>
      <c r="T561" s="568">
        <f t="shared" si="467"/>
        <v>0</v>
      </c>
      <c r="U561" s="568">
        <f t="shared" si="467"/>
        <v>0</v>
      </c>
      <c r="V561" s="568">
        <f t="shared" si="467"/>
        <v>0</v>
      </c>
      <c r="W561" s="568">
        <f t="shared" si="467"/>
        <v>0</v>
      </c>
      <c r="X561" s="568">
        <f t="shared" si="467"/>
        <v>0</v>
      </c>
      <c r="Y561" s="568">
        <f t="shared" si="467"/>
        <v>0</v>
      </c>
      <c r="Z561" s="568">
        <f t="shared" si="467"/>
        <v>0</v>
      </c>
      <c r="AA561" s="568">
        <f t="shared" si="467"/>
        <v>0</v>
      </c>
      <c r="AB561" s="568">
        <f t="shared" si="467"/>
        <v>0</v>
      </c>
      <c r="AC561" s="568">
        <f t="shared" si="467"/>
        <v>0</v>
      </c>
    </row>
    <row r="562" spans="1:29">
      <c r="A562" s="83" t="s">
        <v>867</v>
      </c>
      <c r="I562" s="568">
        <v>0</v>
      </c>
      <c r="J562" s="568">
        <f t="shared" ref="J562:AC562" si="468">I562</f>
        <v>0</v>
      </c>
      <c r="K562" s="568">
        <f t="shared" si="468"/>
        <v>0</v>
      </c>
      <c r="L562" s="568">
        <f t="shared" si="468"/>
        <v>0</v>
      </c>
      <c r="M562" s="568">
        <f t="shared" si="468"/>
        <v>0</v>
      </c>
      <c r="N562" s="568">
        <f t="shared" si="468"/>
        <v>0</v>
      </c>
      <c r="O562" s="568">
        <f t="shared" si="468"/>
        <v>0</v>
      </c>
      <c r="P562" s="568">
        <f t="shared" si="468"/>
        <v>0</v>
      </c>
      <c r="Q562" s="568">
        <f t="shared" si="468"/>
        <v>0</v>
      </c>
      <c r="R562" s="568">
        <f t="shared" si="468"/>
        <v>0</v>
      </c>
      <c r="S562" s="568">
        <f t="shared" si="468"/>
        <v>0</v>
      </c>
      <c r="T562" s="568">
        <f t="shared" si="468"/>
        <v>0</v>
      </c>
      <c r="U562" s="568">
        <f t="shared" si="468"/>
        <v>0</v>
      </c>
      <c r="V562" s="568">
        <f t="shared" si="468"/>
        <v>0</v>
      </c>
      <c r="W562" s="568">
        <f t="shared" si="468"/>
        <v>0</v>
      </c>
      <c r="X562" s="568">
        <f t="shared" si="468"/>
        <v>0</v>
      </c>
      <c r="Y562" s="568">
        <f t="shared" si="468"/>
        <v>0</v>
      </c>
      <c r="Z562" s="568">
        <f t="shared" si="468"/>
        <v>0</v>
      </c>
      <c r="AA562" s="568">
        <f t="shared" si="468"/>
        <v>0</v>
      </c>
      <c r="AB562" s="568">
        <f t="shared" si="468"/>
        <v>0</v>
      </c>
      <c r="AC562" s="568">
        <f t="shared" si="468"/>
        <v>0</v>
      </c>
    </row>
    <row r="563" spans="1:29">
      <c r="A563" s="74" t="s">
        <v>868</v>
      </c>
      <c r="I563" s="554">
        <v>0</v>
      </c>
      <c r="J563" s="554">
        <v>0</v>
      </c>
      <c r="K563" s="554">
        <f t="shared" ref="K563:AC563" si="469">J563</f>
        <v>0</v>
      </c>
      <c r="L563" s="554">
        <f t="shared" si="469"/>
        <v>0</v>
      </c>
      <c r="M563" s="554">
        <f t="shared" si="469"/>
        <v>0</v>
      </c>
      <c r="N563" s="554">
        <f t="shared" si="469"/>
        <v>0</v>
      </c>
      <c r="O563" s="554">
        <f t="shared" si="469"/>
        <v>0</v>
      </c>
      <c r="P563" s="554">
        <f t="shared" si="469"/>
        <v>0</v>
      </c>
      <c r="Q563" s="554">
        <f t="shared" si="469"/>
        <v>0</v>
      </c>
      <c r="R563" s="554">
        <f t="shared" si="469"/>
        <v>0</v>
      </c>
      <c r="S563" s="554">
        <f t="shared" si="469"/>
        <v>0</v>
      </c>
      <c r="T563" s="554">
        <f t="shared" si="469"/>
        <v>0</v>
      </c>
      <c r="U563" s="554">
        <f t="shared" si="469"/>
        <v>0</v>
      </c>
      <c r="V563" s="554">
        <f t="shared" si="469"/>
        <v>0</v>
      </c>
      <c r="W563" s="554">
        <f t="shared" si="469"/>
        <v>0</v>
      </c>
      <c r="X563" s="554">
        <f t="shared" si="469"/>
        <v>0</v>
      </c>
      <c r="Y563" s="554">
        <f t="shared" si="469"/>
        <v>0</v>
      </c>
      <c r="Z563" s="554">
        <f t="shared" si="469"/>
        <v>0</v>
      </c>
      <c r="AA563" s="554">
        <f t="shared" si="469"/>
        <v>0</v>
      </c>
      <c r="AB563" s="554">
        <f t="shared" si="469"/>
        <v>0</v>
      </c>
      <c r="AC563" s="554">
        <f t="shared" si="469"/>
        <v>0</v>
      </c>
    </row>
    <row r="564" spans="1:29">
      <c r="A564" s="74"/>
    </row>
    <row r="565" spans="1:29">
      <c r="A565" s="74" t="str">
        <f>B340</f>
        <v>ESOP Notes</v>
      </c>
      <c r="I565" s="568">
        <v>0</v>
      </c>
      <c r="J565" s="568">
        <f t="shared" ref="J565:AC565" si="470">I565</f>
        <v>0</v>
      </c>
      <c r="K565" s="568">
        <f t="shared" si="470"/>
        <v>0</v>
      </c>
      <c r="L565" s="568">
        <f t="shared" si="470"/>
        <v>0</v>
      </c>
      <c r="M565" s="568">
        <f t="shared" si="470"/>
        <v>0</v>
      </c>
      <c r="N565" s="568">
        <f t="shared" si="470"/>
        <v>0</v>
      </c>
      <c r="O565" s="568">
        <f t="shared" si="470"/>
        <v>0</v>
      </c>
      <c r="P565" s="568">
        <f t="shared" si="470"/>
        <v>0</v>
      </c>
      <c r="Q565" s="568">
        <f t="shared" si="470"/>
        <v>0</v>
      </c>
      <c r="R565" s="568">
        <f t="shared" si="470"/>
        <v>0</v>
      </c>
      <c r="S565" s="568">
        <f t="shared" si="470"/>
        <v>0</v>
      </c>
      <c r="T565" s="568">
        <f t="shared" si="470"/>
        <v>0</v>
      </c>
      <c r="U565" s="568">
        <f t="shared" si="470"/>
        <v>0</v>
      </c>
      <c r="V565" s="568">
        <f t="shared" si="470"/>
        <v>0</v>
      </c>
      <c r="W565" s="568">
        <f t="shared" si="470"/>
        <v>0</v>
      </c>
      <c r="X565" s="568">
        <f t="shared" si="470"/>
        <v>0</v>
      </c>
      <c r="Y565" s="568">
        <f t="shared" si="470"/>
        <v>0</v>
      </c>
      <c r="Z565" s="568">
        <f t="shared" si="470"/>
        <v>0</v>
      </c>
      <c r="AA565" s="568">
        <f t="shared" si="470"/>
        <v>0</v>
      </c>
      <c r="AB565" s="568">
        <f t="shared" si="470"/>
        <v>0</v>
      </c>
      <c r="AC565" s="568">
        <f t="shared" si="470"/>
        <v>0</v>
      </c>
    </row>
    <row r="566" spans="1:29">
      <c r="A566" s="74" t="str">
        <f>B341</f>
        <v>Placement 1</v>
      </c>
      <c r="E566" s="90"/>
      <c r="F566" s="90"/>
      <c r="G566" s="90"/>
      <c r="H566" s="89"/>
      <c r="I566" s="568">
        <v>0</v>
      </c>
      <c r="J566" s="568">
        <v>0</v>
      </c>
      <c r="K566" s="568">
        <v>0</v>
      </c>
      <c r="L566" s="568">
        <v>0</v>
      </c>
      <c r="M566" s="568">
        <v>0</v>
      </c>
      <c r="N566" s="568">
        <v>0</v>
      </c>
      <c r="O566" s="568">
        <v>0</v>
      </c>
      <c r="P566" s="568">
        <v>0</v>
      </c>
      <c r="Q566" s="568">
        <v>0</v>
      </c>
      <c r="R566" s="568">
        <v>0</v>
      </c>
      <c r="S566" s="568">
        <v>0</v>
      </c>
      <c r="T566" s="568">
        <v>0</v>
      </c>
      <c r="U566" s="568">
        <v>0</v>
      </c>
      <c r="V566" s="568">
        <v>0</v>
      </c>
      <c r="W566" s="568">
        <v>0</v>
      </c>
      <c r="X566" s="568">
        <v>0</v>
      </c>
      <c r="Y566" s="568">
        <v>0</v>
      </c>
      <c r="Z566" s="568">
        <v>0</v>
      </c>
      <c r="AA566" s="568">
        <v>0</v>
      </c>
      <c r="AB566" s="568">
        <v>0</v>
      </c>
      <c r="AC566" s="568">
        <v>0</v>
      </c>
    </row>
    <row r="567" spans="1:29">
      <c r="A567" s="74" t="str">
        <f>A15</f>
        <v>Placement 2</v>
      </c>
      <c r="D567" s="143"/>
      <c r="E567" s="89"/>
      <c r="F567" s="89"/>
      <c r="G567" s="89"/>
      <c r="H567" s="89"/>
      <c r="I567" s="568">
        <v>0</v>
      </c>
      <c r="J567" s="568">
        <f t="shared" ref="J567:AC567" si="471">I567</f>
        <v>0</v>
      </c>
      <c r="K567" s="568">
        <f t="shared" si="471"/>
        <v>0</v>
      </c>
      <c r="L567" s="568">
        <f t="shared" si="471"/>
        <v>0</v>
      </c>
      <c r="M567" s="568">
        <f t="shared" si="471"/>
        <v>0</v>
      </c>
      <c r="N567" s="568">
        <f t="shared" si="471"/>
        <v>0</v>
      </c>
      <c r="O567" s="568">
        <f t="shared" si="471"/>
        <v>0</v>
      </c>
      <c r="P567" s="568">
        <f t="shared" si="471"/>
        <v>0</v>
      </c>
      <c r="Q567" s="568">
        <f t="shared" si="471"/>
        <v>0</v>
      </c>
      <c r="R567" s="568">
        <f t="shared" si="471"/>
        <v>0</v>
      </c>
      <c r="S567" s="568">
        <f t="shared" si="471"/>
        <v>0</v>
      </c>
      <c r="T567" s="568">
        <f t="shared" si="471"/>
        <v>0</v>
      </c>
      <c r="U567" s="568">
        <f t="shared" si="471"/>
        <v>0</v>
      </c>
      <c r="V567" s="568">
        <f t="shared" si="471"/>
        <v>0</v>
      </c>
      <c r="W567" s="568">
        <f t="shared" si="471"/>
        <v>0</v>
      </c>
      <c r="X567" s="568">
        <f t="shared" si="471"/>
        <v>0</v>
      </c>
      <c r="Y567" s="568">
        <f t="shared" si="471"/>
        <v>0</v>
      </c>
      <c r="Z567" s="568">
        <f t="shared" si="471"/>
        <v>0</v>
      </c>
      <c r="AA567" s="568">
        <f t="shared" si="471"/>
        <v>0</v>
      </c>
      <c r="AB567" s="568">
        <f t="shared" si="471"/>
        <v>0</v>
      </c>
      <c r="AC567" s="568">
        <f t="shared" si="471"/>
        <v>0</v>
      </c>
    </row>
    <row r="568" spans="1:29">
      <c r="A568" s="74" t="str">
        <f>B343</f>
        <v>Sr Sub Notes</v>
      </c>
      <c r="D568" s="143"/>
      <c r="E568" s="89"/>
      <c r="F568" s="89"/>
      <c r="G568" s="89"/>
      <c r="H568" s="89"/>
      <c r="I568" s="568">
        <v>0</v>
      </c>
      <c r="J568" s="568">
        <f t="shared" ref="J568:AC568" si="472">I568</f>
        <v>0</v>
      </c>
      <c r="K568" s="568">
        <f t="shared" si="472"/>
        <v>0</v>
      </c>
      <c r="L568" s="568">
        <f t="shared" si="472"/>
        <v>0</v>
      </c>
      <c r="M568" s="568">
        <f t="shared" si="472"/>
        <v>0</v>
      </c>
      <c r="N568" s="568">
        <f t="shared" si="472"/>
        <v>0</v>
      </c>
      <c r="O568" s="568">
        <f t="shared" si="472"/>
        <v>0</v>
      </c>
      <c r="P568" s="568">
        <f t="shared" si="472"/>
        <v>0</v>
      </c>
      <c r="Q568" s="568">
        <f t="shared" si="472"/>
        <v>0</v>
      </c>
      <c r="R568" s="568">
        <f t="shared" si="472"/>
        <v>0</v>
      </c>
      <c r="S568" s="568">
        <f t="shared" si="472"/>
        <v>0</v>
      </c>
      <c r="T568" s="568">
        <f t="shared" si="472"/>
        <v>0</v>
      </c>
      <c r="U568" s="568">
        <f t="shared" si="472"/>
        <v>0</v>
      </c>
      <c r="V568" s="568">
        <f t="shared" si="472"/>
        <v>0</v>
      </c>
      <c r="W568" s="568">
        <f t="shared" si="472"/>
        <v>0</v>
      </c>
      <c r="X568" s="568">
        <f t="shared" si="472"/>
        <v>0</v>
      </c>
      <c r="Y568" s="568">
        <f t="shared" si="472"/>
        <v>0</v>
      </c>
      <c r="Z568" s="568">
        <f t="shared" si="472"/>
        <v>0</v>
      </c>
      <c r="AA568" s="568">
        <f t="shared" si="472"/>
        <v>0</v>
      </c>
      <c r="AB568" s="568">
        <f t="shared" si="472"/>
        <v>0</v>
      </c>
      <c r="AC568" s="568">
        <f t="shared" si="472"/>
        <v>0</v>
      </c>
    </row>
    <row r="569" spans="1:29">
      <c r="A569" s="74" t="str">
        <f>B344</f>
        <v>Jr. Sub Notes</v>
      </c>
      <c r="D569" s="143"/>
      <c r="E569" s="89"/>
      <c r="F569" s="89"/>
      <c r="G569" s="89"/>
      <c r="H569" s="89"/>
      <c r="I569" s="568">
        <v>0</v>
      </c>
      <c r="J569" s="568">
        <f t="shared" ref="J569:AC569" si="473">I569</f>
        <v>0</v>
      </c>
      <c r="K569" s="568">
        <f t="shared" si="473"/>
        <v>0</v>
      </c>
      <c r="L569" s="568">
        <f t="shared" si="473"/>
        <v>0</v>
      </c>
      <c r="M569" s="568">
        <f t="shared" si="473"/>
        <v>0</v>
      </c>
      <c r="N569" s="568">
        <f t="shared" si="473"/>
        <v>0</v>
      </c>
      <c r="O569" s="568">
        <f t="shared" si="473"/>
        <v>0</v>
      </c>
      <c r="P569" s="568">
        <f t="shared" si="473"/>
        <v>0</v>
      </c>
      <c r="Q569" s="568">
        <f t="shared" si="473"/>
        <v>0</v>
      </c>
      <c r="R569" s="568">
        <f t="shared" si="473"/>
        <v>0</v>
      </c>
      <c r="S569" s="568">
        <f t="shared" si="473"/>
        <v>0</v>
      </c>
      <c r="T569" s="568">
        <f t="shared" si="473"/>
        <v>0</v>
      </c>
      <c r="U569" s="568">
        <f t="shared" si="473"/>
        <v>0</v>
      </c>
      <c r="V569" s="568">
        <f t="shared" si="473"/>
        <v>0</v>
      </c>
      <c r="W569" s="568">
        <f t="shared" si="473"/>
        <v>0</v>
      </c>
      <c r="X569" s="568">
        <f t="shared" si="473"/>
        <v>0</v>
      </c>
      <c r="Y569" s="568">
        <f t="shared" si="473"/>
        <v>0</v>
      </c>
      <c r="Z569" s="568">
        <f t="shared" si="473"/>
        <v>0</v>
      </c>
      <c r="AA569" s="568">
        <f t="shared" si="473"/>
        <v>0</v>
      </c>
      <c r="AB569" s="568">
        <f t="shared" si="473"/>
        <v>0</v>
      </c>
      <c r="AC569" s="568">
        <f t="shared" si="473"/>
        <v>0</v>
      </c>
    </row>
    <row r="570" spans="1:29">
      <c r="A570" s="74" t="str">
        <f>B345&amp;" Yield"</f>
        <v>Preferred Stock Yield</v>
      </c>
      <c r="E570" s="89"/>
      <c r="F570" s="89"/>
      <c r="G570" s="89"/>
      <c r="H570" s="89"/>
      <c r="I570" s="568">
        <v>0.06</v>
      </c>
      <c r="J570" s="568">
        <v>0.06</v>
      </c>
      <c r="K570" s="568">
        <v>0.06</v>
      </c>
      <c r="L570" s="568">
        <v>0.06</v>
      </c>
      <c r="M570" s="568">
        <v>0.06</v>
      </c>
      <c r="N570" s="568">
        <v>0.06</v>
      </c>
      <c r="O570" s="568">
        <v>0.06</v>
      </c>
      <c r="P570" s="568">
        <v>0.06</v>
      </c>
      <c r="Q570" s="568">
        <v>0.06</v>
      </c>
      <c r="R570" s="568">
        <v>0.06</v>
      </c>
      <c r="S570" s="568">
        <v>0.06</v>
      </c>
      <c r="T570" s="568">
        <v>0.06</v>
      </c>
      <c r="U570" s="568">
        <v>0.06</v>
      </c>
      <c r="V570" s="568">
        <v>0.06</v>
      </c>
      <c r="W570" s="568">
        <v>0.06</v>
      </c>
      <c r="X570" s="568">
        <v>0.06</v>
      </c>
      <c r="Y570" s="568">
        <v>0.06</v>
      </c>
      <c r="Z570" s="568">
        <v>0.06</v>
      </c>
      <c r="AA570" s="568">
        <v>0.06</v>
      </c>
      <c r="AB570" s="568">
        <v>0.06</v>
      </c>
      <c r="AC570" s="568">
        <v>0.06</v>
      </c>
    </row>
    <row r="571" spans="1:29">
      <c r="A571" s="74" t="s">
        <v>869</v>
      </c>
      <c r="E571" s="89"/>
      <c r="F571" s="89"/>
      <c r="G571" s="89"/>
      <c r="H571" s="89"/>
      <c r="I571" s="568">
        <v>0</v>
      </c>
      <c r="J571" s="568">
        <f t="shared" ref="J571:AC571" si="474">I571</f>
        <v>0</v>
      </c>
      <c r="K571" s="568">
        <f t="shared" si="474"/>
        <v>0</v>
      </c>
      <c r="L571" s="568">
        <f t="shared" si="474"/>
        <v>0</v>
      </c>
      <c r="M571" s="568">
        <f t="shared" si="474"/>
        <v>0</v>
      </c>
      <c r="N571" s="568">
        <f t="shared" si="474"/>
        <v>0</v>
      </c>
      <c r="O571" s="568">
        <f t="shared" si="474"/>
        <v>0</v>
      </c>
      <c r="P571" s="568">
        <f t="shared" si="474"/>
        <v>0</v>
      </c>
      <c r="Q571" s="568">
        <f t="shared" si="474"/>
        <v>0</v>
      </c>
      <c r="R571" s="568">
        <f t="shared" si="474"/>
        <v>0</v>
      </c>
      <c r="S571" s="568">
        <f t="shared" si="474"/>
        <v>0</v>
      </c>
      <c r="T571" s="568">
        <f t="shared" si="474"/>
        <v>0</v>
      </c>
      <c r="U571" s="568">
        <f t="shared" si="474"/>
        <v>0</v>
      </c>
      <c r="V571" s="568">
        <f t="shared" si="474"/>
        <v>0</v>
      </c>
      <c r="W571" s="568">
        <f t="shared" si="474"/>
        <v>0</v>
      </c>
      <c r="X571" s="568">
        <f t="shared" si="474"/>
        <v>0</v>
      </c>
      <c r="Y571" s="568">
        <f t="shared" si="474"/>
        <v>0</v>
      </c>
      <c r="Z571" s="568">
        <f t="shared" si="474"/>
        <v>0</v>
      </c>
      <c r="AA571" s="568">
        <f t="shared" si="474"/>
        <v>0</v>
      </c>
      <c r="AB571" s="568">
        <f t="shared" si="474"/>
        <v>0</v>
      </c>
      <c r="AC571" s="568">
        <f t="shared" si="474"/>
        <v>0</v>
      </c>
    </row>
    <row r="572" spans="1:29">
      <c r="A572" s="74"/>
    </row>
    <row r="573" spans="1:29">
      <c r="A573" s="350" t="s">
        <v>661</v>
      </c>
    </row>
    <row r="574" spans="1:29">
      <c r="A574" s="74" t="s">
        <v>870</v>
      </c>
      <c r="E574" s="571" t="s">
        <v>825</v>
      </c>
    </row>
    <row r="575" spans="1:29">
      <c r="A575" s="74" t="s">
        <v>871</v>
      </c>
      <c r="D575" s="143"/>
      <c r="E575" s="553">
        <v>0</v>
      </c>
      <c r="F575" s="553">
        <v>184.62299999999999</v>
      </c>
      <c r="G575" s="553">
        <v>134.18</v>
      </c>
      <c r="H575" s="553">
        <v>40.478999999999999</v>
      </c>
      <c r="I575" s="568">
        <v>0.05</v>
      </c>
      <c r="J575" s="568">
        <v>0.05</v>
      </c>
      <c r="K575" s="568">
        <v>0.05</v>
      </c>
      <c r="L575" s="568">
        <v>0.05</v>
      </c>
      <c r="M575" s="568">
        <v>0.05</v>
      </c>
      <c r="N575" s="568">
        <v>0.05</v>
      </c>
      <c r="O575" s="568">
        <v>0.05</v>
      </c>
      <c r="P575" s="568">
        <v>0.05</v>
      </c>
      <c r="Q575" s="568">
        <v>0.05</v>
      </c>
      <c r="R575" s="568">
        <v>0.05</v>
      </c>
      <c r="S575" s="568">
        <v>0.05</v>
      </c>
      <c r="T575" s="568">
        <v>0.05</v>
      </c>
      <c r="U575" s="568">
        <v>0.05</v>
      </c>
      <c r="V575" s="568">
        <v>0.05</v>
      </c>
      <c r="W575" s="568">
        <v>0.05</v>
      </c>
      <c r="X575" s="568">
        <v>0.05</v>
      </c>
      <c r="Y575" s="568">
        <v>0.05</v>
      </c>
      <c r="Z575" s="568">
        <v>0.05</v>
      </c>
      <c r="AA575" s="568">
        <v>0.05</v>
      </c>
      <c r="AB575" s="568">
        <v>0.05</v>
      </c>
      <c r="AC575" s="568">
        <v>0.05</v>
      </c>
    </row>
    <row r="576" spans="1:29">
      <c r="A576" s="74"/>
      <c r="E576" s="90"/>
      <c r="F576" s="90"/>
      <c r="G576" s="90"/>
      <c r="H576" s="90"/>
    </row>
    <row r="577" spans="1:29" ht="12" thickBot="1">
      <c r="A577" s="74"/>
      <c r="E577" s="90"/>
      <c r="F577" s="90"/>
      <c r="G577" s="90"/>
      <c r="H577" s="90"/>
    </row>
    <row r="578" spans="1:29" ht="12.75" thickTop="1" thickBot="1">
      <c r="A578" s="356"/>
      <c r="B578" s="304"/>
      <c r="C578" s="304"/>
      <c r="D578" s="304"/>
      <c r="E578" s="380"/>
      <c r="F578" s="380"/>
      <c r="G578" s="380"/>
      <c r="H578" s="380"/>
      <c r="I578" s="304"/>
      <c r="J578" s="304"/>
      <c r="K578" s="304"/>
      <c r="L578" s="304"/>
      <c r="M578" s="304"/>
      <c r="N578" s="304"/>
      <c r="O578" s="304"/>
      <c r="P578" s="304"/>
      <c r="Q578" s="304"/>
      <c r="R578" s="304"/>
      <c r="S578" s="304"/>
      <c r="T578" s="304"/>
      <c r="U578" s="304"/>
      <c r="V578" s="304"/>
      <c r="W578" s="304"/>
      <c r="X578" s="304"/>
      <c r="Y578" s="304"/>
      <c r="Z578" s="304"/>
      <c r="AA578" s="304"/>
      <c r="AB578" s="304"/>
      <c r="AC578" s="304"/>
    </row>
    <row r="579" spans="1:29" ht="12.75" thickTop="1" thickBot="1">
      <c r="A579" s="337" t="s">
        <v>872</v>
      </c>
      <c r="E579" s="19"/>
      <c r="H579" s="137" t="str">
        <f ca="1">TEXT(C326,"0")&amp;" M"</f>
        <v>6 M</v>
      </c>
      <c r="I579" s="138" t="str">
        <f ca="1">TEXT(C329,"0")&amp;" M"</f>
        <v>6 M</v>
      </c>
    </row>
    <row r="580" spans="1:29" ht="12.75" thickTop="1" thickBot="1">
      <c r="A580" s="71" t="s">
        <v>873</v>
      </c>
      <c r="B580" s="307">
        <f>E331</f>
        <v>36525</v>
      </c>
      <c r="C580"/>
      <c r="E580" s="73">
        <f>F580-1</f>
        <v>1996</v>
      </c>
      <c r="F580" s="73">
        <f>G580-1</f>
        <v>1997</v>
      </c>
      <c r="G580" s="73">
        <f>H580-1</f>
        <v>1998</v>
      </c>
      <c r="H580" s="674">
        <f>YEAR(E331)</f>
        <v>1999</v>
      </c>
      <c r="I580" s="675">
        <f>H580</f>
        <v>1999</v>
      </c>
      <c r="J580" s="140">
        <f t="shared" ref="J580:S580" si="475">I580+1</f>
        <v>2000</v>
      </c>
      <c r="K580" s="140">
        <f t="shared" si="475"/>
        <v>2001</v>
      </c>
      <c r="L580" s="140">
        <f t="shared" si="475"/>
        <v>2002</v>
      </c>
      <c r="M580" s="140">
        <f t="shared" si="475"/>
        <v>2003</v>
      </c>
      <c r="N580" s="140">
        <f t="shared" si="475"/>
        <v>2004</v>
      </c>
      <c r="O580" s="140">
        <f t="shared" si="475"/>
        <v>2005</v>
      </c>
      <c r="P580" s="140">
        <f t="shared" si="475"/>
        <v>2006</v>
      </c>
      <c r="Q580" s="140">
        <f t="shared" si="475"/>
        <v>2007</v>
      </c>
      <c r="R580" s="140">
        <f t="shared" si="475"/>
        <v>2008</v>
      </c>
      <c r="S580" s="140">
        <f t="shared" si="475"/>
        <v>2009</v>
      </c>
      <c r="T580" s="140">
        <f t="shared" ref="T580:AC580" si="476">S580+1</f>
        <v>2010</v>
      </c>
      <c r="U580" s="140">
        <f t="shared" si="476"/>
        <v>2011</v>
      </c>
      <c r="V580" s="140">
        <f t="shared" si="476"/>
        <v>2012</v>
      </c>
      <c r="W580" s="140">
        <f t="shared" si="476"/>
        <v>2013</v>
      </c>
      <c r="X580" s="140">
        <f t="shared" si="476"/>
        <v>2014</v>
      </c>
      <c r="Y580" s="140">
        <f t="shared" si="476"/>
        <v>2015</v>
      </c>
      <c r="Z580" s="140">
        <f t="shared" si="476"/>
        <v>2016</v>
      </c>
      <c r="AA580" s="140">
        <f t="shared" si="476"/>
        <v>2017</v>
      </c>
      <c r="AB580" s="140">
        <f t="shared" si="476"/>
        <v>2018</v>
      </c>
      <c r="AC580" s="140">
        <f t="shared" si="476"/>
        <v>2019</v>
      </c>
    </row>
    <row r="581" spans="1:29" ht="12" thickTop="1">
      <c r="A581" s="19" t="s">
        <v>874</v>
      </c>
      <c r="B581" s="139"/>
      <c r="C581"/>
      <c r="E581" s="167"/>
      <c r="F581" s="167"/>
      <c r="G581" s="167"/>
      <c r="H581" s="282"/>
      <c r="I581" s="289"/>
      <c r="J581" s="281"/>
      <c r="K581" s="281"/>
      <c r="L581" s="281"/>
      <c r="M581" s="281"/>
      <c r="N581" s="281"/>
      <c r="O581" s="281"/>
      <c r="P581" s="281"/>
      <c r="Q581" s="281"/>
      <c r="R581" s="281"/>
      <c r="S581" s="281"/>
      <c r="T581" s="281"/>
      <c r="U581" s="281"/>
      <c r="V581" s="281"/>
      <c r="W581" s="281"/>
      <c r="X581" s="281"/>
      <c r="Y581" s="281"/>
      <c r="Z581" s="281"/>
      <c r="AA581" s="281"/>
      <c r="AB581" s="281"/>
      <c r="AC581" s="281"/>
    </row>
    <row r="582" spans="1:29">
      <c r="A582" s="306" t="s">
        <v>875</v>
      </c>
      <c r="B582" s="71"/>
      <c r="C582" s="139"/>
      <c r="E582" s="305">
        <f t="shared" ref="E582:AC582" si="477">E938</f>
        <v>0</v>
      </c>
      <c r="F582" s="305">
        <f t="shared" si="477"/>
        <v>0</v>
      </c>
      <c r="G582" s="305">
        <f t="shared" si="477"/>
        <v>0</v>
      </c>
      <c r="H582" s="305">
        <f t="shared" si="477"/>
        <v>0</v>
      </c>
      <c r="I582" s="305">
        <f t="shared" si="477"/>
        <v>-515.87756577331356</v>
      </c>
      <c r="J582" s="305">
        <f t="shared" ca="1" si="477"/>
        <v>6790.5296238597939</v>
      </c>
      <c r="K582" s="305">
        <f t="shared" ca="1" si="477"/>
        <v>5417.5924313748037</v>
      </c>
      <c r="L582" s="305">
        <f t="shared" ca="1" si="477"/>
        <v>4984.6004151312054</v>
      </c>
      <c r="M582" s="305">
        <f t="shared" ca="1" si="477"/>
        <v>4628.8143001151384</v>
      </c>
      <c r="N582" s="305">
        <f t="shared" ca="1" si="477"/>
        <v>4178.0147730888311</v>
      </c>
      <c r="O582" s="305">
        <f t="shared" ca="1" si="477"/>
        <v>3639.3785476709422</v>
      </c>
      <c r="P582" s="305">
        <f t="shared" ca="1" si="477"/>
        <v>3122.9489386656724</v>
      </c>
      <c r="Q582" s="305">
        <f t="shared" ca="1" si="477"/>
        <v>2732.3324514220212</v>
      </c>
      <c r="R582" s="305">
        <f t="shared" ca="1" si="477"/>
        <v>2374.1924905099418</v>
      </c>
      <c r="S582" s="305">
        <f t="shared" ca="1" si="477"/>
        <v>2069.4848242550606</v>
      </c>
      <c r="T582" s="305">
        <f t="shared" ca="1" si="477"/>
        <v>1805.7362655736702</v>
      </c>
      <c r="U582" s="305">
        <f t="shared" ca="1" si="477"/>
        <v>1585.0876602653127</v>
      </c>
      <c r="V582" s="305">
        <f t="shared" ca="1" si="477"/>
        <v>1369.8736788234223</v>
      </c>
      <c r="W582" s="305">
        <f t="shared" ca="1" si="477"/>
        <v>1184.6961665649494</v>
      </c>
      <c r="X582" s="305">
        <f t="shared" ca="1" si="477"/>
        <v>1016.5665713882831</v>
      </c>
      <c r="Y582" s="305">
        <f t="shared" ca="1" si="477"/>
        <v>848.49570511276215</v>
      </c>
      <c r="Z582" s="305">
        <f t="shared" ca="1" si="477"/>
        <v>659.69668918480602</v>
      </c>
      <c r="AA582" s="305">
        <f t="shared" ca="1" si="477"/>
        <v>534.30737633167575</v>
      </c>
      <c r="AB582" s="305">
        <f t="shared" ca="1" si="477"/>
        <v>435.24692068599745</v>
      </c>
      <c r="AC582" s="305">
        <f t="shared" ca="1" si="477"/>
        <v>380.6115233955872</v>
      </c>
    </row>
    <row r="583" spans="1:29">
      <c r="A583" s="229" t="s">
        <v>876</v>
      </c>
      <c r="B583" s="71"/>
      <c r="C583" s="139"/>
      <c r="E583" s="141"/>
      <c r="F583" s="141"/>
      <c r="G583"/>
      <c r="H583" s="614"/>
      <c r="I583" s="614">
        <f t="shared" ref="I583:AC583" si="478">I493</f>
        <v>0</v>
      </c>
      <c r="J583" s="614">
        <f t="shared" si="478"/>
        <v>0</v>
      </c>
      <c r="K583" s="614">
        <f t="shared" si="478"/>
        <v>0</v>
      </c>
      <c r="L583" s="614">
        <f t="shared" si="478"/>
        <v>0</v>
      </c>
      <c r="M583" s="614">
        <f t="shared" si="478"/>
        <v>0</v>
      </c>
      <c r="N583" s="614">
        <f t="shared" si="478"/>
        <v>0</v>
      </c>
      <c r="O583" s="614">
        <f t="shared" si="478"/>
        <v>0</v>
      </c>
      <c r="P583" s="614">
        <f t="shared" si="478"/>
        <v>0</v>
      </c>
      <c r="Q583" s="614">
        <f t="shared" si="478"/>
        <v>0</v>
      </c>
      <c r="R583" s="614">
        <f t="shared" si="478"/>
        <v>0</v>
      </c>
      <c r="S583" s="614">
        <f t="shared" si="478"/>
        <v>0</v>
      </c>
      <c r="T583" s="614">
        <f t="shared" si="478"/>
        <v>0</v>
      </c>
      <c r="U583" s="614">
        <f t="shared" si="478"/>
        <v>0</v>
      </c>
      <c r="V583" s="614">
        <f t="shared" si="478"/>
        <v>0</v>
      </c>
      <c r="W583" s="614">
        <f t="shared" si="478"/>
        <v>0</v>
      </c>
      <c r="X583" s="614">
        <f t="shared" si="478"/>
        <v>0</v>
      </c>
      <c r="Y583" s="614">
        <f t="shared" si="478"/>
        <v>0</v>
      </c>
      <c r="Z583" s="614">
        <f t="shared" si="478"/>
        <v>0</v>
      </c>
      <c r="AA583" s="614">
        <f t="shared" si="478"/>
        <v>0</v>
      </c>
      <c r="AB583" s="614">
        <f t="shared" si="478"/>
        <v>0</v>
      </c>
      <c r="AC583" s="614">
        <f t="shared" si="478"/>
        <v>0</v>
      </c>
    </row>
    <row r="584" spans="1:29">
      <c r="A584" s="83" t="s">
        <v>877</v>
      </c>
      <c r="D584" s="89"/>
      <c r="E584" s="142">
        <f>E582</f>
        <v>0</v>
      </c>
      <c r="F584" s="142">
        <f>F582</f>
        <v>0</v>
      </c>
      <c r="G584" s="142">
        <f>G582</f>
        <v>0</v>
      </c>
      <c r="H584" s="142">
        <f>H582</f>
        <v>0</v>
      </c>
      <c r="I584" s="142">
        <f t="shared" ref="I584:R584" si="479">I582+I583</f>
        <v>-515.87756577331356</v>
      </c>
      <c r="J584" s="142">
        <f t="shared" ca="1" si="479"/>
        <v>6790.5296238597939</v>
      </c>
      <c r="K584" s="142">
        <f t="shared" ca="1" si="479"/>
        <v>5417.5924313748037</v>
      </c>
      <c r="L584" s="142">
        <f t="shared" ca="1" si="479"/>
        <v>4984.6004151312054</v>
      </c>
      <c r="M584" s="142">
        <f t="shared" ca="1" si="479"/>
        <v>4628.8143001151384</v>
      </c>
      <c r="N584" s="142">
        <f t="shared" ca="1" si="479"/>
        <v>4178.0147730888311</v>
      </c>
      <c r="O584" s="142">
        <f t="shared" ca="1" si="479"/>
        <v>3639.3785476709422</v>
      </c>
      <c r="P584" s="142">
        <f t="shared" ca="1" si="479"/>
        <v>3122.9489386656724</v>
      </c>
      <c r="Q584" s="142">
        <f t="shared" ca="1" si="479"/>
        <v>2732.3324514220212</v>
      </c>
      <c r="R584" s="142">
        <f t="shared" ca="1" si="479"/>
        <v>2374.1924905099418</v>
      </c>
      <c r="S584" s="142">
        <f t="shared" ref="S584:AC584" ca="1" si="480">S582+S583</f>
        <v>2069.4848242550606</v>
      </c>
      <c r="T584" s="142">
        <f t="shared" ca="1" si="480"/>
        <v>1805.7362655736702</v>
      </c>
      <c r="U584" s="142">
        <f t="shared" ca="1" si="480"/>
        <v>1585.0876602653127</v>
      </c>
      <c r="V584" s="142">
        <f t="shared" ca="1" si="480"/>
        <v>1369.8736788234223</v>
      </c>
      <c r="W584" s="142">
        <f t="shared" ca="1" si="480"/>
        <v>1184.6961665649494</v>
      </c>
      <c r="X584" s="142">
        <f t="shared" ca="1" si="480"/>
        <v>1016.5665713882831</v>
      </c>
      <c r="Y584" s="142">
        <f t="shared" ca="1" si="480"/>
        <v>848.49570511276215</v>
      </c>
      <c r="Z584" s="142">
        <f t="shared" ca="1" si="480"/>
        <v>659.69668918480602</v>
      </c>
      <c r="AA584" s="142">
        <f t="shared" ca="1" si="480"/>
        <v>534.30737633167575</v>
      </c>
      <c r="AB584" s="142">
        <f t="shared" ca="1" si="480"/>
        <v>435.24692068599745</v>
      </c>
      <c r="AC584" s="142">
        <f t="shared" ca="1" si="480"/>
        <v>380.6115233955872</v>
      </c>
    </row>
    <row r="585" spans="1:29">
      <c r="A585" s="74" t="s">
        <v>878</v>
      </c>
      <c r="D585" s="55"/>
      <c r="E585" s="76" t="str">
        <f>IF(D584=0,"NA",(E584-D584)/D584)</f>
        <v>NA</v>
      </c>
      <c r="F585" s="76" t="str">
        <f>IF(ISERR((F584-E584)/E584),"NA",(F584-E584)/E584)</f>
        <v>NA</v>
      </c>
      <c r="G585" s="76" t="str">
        <f>IF(ISERR((G584-F584)/F584),"NA",(G584-F584)/F584)</f>
        <v>NA</v>
      </c>
      <c r="H585" s="76" t="str">
        <f ca="1">IF(OR(H584&gt;100,H584&lt;1),"NA",(H584/C325-G584)/(G584))</f>
        <v>NA</v>
      </c>
      <c r="I585" s="76" t="str">
        <f>IF(ISERR((H584+I584-G584)/G584),"NA",(H584+I584-G584)/G584)</f>
        <v>NA</v>
      </c>
      <c r="J585" s="76">
        <f ca="1">IF(ISERR((J584-(H584+I584))/(H584+I584)),"NA",(J584-(H584+I584))/(H584+I584))</f>
        <v>-14.163064405951863</v>
      </c>
      <c r="K585" s="76">
        <f t="shared" ref="K585:T585" ca="1" si="481">IF(ISERR((K584-J584)/J584),"NA",(K584-J584)/J584)</f>
        <v>-0.20218411059734118</v>
      </c>
      <c r="L585" s="76">
        <f t="shared" ca="1" si="481"/>
        <v>-7.9923327885652595E-2</v>
      </c>
      <c r="M585" s="76">
        <f t="shared" ca="1" si="481"/>
        <v>-7.1377058416968814E-2</v>
      </c>
      <c r="N585" s="76">
        <f t="shared" ca="1" si="481"/>
        <v>-9.7389849278484542E-2</v>
      </c>
      <c r="O585" s="76">
        <f t="shared" ca="1" si="481"/>
        <v>-0.12892157033223509</v>
      </c>
      <c r="P585" s="76">
        <f t="shared" ca="1" si="481"/>
        <v>-0.14190049269146907</v>
      </c>
      <c r="Q585" s="76">
        <f t="shared" ca="1" si="481"/>
        <v>-0.12507937046532308</v>
      </c>
      <c r="R585" s="76">
        <f t="shared" ca="1" si="481"/>
        <v>-0.13107481145849886</v>
      </c>
      <c r="S585" s="76">
        <f t="shared" ca="1" si="481"/>
        <v>-0.12834160139620118</v>
      </c>
      <c r="T585" s="76">
        <f t="shared" ca="1" si="481"/>
        <v>-0.12744648116776133</v>
      </c>
      <c r="U585" s="76">
        <f t="shared" ref="U585:AC585" ca="1" si="482">IF(ISERR((U584-T584)/T584),"NA",(U584-T584)/T584)</f>
        <v>-0.12219315163294839</v>
      </c>
      <c r="V585" s="76">
        <f t="shared" ca="1" si="482"/>
        <v>-0.13577418261263088</v>
      </c>
      <c r="W585" s="76">
        <f t="shared" ca="1" si="482"/>
        <v>-0.13517853151067255</v>
      </c>
      <c r="X585" s="76">
        <f t="shared" ca="1" si="482"/>
        <v>-0.14191790259958503</v>
      </c>
      <c r="Y585" s="76">
        <f t="shared" ca="1" si="482"/>
        <v>-0.16533188381946645</v>
      </c>
      <c r="Z585" s="76">
        <f t="shared" ca="1" si="482"/>
        <v>-0.22251027882676835</v>
      </c>
      <c r="AA585" s="76">
        <f t="shared" ca="1" si="482"/>
        <v>-0.1900711568040081</v>
      </c>
      <c r="AB585" s="76">
        <f t="shared" ca="1" si="482"/>
        <v>-0.18539975308928863</v>
      </c>
      <c r="AC585" s="76">
        <f t="shared" ca="1" si="482"/>
        <v>-0.1255273608927521</v>
      </c>
    </row>
    <row r="586" spans="1:29">
      <c r="A586" s="74"/>
    </row>
    <row r="587" spans="1:29">
      <c r="A587" s="19" t="s">
        <v>774</v>
      </c>
      <c r="G587" s="89"/>
    </row>
    <row r="588" spans="1:29">
      <c r="A588" s="83" t="s">
        <v>879</v>
      </c>
      <c r="E588" s="554">
        <v>0</v>
      </c>
      <c r="F588" s="554">
        <v>0</v>
      </c>
      <c r="G588" s="554">
        <v>0</v>
      </c>
      <c r="H588" s="554">
        <v>0</v>
      </c>
      <c r="I588" s="554">
        <v>0</v>
      </c>
      <c r="J588" s="554">
        <v>0</v>
      </c>
      <c r="K588" s="554">
        <v>0</v>
      </c>
      <c r="L588" s="554">
        <v>0</v>
      </c>
      <c r="M588" s="554">
        <v>0</v>
      </c>
      <c r="N588" s="554">
        <v>0</v>
      </c>
      <c r="O588" s="554">
        <v>0</v>
      </c>
      <c r="P588" s="554">
        <v>0</v>
      </c>
      <c r="Q588" s="554">
        <v>0</v>
      </c>
      <c r="R588" s="554">
        <v>0</v>
      </c>
      <c r="S588" s="554">
        <v>0</v>
      </c>
      <c r="T588" s="554">
        <v>0</v>
      </c>
      <c r="U588" s="554">
        <v>0</v>
      </c>
      <c r="V588" s="554">
        <v>0</v>
      </c>
      <c r="W588" s="554">
        <v>0</v>
      </c>
      <c r="X588" s="554">
        <v>0</v>
      </c>
      <c r="Y588" s="554">
        <v>0</v>
      </c>
      <c r="Z588" s="554">
        <v>0</v>
      </c>
      <c r="AA588" s="554">
        <v>0</v>
      </c>
      <c r="AB588" s="554">
        <v>0</v>
      </c>
      <c r="AC588" s="554">
        <v>0</v>
      </c>
    </row>
    <row r="589" spans="1:29">
      <c r="A589" s="74" t="s">
        <v>880</v>
      </c>
      <c r="D589" s="89"/>
      <c r="E589" s="89"/>
      <c r="F589" s="89"/>
      <c r="G589"/>
      <c r="H589" s="89"/>
      <c r="I589" s="90">
        <f ca="1">$K$396/40*C328</f>
        <v>0</v>
      </c>
      <c r="J589" s="90">
        <f t="shared" ref="J589:S589" si="483">$K$396/40</f>
        <v>0</v>
      </c>
      <c r="K589" s="90">
        <f t="shared" si="483"/>
        <v>0</v>
      </c>
      <c r="L589" s="90">
        <f t="shared" si="483"/>
        <v>0</v>
      </c>
      <c r="M589" s="90">
        <f t="shared" si="483"/>
        <v>0</v>
      </c>
      <c r="N589" s="90">
        <f t="shared" si="483"/>
        <v>0</v>
      </c>
      <c r="O589" s="90">
        <f t="shared" si="483"/>
        <v>0</v>
      </c>
      <c r="P589" s="90">
        <f t="shared" si="483"/>
        <v>0</v>
      </c>
      <c r="Q589" s="90">
        <f t="shared" si="483"/>
        <v>0</v>
      </c>
      <c r="R589" s="90">
        <f t="shared" si="483"/>
        <v>0</v>
      </c>
      <c r="S589" s="90">
        <f t="shared" si="483"/>
        <v>0</v>
      </c>
      <c r="T589" s="90">
        <f t="shared" ref="T589:AC589" si="484">$K$396/40</f>
        <v>0</v>
      </c>
      <c r="U589" s="90">
        <f t="shared" si="484"/>
        <v>0</v>
      </c>
      <c r="V589" s="90">
        <f t="shared" si="484"/>
        <v>0</v>
      </c>
      <c r="W589" s="90">
        <f t="shared" si="484"/>
        <v>0</v>
      </c>
      <c r="X589" s="90">
        <f t="shared" si="484"/>
        <v>0</v>
      </c>
      <c r="Y589" s="90">
        <f t="shared" si="484"/>
        <v>0</v>
      </c>
      <c r="Z589" s="90">
        <f t="shared" si="484"/>
        <v>0</v>
      </c>
      <c r="AA589" s="90">
        <f t="shared" si="484"/>
        <v>0</v>
      </c>
      <c r="AB589" s="90">
        <f t="shared" si="484"/>
        <v>0</v>
      </c>
      <c r="AC589" s="90">
        <f t="shared" si="484"/>
        <v>0</v>
      </c>
    </row>
    <row r="590" spans="1:29">
      <c r="A590" s="74" t="s">
        <v>881</v>
      </c>
      <c r="D590" s="89"/>
      <c r="E590" s="89"/>
      <c r="F590" s="89"/>
      <c r="G590" s="89"/>
      <c r="H590" s="89"/>
      <c r="I590" s="90">
        <f t="shared" ref="I590:AC590" ca="1" si="485">I383</f>
        <v>0</v>
      </c>
      <c r="J590" s="90">
        <f t="shared" ca="1" si="485"/>
        <v>0</v>
      </c>
      <c r="K590" s="90">
        <f t="shared" si="485"/>
        <v>0</v>
      </c>
      <c r="L590" s="90">
        <f t="shared" si="485"/>
        <v>0</v>
      </c>
      <c r="M590" s="90">
        <f t="shared" si="485"/>
        <v>0</v>
      </c>
      <c r="N590" s="90">
        <f t="shared" si="485"/>
        <v>0</v>
      </c>
      <c r="O590" s="90">
        <f t="shared" si="485"/>
        <v>0</v>
      </c>
      <c r="P590" s="90">
        <f t="shared" ca="1" si="485"/>
        <v>0</v>
      </c>
      <c r="Q590" s="90">
        <f t="shared" ca="1" si="485"/>
        <v>0</v>
      </c>
      <c r="R590" s="90">
        <f t="shared" si="485"/>
        <v>0</v>
      </c>
      <c r="S590" s="90">
        <f t="shared" ca="1" si="485"/>
        <v>0</v>
      </c>
      <c r="T590" s="90">
        <f t="shared" si="485"/>
        <v>0</v>
      </c>
      <c r="U590" s="90">
        <f t="shared" si="485"/>
        <v>0</v>
      </c>
      <c r="V590" s="90">
        <f t="shared" si="485"/>
        <v>0</v>
      </c>
      <c r="W590" s="90">
        <f t="shared" si="485"/>
        <v>0</v>
      </c>
      <c r="X590" s="90">
        <f t="shared" si="485"/>
        <v>0</v>
      </c>
      <c r="Y590" s="90">
        <f t="shared" si="485"/>
        <v>0</v>
      </c>
      <c r="Z590" s="90">
        <f t="shared" si="485"/>
        <v>0</v>
      </c>
      <c r="AA590" s="90">
        <f t="shared" si="485"/>
        <v>0</v>
      </c>
      <c r="AB590" s="90">
        <f t="shared" si="485"/>
        <v>0</v>
      </c>
      <c r="AC590" s="90">
        <f t="shared" si="485"/>
        <v>0</v>
      </c>
    </row>
    <row r="591" spans="1:29">
      <c r="A591" s="83" t="s">
        <v>882</v>
      </c>
      <c r="D591" s="144"/>
      <c r="E591" s="309">
        <f t="shared" ref="E591:AC591" si="486">E948</f>
        <v>0</v>
      </c>
      <c r="F591" s="309">
        <f t="shared" si="486"/>
        <v>0</v>
      </c>
      <c r="G591" s="309">
        <f t="shared" si="486"/>
        <v>0</v>
      </c>
      <c r="H591" s="309">
        <f t="shared" si="486"/>
        <v>0</v>
      </c>
      <c r="I591" s="309">
        <f t="shared" si="486"/>
        <v>0</v>
      </c>
      <c r="J591" s="309">
        <f t="shared" si="486"/>
        <v>0</v>
      </c>
      <c r="K591" s="309">
        <f t="shared" si="486"/>
        <v>0</v>
      </c>
      <c r="L591" s="309">
        <f t="shared" si="486"/>
        <v>0</v>
      </c>
      <c r="M591" s="309">
        <f t="shared" si="486"/>
        <v>0</v>
      </c>
      <c r="N591" s="309">
        <f t="shared" si="486"/>
        <v>0</v>
      </c>
      <c r="O591" s="309">
        <f t="shared" si="486"/>
        <v>0</v>
      </c>
      <c r="P591" s="309">
        <f t="shared" si="486"/>
        <v>0</v>
      </c>
      <c r="Q591" s="309">
        <f t="shared" si="486"/>
        <v>0</v>
      </c>
      <c r="R591" s="309">
        <f t="shared" si="486"/>
        <v>0</v>
      </c>
      <c r="S591" s="309">
        <f t="shared" si="486"/>
        <v>0</v>
      </c>
      <c r="T591" s="309">
        <f t="shared" si="486"/>
        <v>0</v>
      </c>
      <c r="U591" s="309">
        <f t="shared" si="486"/>
        <v>0</v>
      </c>
      <c r="V591" s="309">
        <f t="shared" si="486"/>
        <v>0</v>
      </c>
      <c r="W591" s="309">
        <f t="shared" si="486"/>
        <v>0</v>
      </c>
      <c r="X591" s="309">
        <f t="shared" si="486"/>
        <v>0</v>
      </c>
      <c r="Y591" s="309">
        <f t="shared" si="486"/>
        <v>0</v>
      </c>
      <c r="Z591" s="309">
        <f t="shared" si="486"/>
        <v>0</v>
      </c>
      <c r="AA591" s="309">
        <f t="shared" si="486"/>
        <v>0</v>
      </c>
      <c r="AB591" s="309">
        <f t="shared" si="486"/>
        <v>0</v>
      </c>
      <c r="AC591" s="309">
        <f t="shared" si="486"/>
        <v>0</v>
      </c>
    </row>
    <row r="592" spans="1:29">
      <c r="A592" s="74" t="s">
        <v>658</v>
      </c>
      <c r="D592" s="144"/>
      <c r="E592" s="353">
        <f t="shared" ref="E592:N592" si="487">E631+E632</f>
        <v>0</v>
      </c>
      <c r="F592" s="353">
        <f t="shared" si="487"/>
        <v>0</v>
      </c>
      <c r="G592" s="353">
        <f t="shared" si="487"/>
        <v>0</v>
      </c>
      <c r="H592" s="353">
        <f t="shared" si="487"/>
        <v>0</v>
      </c>
      <c r="I592" s="353">
        <f t="shared" si="487"/>
        <v>0</v>
      </c>
      <c r="J592" s="353">
        <f t="shared" si="487"/>
        <v>0</v>
      </c>
      <c r="K592" s="353">
        <f t="shared" si="487"/>
        <v>0</v>
      </c>
      <c r="L592" s="353">
        <f t="shared" si="487"/>
        <v>0</v>
      </c>
      <c r="M592" s="353">
        <f t="shared" si="487"/>
        <v>0</v>
      </c>
      <c r="N592" s="353">
        <f t="shared" si="487"/>
        <v>0</v>
      </c>
      <c r="O592" s="353">
        <f t="shared" ref="O592:AC592" si="488">O631+O632</f>
        <v>0</v>
      </c>
      <c r="P592" s="353">
        <f t="shared" si="488"/>
        <v>0</v>
      </c>
      <c r="Q592" s="353">
        <f t="shared" si="488"/>
        <v>0</v>
      </c>
      <c r="R592" s="353">
        <f t="shared" si="488"/>
        <v>0</v>
      </c>
      <c r="S592" s="353">
        <f t="shared" si="488"/>
        <v>0</v>
      </c>
      <c r="T592" s="353">
        <f t="shared" si="488"/>
        <v>0</v>
      </c>
      <c r="U592" s="353">
        <f t="shared" si="488"/>
        <v>0</v>
      </c>
      <c r="V592" s="353">
        <f t="shared" si="488"/>
        <v>0</v>
      </c>
      <c r="W592" s="353">
        <f t="shared" si="488"/>
        <v>0</v>
      </c>
      <c r="X592" s="353">
        <f t="shared" si="488"/>
        <v>0</v>
      </c>
      <c r="Y592" s="353">
        <f t="shared" si="488"/>
        <v>0</v>
      </c>
      <c r="Z592" s="353">
        <f t="shared" si="488"/>
        <v>0</v>
      </c>
      <c r="AA592" s="353">
        <f t="shared" si="488"/>
        <v>0</v>
      </c>
      <c r="AB592" s="353">
        <f t="shared" si="488"/>
        <v>0</v>
      </c>
      <c r="AC592" s="353">
        <f t="shared" si="488"/>
        <v>0</v>
      </c>
    </row>
    <row r="593" spans="1:33">
      <c r="A593" s="74" t="s">
        <v>883</v>
      </c>
      <c r="D593" s="89"/>
      <c r="E593" s="309">
        <f t="shared" ref="E593:N593" si="489">SUM(E588:E592)</f>
        <v>0</v>
      </c>
      <c r="F593" s="309">
        <f t="shared" si="489"/>
        <v>0</v>
      </c>
      <c r="G593" s="309">
        <f t="shared" si="489"/>
        <v>0</v>
      </c>
      <c r="H593" s="309">
        <f t="shared" si="489"/>
        <v>0</v>
      </c>
      <c r="I593" s="309">
        <f t="shared" ca="1" si="489"/>
        <v>0</v>
      </c>
      <c r="J593" s="309">
        <f t="shared" ca="1" si="489"/>
        <v>0</v>
      </c>
      <c r="K593" s="309">
        <f t="shared" si="489"/>
        <v>0</v>
      </c>
      <c r="L593" s="309">
        <f t="shared" si="489"/>
        <v>0</v>
      </c>
      <c r="M593" s="309">
        <f t="shared" si="489"/>
        <v>0</v>
      </c>
      <c r="N593" s="309">
        <f t="shared" si="489"/>
        <v>0</v>
      </c>
      <c r="O593" s="309">
        <f t="shared" ref="O593:AC593" si="490">SUM(O588:O592)</f>
        <v>0</v>
      </c>
      <c r="P593" s="309">
        <f t="shared" ca="1" si="490"/>
        <v>0</v>
      </c>
      <c r="Q593" s="309">
        <f t="shared" ca="1" si="490"/>
        <v>0</v>
      </c>
      <c r="R593" s="309">
        <f t="shared" si="490"/>
        <v>0</v>
      </c>
      <c r="S593" s="309">
        <f t="shared" ca="1" si="490"/>
        <v>0</v>
      </c>
      <c r="T593" s="309">
        <f t="shared" si="490"/>
        <v>0</v>
      </c>
      <c r="U593" s="309">
        <f t="shared" si="490"/>
        <v>0</v>
      </c>
      <c r="V593" s="309">
        <f t="shared" si="490"/>
        <v>0</v>
      </c>
      <c r="W593" s="309">
        <f t="shared" si="490"/>
        <v>0</v>
      </c>
      <c r="X593" s="309">
        <f t="shared" si="490"/>
        <v>0</v>
      </c>
      <c r="Y593" s="309">
        <f t="shared" si="490"/>
        <v>0</v>
      </c>
      <c r="Z593" s="309">
        <f t="shared" si="490"/>
        <v>0</v>
      </c>
      <c r="AA593" s="309">
        <f t="shared" si="490"/>
        <v>0</v>
      </c>
      <c r="AB593" s="309">
        <f t="shared" si="490"/>
        <v>0</v>
      </c>
      <c r="AC593" s="309">
        <f t="shared" si="490"/>
        <v>0</v>
      </c>
    </row>
    <row r="594" spans="1:33">
      <c r="A594" s="74"/>
      <c r="D594" s="89"/>
      <c r="E594" s="89"/>
      <c r="F594" s="89"/>
      <c r="G594" s="89"/>
      <c r="H594" s="89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</row>
    <row r="595" spans="1:33">
      <c r="A595" s="19" t="s">
        <v>660</v>
      </c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  <c r="AB595" s="89"/>
      <c r="AC595" s="89"/>
    </row>
    <row r="596" spans="1:33">
      <c r="A596" s="83" t="s">
        <v>884</v>
      </c>
      <c r="B596" s="74"/>
      <c r="E596" s="554">
        <v>0</v>
      </c>
      <c r="F596" s="554">
        <v>0</v>
      </c>
      <c r="G596" s="554">
        <v>0</v>
      </c>
      <c r="H596" s="554">
        <v>0</v>
      </c>
      <c r="I596" s="554">
        <v>0</v>
      </c>
      <c r="J596" s="554">
        <v>0</v>
      </c>
      <c r="K596" s="554">
        <v>0</v>
      </c>
      <c r="L596" s="554">
        <v>0</v>
      </c>
      <c r="M596" s="554">
        <v>0</v>
      </c>
      <c r="N596" s="554">
        <v>0</v>
      </c>
      <c r="O596" s="554">
        <v>0</v>
      </c>
      <c r="P596" s="554">
        <v>0</v>
      </c>
      <c r="Q596" s="554">
        <v>0</v>
      </c>
      <c r="R596" s="554">
        <v>0</v>
      </c>
      <c r="S596" s="554">
        <v>0</v>
      </c>
      <c r="T596" s="554">
        <v>0</v>
      </c>
      <c r="U596" s="554">
        <v>0</v>
      </c>
      <c r="V596" s="554">
        <v>0</v>
      </c>
      <c r="W596" s="554">
        <v>0</v>
      </c>
      <c r="X596" s="554">
        <v>0</v>
      </c>
      <c r="Y596" s="554">
        <v>0</v>
      </c>
      <c r="Z596" s="554">
        <v>0</v>
      </c>
      <c r="AA596" s="554">
        <v>0</v>
      </c>
      <c r="AB596" s="554">
        <v>0</v>
      </c>
      <c r="AC596" s="554">
        <v>0</v>
      </c>
    </row>
    <row r="597" spans="1:33">
      <c r="A597" s="74"/>
      <c r="E597" s="90"/>
      <c r="F597" s="90"/>
      <c r="G597" s="90"/>
      <c r="H597" s="90"/>
    </row>
    <row r="598" spans="1:33" ht="12" thickBot="1">
      <c r="A598" s="74"/>
      <c r="E598" s="90"/>
      <c r="F598" s="90"/>
      <c r="G598" s="90"/>
      <c r="H598" s="90"/>
    </row>
    <row r="599" spans="1:33" ht="12.75" thickTop="1" thickBot="1">
      <c r="A599" s="304"/>
      <c r="B599" s="304"/>
      <c r="C599" s="304"/>
      <c r="D599" s="304"/>
      <c r="E599" s="304"/>
      <c r="F599" s="304"/>
      <c r="G599" s="304"/>
      <c r="H599" s="304"/>
      <c r="I599" s="304"/>
      <c r="J599" s="304"/>
      <c r="K599" s="304"/>
      <c r="L599" s="304"/>
      <c r="M599" s="304"/>
      <c r="N599" s="304"/>
      <c r="O599" s="304"/>
      <c r="P599" s="304"/>
      <c r="Q599" s="304"/>
      <c r="R599" s="304"/>
      <c r="S599" s="304"/>
      <c r="T599" s="304"/>
      <c r="U599" s="304"/>
      <c r="V599" s="304"/>
      <c r="W599" s="304"/>
      <c r="X599" s="304"/>
      <c r="Y599" s="304"/>
      <c r="Z599" s="304"/>
      <c r="AA599" s="304"/>
      <c r="AB599" s="304"/>
      <c r="AC599" s="304"/>
    </row>
    <row r="600" spans="1:33" ht="12.75" thickTop="1" thickBot="1">
      <c r="A600" s="398" t="s">
        <v>885</v>
      </c>
      <c r="E600" s="73">
        <f>E580</f>
        <v>1996</v>
      </c>
      <c r="F600" s="73">
        <f>F580</f>
        <v>1997</v>
      </c>
      <c r="G600" s="73">
        <f>G580</f>
        <v>1998</v>
      </c>
      <c r="H600" s="86" t="str">
        <f ca="1">$H$579&amp;"/"&amp;TEXT($H$580,"0")</f>
        <v>6 M/1999</v>
      </c>
      <c r="I600" s="146" t="str">
        <f ca="1">$I$579&amp;"/"&amp;TEXT($I$580,"0")</f>
        <v>6 M/1999</v>
      </c>
      <c r="J600" s="140">
        <f t="shared" ref="J600:AC600" si="491">J580</f>
        <v>2000</v>
      </c>
      <c r="K600" s="140">
        <f t="shared" si="491"/>
        <v>2001</v>
      </c>
      <c r="L600" s="140">
        <f t="shared" si="491"/>
        <v>2002</v>
      </c>
      <c r="M600" s="140">
        <f t="shared" si="491"/>
        <v>2003</v>
      </c>
      <c r="N600" s="140">
        <f t="shared" si="491"/>
        <v>2004</v>
      </c>
      <c r="O600" s="140">
        <f t="shared" si="491"/>
        <v>2005</v>
      </c>
      <c r="P600" s="140">
        <f t="shared" si="491"/>
        <v>2006</v>
      </c>
      <c r="Q600" s="140">
        <f t="shared" si="491"/>
        <v>2007</v>
      </c>
      <c r="R600" s="140">
        <f t="shared" si="491"/>
        <v>2008</v>
      </c>
      <c r="S600" s="140">
        <f t="shared" si="491"/>
        <v>2009</v>
      </c>
      <c r="T600" s="140">
        <f t="shared" si="491"/>
        <v>2010</v>
      </c>
      <c r="U600" s="140">
        <f t="shared" si="491"/>
        <v>2011</v>
      </c>
      <c r="V600" s="140">
        <f t="shared" si="491"/>
        <v>2012</v>
      </c>
      <c r="W600" s="140">
        <f t="shared" si="491"/>
        <v>2013</v>
      </c>
      <c r="X600" s="140">
        <f t="shared" si="491"/>
        <v>2014</v>
      </c>
      <c r="Y600" s="140">
        <f t="shared" si="491"/>
        <v>2015</v>
      </c>
      <c r="Z600" s="140">
        <f t="shared" si="491"/>
        <v>2016</v>
      </c>
      <c r="AA600" s="140">
        <f t="shared" si="491"/>
        <v>2017</v>
      </c>
      <c r="AB600" s="140">
        <f t="shared" si="491"/>
        <v>2018</v>
      </c>
      <c r="AC600" s="140">
        <f t="shared" si="491"/>
        <v>2019</v>
      </c>
      <c r="AD600" s="85"/>
      <c r="AE600" s="85"/>
      <c r="AF600" s="85"/>
      <c r="AG600" s="85"/>
    </row>
    <row r="601" spans="1:33" ht="12" thickTop="1">
      <c r="A601" s="74" t="s">
        <v>886</v>
      </c>
      <c r="I601" s="554">
        <v>0</v>
      </c>
      <c r="J601" s="554">
        <v>0</v>
      </c>
      <c r="K601" s="554">
        <v>0</v>
      </c>
      <c r="L601" s="554">
        <v>0</v>
      </c>
      <c r="M601" s="554">
        <v>0</v>
      </c>
      <c r="N601" s="554">
        <v>0</v>
      </c>
      <c r="O601" s="554">
        <v>0</v>
      </c>
      <c r="P601" s="554">
        <v>0</v>
      </c>
      <c r="Q601" s="554">
        <v>0</v>
      </c>
      <c r="R601" s="554">
        <v>0</v>
      </c>
      <c r="S601" s="554">
        <v>0</v>
      </c>
      <c r="T601" s="554">
        <v>0</v>
      </c>
      <c r="U601" s="554">
        <v>0</v>
      </c>
      <c r="V601" s="554">
        <v>0</v>
      </c>
      <c r="W601" s="554">
        <v>0</v>
      </c>
      <c r="X601" s="554">
        <v>0</v>
      </c>
      <c r="Y601" s="554">
        <v>0</v>
      </c>
      <c r="Z601" s="554">
        <v>0</v>
      </c>
      <c r="AA601" s="554">
        <v>0</v>
      </c>
      <c r="AB601" s="554">
        <v>0</v>
      </c>
      <c r="AC601" s="554">
        <v>0</v>
      </c>
      <c r="AD601" s="85"/>
      <c r="AE601" s="85"/>
      <c r="AF601" s="85"/>
      <c r="AG601" s="85"/>
    </row>
    <row r="602" spans="1:33">
      <c r="A602" s="74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85"/>
      <c r="AE602" s="85"/>
      <c r="AF602" s="85"/>
      <c r="AG602" s="85"/>
    </row>
    <row r="603" spans="1:33">
      <c r="A603" s="83" t="s">
        <v>887</v>
      </c>
      <c r="I603" s="554">
        <v>0</v>
      </c>
      <c r="J603" s="554">
        <v>0</v>
      </c>
      <c r="K603" s="554">
        <v>0</v>
      </c>
      <c r="L603" s="554">
        <v>0</v>
      </c>
      <c r="M603" s="554">
        <v>0</v>
      </c>
      <c r="N603" s="554">
        <v>0</v>
      </c>
      <c r="O603" s="554">
        <v>0</v>
      </c>
      <c r="P603" s="554">
        <v>0</v>
      </c>
      <c r="Q603" s="554">
        <v>0</v>
      </c>
      <c r="R603" s="554">
        <v>0</v>
      </c>
      <c r="S603" s="554">
        <v>0</v>
      </c>
      <c r="T603" s="554">
        <v>0</v>
      </c>
      <c r="U603" s="554">
        <v>0</v>
      </c>
      <c r="V603" s="554">
        <v>0</v>
      </c>
      <c r="W603" s="554">
        <v>0</v>
      </c>
      <c r="X603" s="554">
        <v>0</v>
      </c>
      <c r="Y603" s="554">
        <v>0</v>
      </c>
      <c r="Z603" s="554">
        <v>0</v>
      </c>
      <c r="AA603" s="554">
        <v>0</v>
      </c>
      <c r="AB603" s="554">
        <v>0</v>
      </c>
      <c r="AC603" s="554">
        <v>0</v>
      </c>
      <c r="AD603" s="85"/>
      <c r="AE603" s="85"/>
      <c r="AF603" s="85"/>
      <c r="AG603" s="85"/>
    </row>
    <row r="604" spans="1:33">
      <c r="A604" s="83" t="s">
        <v>888</v>
      </c>
      <c r="I604" s="554">
        <v>0</v>
      </c>
      <c r="J604" s="554">
        <v>0</v>
      </c>
      <c r="K604" s="554">
        <v>0</v>
      </c>
      <c r="L604" s="554">
        <v>0</v>
      </c>
      <c r="M604" s="554">
        <v>0</v>
      </c>
      <c r="N604" s="554">
        <v>0</v>
      </c>
      <c r="O604" s="554">
        <v>0</v>
      </c>
      <c r="P604" s="554">
        <v>0</v>
      </c>
      <c r="Q604" s="554">
        <v>0</v>
      </c>
      <c r="R604" s="554">
        <v>0</v>
      </c>
      <c r="S604" s="554">
        <v>0</v>
      </c>
      <c r="T604" s="554">
        <v>0</v>
      </c>
      <c r="U604" s="554">
        <v>0</v>
      </c>
      <c r="V604" s="554">
        <v>0</v>
      </c>
      <c r="W604" s="554">
        <v>0</v>
      </c>
      <c r="X604" s="554">
        <v>0</v>
      </c>
      <c r="Y604" s="554">
        <v>0</v>
      </c>
      <c r="Z604" s="554">
        <v>0</v>
      </c>
      <c r="AA604" s="554">
        <v>0</v>
      </c>
      <c r="AB604" s="554">
        <v>0</v>
      </c>
      <c r="AC604" s="554">
        <v>0</v>
      </c>
      <c r="AD604" s="85"/>
      <c r="AE604" s="85"/>
      <c r="AF604" s="85"/>
      <c r="AG604" s="85"/>
    </row>
    <row r="605" spans="1:33">
      <c r="A605" s="74" t="s">
        <v>889</v>
      </c>
      <c r="I605" s="168">
        <f t="shared" ref="I605:R605" si="492">I603-I604</f>
        <v>0</v>
      </c>
      <c r="J605" s="168">
        <f t="shared" si="492"/>
        <v>0</v>
      </c>
      <c r="K605" s="168">
        <f t="shared" si="492"/>
        <v>0</v>
      </c>
      <c r="L605" s="168">
        <f t="shared" si="492"/>
        <v>0</v>
      </c>
      <c r="M605" s="168">
        <f t="shared" si="492"/>
        <v>0</v>
      </c>
      <c r="N605" s="168">
        <f t="shared" si="492"/>
        <v>0</v>
      </c>
      <c r="O605" s="168">
        <f t="shared" si="492"/>
        <v>0</v>
      </c>
      <c r="P605" s="168">
        <f t="shared" si="492"/>
        <v>0</v>
      </c>
      <c r="Q605" s="168">
        <f t="shared" si="492"/>
        <v>0</v>
      </c>
      <c r="R605" s="168">
        <f t="shared" si="492"/>
        <v>0</v>
      </c>
      <c r="S605" s="168">
        <f t="shared" ref="S605:AC605" si="493">S603-S604</f>
        <v>0</v>
      </c>
      <c r="T605" s="168">
        <f t="shared" si="493"/>
        <v>0</v>
      </c>
      <c r="U605" s="168">
        <f t="shared" si="493"/>
        <v>0</v>
      </c>
      <c r="V605" s="168">
        <f t="shared" si="493"/>
        <v>0</v>
      </c>
      <c r="W605" s="168">
        <f t="shared" si="493"/>
        <v>0</v>
      </c>
      <c r="X605" s="168">
        <f t="shared" si="493"/>
        <v>0</v>
      </c>
      <c r="Y605" s="168">
        <f t="shared" si="493"/>
        <v>0</v>
      </c>
      <c r="Z605" s="168">
        <f t="shared" si="493"/>
        <v>0</v>
      </c>
      <c r="AA605" s="168">
        <f t="shared" si="493"/>
        <v>0</v>
      </c>
      <c r="AB605" s="168">
        <f t="shared" si="493"/>
        <v>0</v>
      </c>
      <c r="AC605" s="168">
        <f t="shared" si="493"/>
        <v>0</v>
      </c>
      <c r="AD605" s="85"/>
      <c r="AE605" s="85"/>
      <c r="AF605" s="85"/>
      <c r="AG605" s="85"/>
    </row>
    <row r="606" spans="1:33">
      <c r="A606" s="70" t="s">
        <v>890</v>
      </c>
      <c r="E606" s="572">
        <v>0</v>
      </c>
      <c r="F606" s="572">
        <v>0</v>
      </c>
      <c r="G606" s="572">
        <v>0</v>
      </c>
      <c r="H606" s="572">
        <v>0</v>
      </c>
      <c r="I606" s="342">
        <f t="shared" ref="I606:R606" si="494">I601-I605</f>
        <v>0</v>
      </c>
      <c r="J606" s="342">
        <f t="shared" si="494"/>
        <v>0</v>
      </c>
      <c r="K606" s="342">
        <f t="shared" si="494"/>
        <v>0</v>
      </c>
      <c r="L606" s="342">
        <f t="shared" si="494"/>
        <v>0</v>
      </c>
      <c r="M606" s="342">
        <f t="shared" si="494"/>
        <v>0</v>
      </c>
      <c r="N606" s="342">
        <f t="shared" si="494"/>
        <v>0</v>
      </c>
      <c r="O606" s="342">
        <f t="shared" si="494"/>
        <v>0</v>
      </c>
      <c r="P606" s="342">
        <f t="shared" si="494"/>
        <v>0</v>
      </c>
      <c r="Q606" s="342">
        <f t="shared" si="494"/>
        <v>0</v>
      </c>
      <c r="R606" s="342">
        <f t="shared" si="494"/>
        <v>0</v>
      </c>
      <c r="S606" s="342">
        <f t="shared" ref="S606:AC606" si="495">S601-S605</f>
        <v>0</v>
      </c>
      <c r="T606" s="342">
        <f t="shared" si="495"/>
        <v>0</v>
      </c>
      <c r="U606" s="342">
        <f t="shared" si="495"/>
        <v>0</v>
      </c>
      <c r="V606" s="342">
        <f t="shared" si="495"/>
        <v>0</v>
      </c>
      <c r="W606" s="342">
        <f t="shared" si="495"/>
        <v>0</v>
      </c>
      <c r="X606" s="342">
        <f t="shared" si="495"/>
        <v>0</v>
      </c>
      <c r="Y606" s="342">
        <f t="shared" si="495"/>
        <v>0</v>
      </c>
      <c r="Z606" s="342">
        <f t="shared" si="495"/>
        <v>0</v>
      </c>
      <c r="AA606" s="342">
        <f t="shared" si="495"/>
        <v>0</v>
      </c>
      <c r="AB606" s="342">
        <f t="shared" si="495"/>
        <v>0</v>
      </c>
      <c r="AC606" s="342">
        <f t="shared" si="495"/>
        <v>0</v>
      </c>
      <c r="AD606" s="85"/>
      <c r="AE606" s="85"/>
      <c r="AF606" s="85"/>
      <c r="AG606" s="85"/>
    </row>
    <row r="607" spans="1:33">
      <c r="A607" s="83" t="s">
        <v>891</v>
      </c>
      <c r="I607" s="554">
        <v>0</v>
      </c>
      <c r="J607" s="554">
        <v>0</v>
      </c>
      <c r="K607" s="554">
        <v>0</v>
      </c>
      <c r="L607" s="554">
        <v>0</v>
      </c>
      <c r="M607" s="554">
        <v>0</v>
      </c>
      <c r="N607" s="554">
        <v>0</v>
      </c>
      <c r="O607" s="554">
        <v>0</v>
      </c>
      <c r="P607" s="554">
        <v>0</v>
      </c>
      <c r="Q607" s="554">
        <v>0</v>
      </c>
      <c r="R607" s="554">
        <v>0</v>
      </c>
      <c r="S607" s="554">
        <v>0</v>
      </c>
      <c r="T607" s="554">
        <v>0</v>
      </c>
      <c r="U607" s="554">
        <v>0</v>
      </c>
      <c r="V607" s="554">
        <v>0</v>
      </c>
      <c r="W607" s="554">
        <v>0</v>
      </c>
      <c r="X607" s="554">
        <v>0</v>
      </c>
      <c r="Y607" s="554">
        <v>0</v>
      </c>
      <c r="Z607" s="554">
        <v>0</v>
      </c>
      <c r="AA607" s="554">
        <v>0</v>
      </c>
      <c r="AB607" s="554">
        <v>0</v>
      </c>
      <c r="AC607" s="554">
        <v>0</v>
      </c>
      <c r="AD607" s="85"/>
      <c r="AE607" s="85"/>
      <c r="AF607" s="85"/>
      <c r="AG607" s="85"/>
    </row>
    <row r="608" spans="1:33">
      <c r="A608" s="74"/>
      <c r="AD608" s="85"/>
      <c r="AE608" s="85"/>
      <c r="AF608" s="85"/>
      <c r="AG608" s="85"/>
    </row>
    <row r="609" spans="1:29">
      <c r="A609" s="74" t="s">
        <v>892</v>
      </c>
      <c r="I609" s="554">
        <f>I605</f>
        <v>0</v>
      </c>
      <c r="J609" s="554">
        <v>0</v>
      </c>
      <c r="K609" s="554">
        <v>0</v>
      </c>
      <c r="L609" s="554">
        <v>0</v>
      </c>
      <c r="M609" s="554">
        <v>0</v>
      </c>
      <c r="N609" s="554">
        <v>0</v>
      </c>
      <c r="O609" s="554">
        <v>0</v>
      </c>
      <c r="P609" s="554">
        <v>0</v>
      </c>
      <c r="Q609" s="554">
        <v>0</v>
      </c>
      <c r="R609" s="554">
        <v>0</v>
      </c>
      <c r="S609" s="554">
        <v>0</v>
      </c>
      <c r="T609" s="554">
        <v>0</v>
      </c>
      <c r="U609" s="554">
        <v>0</v>
      </c>
      <c r="V609" s="554">
        <v>0</v>
      </c>
      <c r="W609" s="554">
        <v>0</v>
      </c>
      <c r="X609" s="554">
        <v>0</v>
      </c>
      <c r="Y609" s="554">
        <v>0</v>
      </c>
      <c r="Z609" s="554">
        <v>0</v>
      </c>
      <c r="AA609" s="554">
        <v>0</v>
      </c>
      <c r="AB609" s="554">
        <v>0</v>
      </c>
      <c r="AC609" s="554">
        <v>0</v>
      </c>
    </row>
    <row r="610" spans="1:29">
      <c r="A610" s="70" t="s">
        <v>893</v>
      </c>
      <c r="I610" s="5">
        <f t="shared" ref="I610:R610" si="496">I601-I609</f>
        <v>0</v>
      </c>
      <c r="J610" s="5">
        <f t="shared" si="496"/>
        <v>0</v>
      </c>
      <c r="K610" s="5">
        <f t="shared" si="496"/>
        <v>0</v>
      </c>
      <c r="L610" s="5">
        <f t="shared" si="496"/>
        <v>0</v>
      </c>
      <c r="M610" s="5">
        <f t="shared" si="496"/>
        <v>0</v>
      </c>
      <c r="N610" s="5">
        <f t="shared" si="496"/>
        <v>0</v>
      </c>
      <c r="O610" s="5">
        <f t="shared" si="496"/>
        <v>0</v>
      </c>
      <c r="P610" s="5">
        <f t="shared" si="496"/>
        <v>0</v>
      </c>
      <c r="Q610" s="5">
        <f t="shared" si="496"/>
        <v>0</v>
      </c>
      <c r="R610" s="5">
        <f t="shared" si="496"/>
        <v>0</v>
      </c>
      <c r="S610" s="5">
        <f t="shared" ref="S610:AC610" si="497">S601-S609</f>
        <v>0</v>
      </c>
      <c r="T610" s="5">
        <f t="shared" si="497"/>
        <v>0</v>
      </c>
      <c r="U610" s="5">
        <f t="shared" si="497"/>
        <v>0</v>
      </c>
      <c r="V610" s="5">
        <f t="shared" si="497"/>
        <v>0</v>
      </c>
      <c r="W610" s="5">
        <f t="shared" si="497"/>
        <v>0</v>
      </c>
      <c r="X610" s="5">
        <f t="shared" si="497"/>
        <v>0</v>
      </c>
      <c r="Y610" s="5">
        <f t="shared" si="497"/>
        <v>0</v>
      </c>
      <c r="Z610" s="5">
        <f t="shared" si="497"/>
        <v>0</v>
      </c>
      <c r="AA610" s="5">
        <f t="shared" si="497"/>
        <v>0</v>
      </c>
      <c r="AB610" s="5">
        <f t="shared" si="497"/>
        <v>0</v>
      </c>
      <c r="AC610" s="5">
        <f t="shared" si="497"/>
        <v>0</v>
      </c>
    </row>
    <row r="611" spans="1:29">
      <c r="A611" s="83" t="s">
        <v>894</v>
      </c>
      <c r="I611" s="554">
        <v>0</v>
      </c>
      <c r="J611" s="554">
        <v>0</v>
      </c>
      <c r="K611" s="554">
        <v>0</v>
      </c>
      <c r="L611" s="554">
        <v>0</v>
      </c>
      <c r="M611" s="554">
        <v>0</v>
      </c>
      <c r="N611" s="554">
        <v>0</v>
      </c>
      <c r="O611" s="554">
        <v>0</v>
      </c>
      <c r="P611" s="554">
        <v>0</v>
      </c>
      <c r="Q611" s="554">
        <v>0</v>
      </c>
      <c r="R611" s="554">
        <v>0</v>
      </c>
      <c r="S611" s="554">
        <v>0</v>
      </c>
      <c r="T611" s="554">
        <v>0</v>
      </c>
      <c r="U611" s="554">
        <v>0</v>
      </c>
      <c r="V611" s="554">
        <v>0</v>
      </c>
      <c r="W611" s="554">
        <v>0</v>
      </c>
      <c r="X611" s="554">
        <v>0</v>
      </c>
      <c r="Y611" s="554">
        <v>0</v>
      </c>
      <c r="Z611" s="554">
        <v>0</v>
      </c>
      <c r="AA611" s="554">
        <v>0</v>
      </c>
      <c r="AB611" s="554">
        <v>0</v>
      </c>
      <c r="AC611" s="554">
        <v>0</v>
      </c>
    </row>
    <row r="612" spans="1:29">
      <c r="A612" s="74"/>
    </row>
    <row r="613" spans="1:29">
      <c r="A613" s="74" t="s">
        <v>895</v>
      </c>
      <c r="I613" s="554">
        <f>I605</f>
        <v>0</v>
      </c>
      <c r="J613" s="554">
        <v>0</v>
      </c>
      <c r="K613" s="554">
        <v>0</v>
      </c>
      <c r="L613" s="554">
        <v>0</v>
      </c>
      <c r="M613" s="554">
        <v>0</v>
      </c>
      <c r="N613" s="554">
        <v>0</v>
      </c>
      <c r="O613" s="554">
        <v>0</v>
      </c>
      <c r="P613" s="554">
        <v>0</v>
      </c>
      <c r="Q613" s="554">
        <v>0</v>
      </c>
      <c r="R613" s="554">
        <v>0</v>
      </c>
      <c r="S613" s="554">
        <v>0</v>
      </c>
      <c r="T613" s="554">
        <v>0</v>
      </c>
      <c r="U613" s="554">
        <v>0</v>
      </c>
      <c r="V613" s="554">
        <v>0</v>
      </c>
      <c r="W613" s="554">
        <v>0</v>
      </c>
      <c r="X613" s="554">
        <v>0</v>
      </c>
      <c r="Y613" s="554">
        <v>0</v>
      </c>
      <c r="Z613" s="554">
        <v>0</v>
      </c>
      <c r="AA613" s="554">
        <v>0</v>
      </c>
      <c r="AB613" s="554">
        <v>0</v>
      </c>
      <c r="AC613" s="554">
        <v>0</v>
      </c>
    </row>
    <row r="614" spans="1:29">
      <c r="A614" s="70" t="s">
        <v>896</v>
      </c>
      <c r="I614" s="5">
        <f t="shared" ref="I614:R614" si="498">I601-I613</f>
        <v>0</v>
      </c>
      <c r="J614" s="5">
        <f t="shared" si="498"/>
        <v>0</v>
      </c>
      <c r="K614" s="5">
        <f t="shared" si="498"/>
        <v>0</v>
      </c>
      <c r="L614" s="5">
        <f t="shared" si="498"/>
        <v>0</v>
      </c>
      <c r="M614" s="5">
        <f t="shared" si="498"/>
        <v>0</v>
      </c>
      <c r="N614" s="5">
        <f t="shared" si="498"/>
        <v>0</v>
      </c>
      <c r="O614" s="5">
        <f t="shared" si="498"/>
        <v>0</v>
      </c>
      <c r="P614" s="5">
        <f t="shared" si="498"/>
        <v>0</v>
      </c>
      <c r="Q614" s="5">
        <f t="shared" si="498"/>
        <v>0</v>
      </c>
      <c r="R614" s="5">
        <f t="shared" si="498"/>
        <v>0</v>
      </c>
      <c r="S614" s="5">
        <f t="shared" ref="S614:AC614" si="499">S601-S613</f>
        <v>0</v>
      </c>
      <c r="T614" s="5">
        <f t="shared" si="499"/>
        <v>0</v>
      </c>
      <c r="U614" s="5">
        <f t="shared" si="499"/>
        <v>0</v>
      </c>
      <c r="V614" s="5">
        <f t="shared" si="499"/>
        <v>0</v>
      </c>
      <c r="W614" s="5">
        <f t="shared" si="499"/>
        <v>0</v>
      </c>
      <c r="X614" s="5">
        <f t="shared" si="499"/>
        <v>0</v>
      </c>
      <c r="Y614" s="5">
        <f t="shared" si="499"/>
        <v>0</v>
      </c>
      <c r="Z614" s="5">
        <f t="shared" si="499"/>
        <v>0</v>
      </c>
      <c r="AA614" s="5">
        <f t="shared" si="499"/>
        <v>0</v>
      </c>
      <c r="AB614" s="5">
        <f t="shared" si="499"/>
        <v>0</v>
      </c>
      <c r="AC614" s="5">
        <f t="shared" si="499"/>
        <v>0</v>
      </c>
    </row>
    <row r="615" spans="1:29">
      <c r="A615" s="83" t="s">
        <v>894</v>
      </c>
      <c r="I615" s="554">
        <f t="shared" ref="I615:AC615" si="500">I611</f>
        <v>0</v>
      </c>
      <c r="J615" s="554">
        <f t="shared" si="500"/>
        <v>0</v>
      </c>
      <c r="K615" s="554">
        <f t="shared" si="500"/>
        <v>0</v>
      </c>
      <c r="L615" s="554">
        <f t="shared" si="500"/>
        <v>0</v>
      </c>
      <c r="M615" s="554">
        <f t="shared" si="500"/>
        <v>0</v>
      </c>
      <c r="N615" s="554">
        <f t="shared" si="500"/>
        <v>0</v>
      </c>
      <c r="O615" s="554">
        <f t="shared" si="500"/>
        <v>0</v>
      </c>
      <c r="P615" s="554">
        <f t="shared" si="500"/>
        <v>0</v>
      </c>
      <c r="Q615" s="554">
        <f t="shared" si="500"/>
        <v>0</v>
      </c>
      <c r="R615" s="554">
        <f t="shared" si="500"/>
        <v>0</v>
      </c>
      <c r="S615" s="554">
        <f t="shared" si="500"/>
        <v>0</v>
      </c>
      <c r="T615" s="554">
        <f t="shared" si="500"/>
        <v>0</v>
      </c>
      <c r="U615" s="554">
        <f t="shared" si="500"/>
        <v>0</v>
      </c>
      <c r="V615" s="554">
        <f t="shared" si="500"/>
        <v>0</v>
      </c>
      <c r="W615" s="554">
        <f t="shared" si="500"/>
        <v>0</v>
      </c>
      <c r="X615" s="554">
        <f t="shared" si="500"/>
        <v>0</v>
      </c>
      <c r="Y615" s="554">
        <f t="shared" si="500"/>
        <v>0</v>
      </c>
      <c r="Z615" s="554">
        <f t="shared" si="500"/>
        <v>0</v>
      </c>
      <c r="AA615" s="554">
        <f t="shared" si="500"/>
        <v>0</v>
      </c>
      <c r="AB615" s="554">
        <f t="shared" si="500"/>
        <v>0</v>
      </c>
      <c r="AC615" s="554">
        <f t="shared" si="500"/>
        <v>0</v>
      </c>
    </row>
    <row r="616" spans="1:29">
      <c r="A616" s="74"/>
    </row>
    <row r="617" spans="1:29">
      <c r="A617" s="74" t="s">
        <v>897</v>
      </c>
    </row>
    <row r="618" spans="1:29">
      <c r="A618" s="74"/>
    </row>
    <row r="619" spans="1:29" ht="12" thickBo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ht="12.75" thickTop="1" thickBot="1">
      <c r="A620" s="304"/>
      <c r="B620" s="304"/>
      <c r="C620" s="304"/>
      <c r="D620" s="304"/>
      <c r="E620" s="304"/>
      <c r="F620" s="304"/>
      <c r="G620" s="304"/>
      <c r="H620" s="304"/>
      <c r="I620" s="304"/>
      <c r="J620" s="304"/>
      <c r="K620" s="304"/>
      <c r="L620" s="304"/>
      <c r="M620" s="304"/>
      <c r="N620" s="304"/>
      <c r="O620" s="304"/>
      <c r="P620" s="304"/>
      <c r="Q620" s="304"/>
      <c r="R620" s="304"/>
      <c r="S620" s="304"/>
      <c r="T620" s="304"/>
      <c r="U620" s="304"/>
      <c r="V620" s="304"/>
      <c r="W620" s="304"/>
      <c r="X620" s="304"/>
      <c r="Y620" s="304"/>
      <c r="Z620" s="304"/>
      <c r="AA620" s="304"/>
      <c r="AB620" s="304"/>
      <c r="AC620" s="304"/>
    </row>
    <row r="621" spans="1:29" ht="12.75" thickTop="1" thickBot="1">
      <c r="A621" s="19" t="s">
        <v>898</v>
      </c>
      <c r="E621" s="73">
        <f>E580</f>
        <v>1996</v>
      </c>
      <c r="F621" s="73">
        <f>F580</f>
        <v>1997</v>
      </c>
      <c r="G621" s="73">
        <f>G580</f>
        <v>1998</v>
      </c>
      <c r="H621" s="86" t="str">
        <f ca="1">$H$579&amp;"/"&amp;TEXT($H$580,"0")</f>
        <v>6 M/1999</v>
      </c>
      <c r="I621" s="146" t="str">
        <f ca="1">$I$579&amp;"/"&amp;TEXT($I$580,"0")</f>
        <v>6 M/1999</v>
      </c>
      <c r="J621" s="140">
        <f t="shared" ref="J621:AC621" si="501">J580</f>
        <v>2000</v>
      </c>
      <c r="K621" s="140">
        <f t="shared" si="501"/>
        <v>2001</v>
      </c>
      <c r="L621" s="140">
        <f t="shared" si="501"/>
        <v>2002</v>
      </c>
      <c r="M621" s="140">
        <f t="shared" si="501"/>
        <v>2003</v>
      </c>
      <c r="N621" s="140">
        <f t="shared" si="501"/>
        <v>2004</v>
      </c>
      <c r="O621" s="140">
        <f t="shared" si="501"/>
        <v>2005</v>
      </c>
      <c r="P621" s="140">
        <f t="shared" si="501"/>
        <v>2006</v>
      </c>
      <c r="Q621" s="140">
        <f t="shared" si="501"/>
        <v>2007</v>
      </c>
      <c r="R621" s="140">
        <f t="shared" si="501"/>
        <v>2008</v>
      </c>
      <c r="S621" s="140">
        <f t="shared" si="501"/>
        <v>2009</v>
      </c>
      <c r="T621" s="140">
        <f t="shared" si="501"/>
        <v>2010</v>
      </c>
      <c r="U621" s="140">
        <f t="shared" si="501"/>
        <v>2011</v>
      </c>
      <c r="V621" s="140">
        <f t="shared" si="501"/>
        <v>2012</v>
      </c>
      <c r="W621" s="140">
        <f t="shared" si="501"/>
        <v>2013</v>
      </c>
      <c r="X621" s="140">
        <f t="shared" si="501"/>
        <v>2014</v>
      </c>
      <c r="Y621" s="140">
        <f t="shared" si="501"/>
        <v>2015</v>
      </c>
      <c r="Z621" s="140">
        <f t="shared" si="501"/>
        <v>2016</v>
      </c>
      <c r="AA621" s="140">
        <f t="shared" si="501"/>
        <v>2017</v>
      </c>
      <c r="AB621" s="140">
        <f t="shared" si="501"/>
        <v>2018</v>
      </c>
      <c r="AC621" s="140">
        <f t="shared" si="501"/>
        <v>2019</v>
      </c>
    </row>
    <row r="622" spans="1:29" ht="12" thickTop="1">
      <c r="A622" s="74" t="s">
        <v>899</v>
      </c>
      <c r="I622" s="568">
        <v>0</v>
      </c>
      <c r="J622" s="568">
        <v>0</v>
      </c>
      <c r="K622" s="568">
        <v>0</v>
      </c>
      <c r="L622" s="568">
        <v>0</v>
      </c>
      <c r="M622" s="568">
        <v>0</v>
      </c>
      <c r="N622" s="568">
        <v>0</v>
      </c>
      <c r="O622" s="568">
        <v>0</v>
      </c>
      <c r="P622" s="568">
        <v>0</v>
      </c>
      <c r="Q622" s="568">
        <v>0</v>
      </c>
      <c r="R622" s="568">
        <v>0</v>
      </c>
      <c r="S622" s="568">
        <v>0</v>
      </c>
      <c r="T622" s="568">
        <v>0</v>
      </c>
      <c r="U622" s="568">
        <v>0</v>
      </c>
      <c r="V622" s="568">
        <v>0</v>
      </c>
      <c r="W622" s="568">
        <v>0</v>
      </c>
      <c r="X622" s="568">
        <v>0</v>
      </c>
      <c r="Y622" s="568">
        <v>0</v>
      </c>
      <c r="Z622" s="568">
        <v>0</v>
      </c>
      <c r="AA622" s="568">
        <v>0</v>
      </c>
      <c r="AB622" s="568">
        <v>0</v>
      </c>
      <c r="AC622" s="568">
        <v>0</v>
      </c>
    </row>
    <row r="623" spans="1:29">
      <c r="A623" s="74" t="s">
        <v>900</v>
      </c>
      <c r="I623" s="568">
        <v>0</v>
      </c>
      <c r="J623" s="568">
        <v>0</v>
      </c>
      <c r="K623" s="568">
        <v>0</v>
      </c>
      <c r="L623" s="568">
        <v>0</v>
      </c>
      <c r="M623" s="568">
        <v>0</v>
      </c>
      <c r="N623" s="568">
        <v>0</v>
      </c>
      <c r="O623" s="568">
        <v>0</v>
      </c>
      <c r="P623" s="568">
        <v>0</v>
      </c>
      <c r="Q623" s="568">
        <v>0</v>
      </c>
      <c r="R623" s="568">
        <v>0</v>
      </c>
      <c r="S623" s="568">
        <v>0</v>
      </c>
      <c r="T623" s="568">
        <v>0</v>
      </c>
      <c r="U623" s="568">
        <v>0</v>
      </c>
      <c r="V623" s="568">
        <v>0</v>
      </c>
      <c r="W623" s="568">
        <v>0</v>
      </c>
      <c r="X623" s="568">
        <v>0</v>
      </c>
      <c r="Y623" s="568">
        <v>0</v>
      </c>
      <c r="Z623" s="568">
        <v>0</v>
      </c>
      <c r="AA623" s="568">
        <v>0</v>
      </c>
      <c r="AB623" s="568">
        <v>0</v>
      </c>
      <c r="AC623" s="568">
        <v>0</v>
      </c>
    </row>
    <row r="624" spans="1:29">
      <c r="A624" s="74" t="s">
        <v>901</v>
      </c>
      <c r="I624" s="5">
        <f t="shared" ref="I624:R624" si="502">I622*I623*I69*0.25</f>
        <v>0</v>
      </c>
      <c r="J624" s="5">
        <f t="shared" ca="1" si="502"/>
        <v>0</v>
      </c>
      <c r="K624" s="5">
        <f t="shared" ca="1" si="502"/>
        <v>0</v>
      </c>
      <c r="L624" s="5">
        <f t="shared" ca="1" si="502"/>
        <v>0</v>
      </c>
      <c r="M624" s="5">
        <f t="shared" ca="1" si="502"/>
        <v>0</v>
      </c>
      <c r="N624" s="5">
        <f t="shared" ca="1" si="502"/>
        <v>0</v>
      </c>
      <c r="O624" s="5">
        <f t="shared" ca="1" si="502"/>
        <v>0</v>
      </c>
      <c r="P624" s="5">
        <f t="shared" ca="1" si="502"/>
        <v>0</v>
      </c>
      <c r="Q624" s="5">
        <f t="shared" ca="1" si="502"/>
        <v>0</v>
      </c>
      <c r="R624" s="5">
        <f t="shared" ca="1" si="502"/>
        <v>0</v>
      </c>
      <c r="S624" s="5">
        <f t="shared" ref="S624:AC624" ca="1" si="503">S622*S623*S69*0.25</f>
        <v>0</v>
      </c>
      <c r="T624" s="5">
        <f t="shared" ca="1" si="503"/>
        <v>0</v>
      </c>
      <c r="U624" s="5">
        <f t="shared" ca="1" si="503"/>
        <v>0</v>
      </c>
      <c r="V624" s="5">
        <f t="shared" ca="1" si="503"/>
        <v>0</v>
      </c>
      <c r="W624" s="5">
        <f t="shared" ca="1" si="503"/>
        <v>0</v>
      </c>
      <c r="X624" s="5">
        <f t="shared" ca="1" si="503"/>
        <v>0</v>
      </c>
      <c r="Y624" s="5">
        <f t="shared" ca="1" si="503"/>
        <v>0</v>
      </c>
      <c r="Z624" s="5">
        <f t="shared" ca="1" si="503"/>
        <v>0</v>
      </c>
      <c r="AA624" s="5">
        <f t="shared" ca="1" si="503"/>
        <v>0</v>
      </c>
      <c r="AB624" s="5">
        <f t="shared" ca="1" si="503"/>
        <v>0</v>
      </c>
      <c r="AC624" s="5">
        <f t="shared" ca="1" si="503"/>
        <v>0</v>
      </c>
    </row>
    <row r="625" spans="1:29">
      <c r="A625" s="74"/>
    </row>
    <row r="626" spans="1:29">
      <c r="A626" s="74" t="s">
        <v>902</v>
      </c>
      <c r="I626" s="568">
        <v>0</v>
      </c>
      <c r="J626" s="568">
        <f t="shared" ref="J626:AC626" si="504">I626</f>
        <v>0</v>
      </c>
      <c r="K626" s="568">
        <f t="shared" si="504"/>
        <v>0</v>
      </c>
      <c r="L626" s="568">
        <f t="shared" si="504"/>
        <v>0</v>
      </c>
      <c r="M626" s="568">
        <f t="shared" si="504"/>
        <v>0</v>
      </c>
      <c r="N626" s="568">
        <f t="shared" si="504"/>
        <v>0</v>
      </c>
      <c r="O626" s="568">
        <f t="shared" si="504"/>
        <v>0</v>
      </c>
      <c r="P626" s="568">
        <f t="shared" si="504"/>
        <v>0</v>
      </c>
      <c r="Q626" s="568">
        <f t="shared" si="504"/>
        <v>0</v>
      </c>
      <c r="R626" s="568">
        <f t="shared" si="504"/>
        <v>0</v>
      </c>
      <c r="S626" s="568">
        <f t="shared" si="504"/>
        <v>0</v>
      </c>
      <c r="T626" s="568">
        <f t="shared" si="504"/>
        <v>0</v>
      </c>
      <c r="U626" s="568">
        <f t="shared" si="504"/>
        <v>0</v>
      </c>
      <c r="V626" s="568">
        <f t="shared" si="504"/>
        <v>0</v>
      </c>
      <c r="W626" s="568">
        <f t="shared" si="504"/>
        <v>0</v>
      </c>
      <c r="X626" s="568">
        <f t="shared" si="504"/>
        <v>0</v>
      </c>
      <c r="Y626" s="568">
        <f t="shared" si="504"/>
        <v>0</v>
      </c>
      <c r="Z626" s="568">
        <f t="shared" si="504"/>
        <v>0</v>
      </c>
      <c r="AA626" s="568">
        <f t="shared" si="504"/>
        <v>0</v>
      </c>
      <c r="AB626" s="568">
        <f t="shared" si="504"/>
        <v>0</v>
      </c>
      <c r="AC626" s="568">
        <f t="shared" si="504"/>
        <v>0</v>
      </c>
    </row>
    <row r="627" spans="1:29">
      <c r="A627" s="74" t="s">
        <v>903</v>
      </c>
      <c r="I627" s="5">
        <f t="shared" ref="I627:R627" si="505">I626*I211</f>
        <v>0</v>
      </c>
      <c r="J627" s="5">
        <f t="shared" si="505"/>
        <v>0</v>
      </c>
      <c r="K627" s="5">
        <f t="shared" si="505"/>
        <v>0</v>
      </c>
      <c r="L627" s="5">
        <f t="shared" si="505"/>
        <v>0</v>
      </c>
      <c r="M627" s="5">
        <f t="shared" si="505"/>
        <v>0</v>
      </c>
      <c r="N627" s="5">
        <f t="shared" si="505"/>
        <v>0</v>
      </c>
      <c r="O627" s="5">
        <f t="shared" si="505"/>
        <v>0</v>
      </c>
      <c r="P627" s="5">
        <f t="shared" si="505"/>
        <v>0</v>
      </c>
      <c r="Q627" s="5">
        <f t="shared" si="505"/>
        <v>0</v>
      </c>
      <c r="R627" s="5">
        <f t="shared" si="505"/>
        <v>0</v>
      </c>
      <c r="S627" s="5">
        <f t="shared" ref="S627:AC627" si="506">S626*S211</f>
        <v>0</v>
      </c>
      <c r="T627" s="5">
        <f t="shared" si="506"/>
        <v>0</v>
      </c>
      <c r="U627" s="5">
        <f t="shared" si="506"/>
        <v>0</v>
      </c>
      <c r="V627" s="5">
        <f t="shared" si="506"/>
        <v>0</v>
      </c>
      <c r="W627" s="5">
        <f t="shared" si="506"/>
        <v>0</v>
      </c>
      <c r="X627" s="5">
        <f t="shared" si="506"/>
        <v>0</v>
      </c>
      <c r="Y627" s="5">
        <f t="shared" si="506"/>
        <v>0</v>
      </c>
      <c r="Z627" s="5">
        <f t="shared" si="506"/>
        <v>0</v>
      </c>
      <c r="AA627" s="5">
        <f t="shared" si="506"/>
        <v>0</v>
      </c>
      <c r="AB627" s="5">
        <f t="shared" si="506"/>
        <v>0</v>
      </c>
      <c r="AC627" s="5">
        <f t="shared" si="506"/>
        <v>0</v>
      </c>
    </row>
    <row r="628" spans="1:29">
      <c r="A628" s="74"/>
    </row>
    <row r="629" spans="1:29">
      <c r="A629" s="74" t="s">
        <v>904</v>
      </c>
      <c r="I629" s="5">
        <f t="shared" ref="I629:R629" si="507">I624+I627</f>
        <v>0</v>
      </c>
      <c r="J629" s="5">
        <f t="shared" ca="1" si="507"/>
        <v>0</v>
      </c>
      <c r="K629" s="5">
        <f t="shared" ca="1" si="507"/>
        <v>0</v>
      </c>
      <c r="L629" s="5">
        <f t="shared" ca="1" si="507"/>
        <v>0</v>
      </c>
      <c r="M629" s="5">
        <f t="shared" ca="1" si="507"/>
        <v>0</v>
      </c>
      <c r="N629" s="5">
        <f t="shared" ca="1" si="507"/>
        <v>0</v>
      </c>
      <c r="O629" s="5">
        <f t="shared" ca="1" si="507"/>
        <v>0</v>
      </c>
      <c r="P629" s="5">
        <f t="shared" ca="1" si="507"/>
        <v>0</v>
      </c>
      <c r="Q629" s="5">
        <f t="shared" ca="1" si="507"/>
        <v>0</v>
      </c>
      <c r="R629" s="5">
        <f t="shared" ca="1" si="507"/>
        <v>0</v>
      </c>
      <c r="S629" s="5">
        <f t="shared" ref="S629:AC629" ca="1" si="508">S624+S627</f>
        <v>0</v>
      </c>
      <c r="T629" s="5">
        <f t="shared" ca="1" si="508"/>
        <v>0</v>
      </c>
      <c r="U629" s="5">
        <f t="shared" ca="1" si="508"/>
        <v>0</v>
      </c>
      <c r="V629" s="5">
        <f t="shared" ca="1" si="508"/>
        <v>0</v>
      </c>
      <c r="W629" s="5">
        <f t="shared" ca="1" si="508"/>
        <v>0</v>
      </c>
      <c r="X629" s="5">
        <f t="shared" ca="1" si="508"/>
        <v>0</v>
      </c>
      <c r="Y629" s="5">
        <f t="shared" ca="1" si="508"/>
        <v>0</v>
      </c>
      <c r="Z629" s="5">
        <f t="shared" ca="1" si="508"/>
        <v>0</v>
      </c>
      <c r="AA629" s="5">
        <f t="shared" ca="1" si="508"/>
        <v>0</v>
      </c>
      <c r="AB629" s="5">
        <f t="shared" ca="1" si="508"/>
        <v>0</v>
      </c>
      <c r="AC629" s="5">
        <f t="shared" ca="1" si="508"/>
        <v>0</v>
      </c>
    </row>
    <row r="630" spans="1:29">
      <c r="A630" s="74"/>
    </row>
    <row r="631" spans="1:29">
      <c r="A631" s="74" t="s">
        <v>905</v>
      </c>
      <c r="I631" s="554">
        <v>0</v>
      </c>
      <c r="J631" s="554">
        <v>0</v>
      </c>
      <c r="K631" s="554">
        <v>0</v>
      </c>
      <c r="L631" s="554">
        <v>0</v>
      </c>
      <c r="M631" s="554">
        <v>0</v>
      </c>
      <c r="N631" s="554">
        <v>0</v>
      </c>
      <c r="O631" s="554">
        <v>0</v>
      </c>
      <c r="P631" s="554">
        <v>0</v>
      </c>
      <c r="Q631" s="554">
        <v>0</v>
      </c>
      <c r="R631" s="554">
        <v>0</v>
      </c>
      <c r="S631" s="554">
        <v>0</v>
      </c>
      <c r="T631" s="554">
        <v>0</v>
      </c>
      <c r="U631" s="554">
        <v>0</v>
      </c>
      <c r="V631" s="554">
        <v>0</v>
      </c>
      <c r="W631" s="554">
        <v>0</v>
      </c>
      <c r="X631" s="554">
        <v>0</v>
      </c>
      <c r="Y631" s="554">
        <v>0</v>
      </c>
      <c r="Z631" s="554">
        <v>0</v>
      </c>
      <c r="AA631" s="554">
        <v>0</v>
      </c>
      <c r="AB631" s="554">
        <v>0</v>
      </c>
      <c r="AC631" s="554">
        <v>0</v>
      </c>
    </row>
    <row r="632" spans="1:29">
      <c r="A632" s="74" t="s">
        <v>906</v>
      </c>
      <c r="I632" s="554">
        <v>0</v>
      </c>
      <c r="J632" s="554">
        <v>0</v>
      </c>
      <c r="K632" s="554">
        <v>0</v>
      </c>
      <c r="L632" s="554">
        <v>0</v>
      </c>
      <c r="M632" s="554">
        <v>0</v>
      </c>
      <c r="N632" s="554">
        <v>0</v>
      </c>
      <c r="O632" s="554">
        <v>0</v>
      </c>
      <c r="P632" s="554">
        <v>0</v>
      </c>
      <c r="Q632" s="554">
        <v>0</v>
      </c>
      <c r="R632" s="554">
        <v>0</v>
      </c>
      <c r="S632" s="554">
        <v>0</v>
      </c>
      <c r="T632" s="554">
        <v>0</v>
      </c>
      <c r="U632" s="554">
        <v>0</v>
      </c>
      <c r="V632" s="554">
        <v>0</v>
      </c>
      <c r="W632" s="554">
        <v>0</v>
      </c>
      <c r="X632" s="554">
        <v>0</v>
      </c>
      <c r="Y632" s="554">
        <v>0</v>
      </c>
      <c r="Z632" s="554">
        <v>0</v>
      </c>
      <c r="AA632" s="554">
        <v>0</v>
      </c>
      <c r="AB632" s="554">
        <v>0</v>
      </c>
      <c r="AC632" s="554">
        <v>0</v>
      </c>
    </row>
    <row r="634" spans="1:29" ht="12" thickBot="1">
      <c r="A634" s="303"/>
      <c r="B634" s="303"/>
      <c r="C634" s="303"/>
      <c r="D634" s="303"/>
      <c r="E634" s="303"/>
      <c r="F634" s="303"/>
      <c r="G634" s="303"/>
      <c r="H634" s="303"/>
      <c r="I634" s="303"/>
      <c r="J634" s="303"/>
      <c r="K634" s="303"/>
      <c r="L634" s="303"/>
      <c r="M634" s="303"/>
      <c r="N634" s="303"/>
      <c r="O634" s="303"/>
      <c r="P634" s="303"/>
      <c r="Q634" s="303"/>
      <c r="R634" s="303"/>
      <c r="S634" s="303"/>
      <c r="T634" s="303"/>
      <c r="U634" s="303"/>
      <c r="V634" s="303"/>
      <c r="W634" s="303"/>
      <c r="X634" s="303"/>
      <c r="Y634" s="303"/>
      <c r="Z634" s="303"/>
      <c r="AA634" s="303"/>
      <c r="AB634" s="303"/>
      <c r="AC634" s="303"/>
    </row>
    <row r="635" spans="1:29" ht="12.75" thickTop="1" thickBo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 spans="1:29" ht="12" thickTop="1">
      <c r="A636" s="337" t="s">
        <v>907</v>
      </c>
      <c r="E636" s="153">
        <f>E580</f>
        <v>1996</v>
      </c>
      <c r="F636" s="154">
        <f>F580</f>
        <v>1997</v>
      </c>
      <c r="G636" s="154">
        <f>G580</f>
        <v>1998</v>
      </c>
      <c r="H636" s="155" t="str">
        <f ca="1">$H$579&amp;"/"&amp;TEXT($H$580,"0")</f>
        <v>6 M/1999</v>
      </c>
      <c r="I636" s="156" t="str">
        <f ca="1">$I$579&amp;"/"&amp;TEXT($I$580,"0")</f>
        <v>6 M/1999</v>
      </c>
      <c r="J636" s="157">
        <f t="shared" ref="J636:AC636" si="509">J580</f>
        <v>2000</v>
      </c>
      <c r="K636" s="157">
        <f t="shared" si="509"/>
        <v>2001</v>
      </c>
      <c r="L636" s="157">
        <f t="shared" si="509"/>
        <v>2002</v>
      </c>
      <c r="M636" s="157">
        <f t="shared" si="509"/>
        <v>2003</v>
      </c>
      <c r="N636" s="157">
        <f t="shared" si="509"/>
        <v>2004</v>
      </c>
      <c r="O636" s="157">
        <f t="shared" si="509"/>
        <v>2005</v>
      </c>
      <c r="P636" s="157">
        <f t="shared" si="509"/>
        <v>2006</v>
      </c>
      <c r="Q636" s="157">
        <f t="shared" si="509"/>
        <v>2007</v>
      </c>
      <c r="R636" s="157">
        <f t="shared" si="509"/>
        <v>2008</v>
      </c>
      <c r="S636" s="157">
        <f t="shared" si="509"/>
        <v>2009</v>
      </c>
      <c r="T636" s="157">
        <f t="shared" si="509"/>
        <v>2010</v>
      </c>
      <c r="U636" s="157">
        <f t="shared" si="509"/>
        <v>2011</v>
      </c>
      <c r="V636" s="157">
        <f t="shared" si="509"/>
        <v>2012</v>
      </c>
      <c r="W636" s="157">
        <f t="shared" si="509"/>
        <v>2013</v>
      </c>
      <c r="X636" s="157">
        <f t="shared" si="509"/>
        <v>2014</v>
      </c>
      <c r="Y636" s="157">
        <f t="shared" si="509"/>
        <v>2015</v>
      </c>
      <c r="Z636" s="157">
        <f t="shared" si="509"/>
        <v>2016</v>
      </c>
      <c r="AA636" s="157">
        <f t="shared" si="509"/>
        <v>2017</v>
      </c>
      <c r="AB636" s="157">
        <f t="shared" si="509"/>
        <v>2018</v>
      </c>
      <c r="AC636" s="157">
        <f t="shared" si="509"/>
        <v>2019</v>
      </c>
    </row>
    <row r="637" spans="1:29" ht="12" thickBot="1">
      <c r="E637" s="158" t="s">
        <v>908</v>
      </c>
      <c r="F637" s="158" t="s">
        <v>908</v>
      </c>
      <c r="G637" s="158" t="s">
        <v>908</v>
      </c>
      <c r="H637" s="159" t="s">
        <v>908</v>
      </c>
      <c r="I637" s="160" t="s">
        <v>909</v>
      </c>
      <c r="J637" s="161" t="s">
        <v>909</v>
      </c>
      <c r="K637" s="161" t="s">
        <v>909</v>
      </c>
      <c r="L637" s="161" t="s">
        <v>909</v>
      </c>
      <c r="M637" s="161" t="s">
        <v>909</v>
      </c>
      <c r="N637" s="161" t="s">
        <v>909</v>
      </c>
      <c r="O637" s="161" t="s">
        <v>909</v>
      </c>
      <c r="P637" s="161" t="s">
        <v>909</v>
      </c>
      <c r="Q637" s="161" t="s">
        <v>909</v>
      </c>
      <c r="R637" s="161" t="s">
        <v>909</v>
      </c>
      <c r="S637" s="161" t="s">
        <v>909</v>
      </c>
      <c r="T637" s="161" t="s">
        <v>909</v>
      </c>
      <c r="U637" s="161" t="s">
        <v>909</v>
      </c>
      <c r="V637" s="161" t="s">
        <v>909</v>
      </c>
      <c r="W637" s="161" t="s">
        <v>909</v>
      </c>
      <c r="X637" s="161" t="s">
        <v>909</v>
      </c>
      <c r="Y637" s="161" t="s">
        <v>909</v>
      </c>
      <c r="Z637" s="161" t="s">
        <v>909</v>
      </c>
      <c r="AA637" s="161" t="s">
        <v>909</v>
      </c>
      <c r="AB637" s="161" t="s">
        <v>909</v>
      </c>
      <c r="AC637" s="161" t="s">
        <v>909</v>
      </c>
    </row>
    <row r="638" spans="1:29" ht="12" thickTop="1">
      <c r="A638" s="74" t="s">
        <v>910</v>
      </c>
      <c r="E638" s="553">
        <v>0</v>
      </c>
      <c r="F638" s="553">
        <v>260</v>
      </c>
      <c r="G638" s="553">
        <v>0</v>
      </c>
      <c r="H638" s="553">
        <v>0</v>
      </c>
    </row>
    <row r="639" spans="1:29">
      <c r="A639" s="74" t="s">
        <v>911</v>
      </c>
      <c r="I639" s="573">
        <v>0.34</v>
      </c>
      <c r="J639" s="573">
        <f t="shared" ref="J639:AC639" si="510">I639</f>
        <v>0.34</v>
      </c>
      <c r="K639" s="573">
        <f t="shared" si="510"/>
        <v>0.34</v>
      </c>
      <c r="L639" s="573">
        <f t="shared" si="510"/>
        <v>0.34</v>
      </c>
      <c r="M639" s="573">
        <f t="shared" si="510"/>
        <v>0.34</v>
      </c>
      <c r="N639" s="573">
        <f t="shared" si="510"/>
        <v>0.34</v>
      </c>
      <c r="O639" s="573">
        <f t="shared" si="510"/>
        <v>0.34</v>
      </c>
      <c r="P639" s="573">
        <f t="shared" si="510"/>
        <v>0.34</v>
      </c>
      <c r="Q639" s="573">
        <f t="shared" si="510"/>
        <v>0.34</v>
      </c>
      <c r="R639" s="573">
        <f t="shared" si="510"/>
        <v>0.34</v>
      </c>
      <c r="S639" s="573">
        <f t="shared" si="510"/>
        <v>0.34</v>
      </c>
      <c r="T639" s="573">
        <f t="shared" si="510"/>
        <v>0.34</v>
      </c>
      <c r="U639" s="573">
        <f t="shared" si="510"/>
        <v>0.34</v>
      </c>
      <c r="V639" s="573">
        <f t="shared" si="510"/>
        <v>0.34</v>
      </c>
      <c r="W639" s="573">
        <f t="shared" si="510"/>
        <v>0.34</v>
      </c>
      <c r="X639" s="573">
        <f t="shared" si="510"/>
        <v>0.34</v>
      </c>
      <c r="Y639" s="573">
        <f t="shared" si="510"/>
        <v>0.34</v>
      </c>
      <c r="Z639" s="573">
        <f t="shared" si="510"/>
        <v>0.34</v>
      </c>
      <c r="AA639" s="573">
        <f t="shared" si="510"/>
        <v>0.34</v>
      </c>
      <c r="AB639" s="573">
        <f t="shared" si="510"/>
        <v>0.34</v>
      </c>
      <c r="AC639" s="573">
        <f t="shared" si="510"/>
        <v>0.34</v>
      </c>
    </row>
    <row r="640" spans="1:29">
      <c r="A640" s="74" t="s">
        <v>912</v>
      </c>
      <c r="I640" s="568">
        <v>0</v>
      </c>
      <c r="J640" s="568">
        <f t="shared" ref="J640:AC640" si="511">I640</f>
        <v>0</v>
      </c>
      <c r="K640" s="568">
        <f t="shared" si="511"/>
        <v>0</v>
      </c>
      <c r="L640" s="568">
        <f t="shared" si="511"/>
        <v>0</v>
      </c>
      <c r="M640" s="568">
        <f t="shared" si="511"/>
        <v>0</v>
      </c>
      <c r="N640" s="568">
        <f t="shared" si="511"/>
        <v>0</v>
      </c>
      <c r="O640" s="568">
        <f t="shared" si="511"/>
        <v>0</v>
      </c>
      <c r="P640" s="568">
        <f t="shared" si="511"/>
        <v>0</v>
      </c>
      <c r="Q640" s="568">
        <f t="shared" si="511"/>
        <v>0</v>
      </c>
      <c r="R640" s="568">
        <f t="shared" si="511"/>
        <v>0</v>
      </c>
      <c r="S640" s="568">
        <f t="shared" si="511"/>
        <v>0</v>
      </c>
      <c r="T640" s="568">
        <f t="shared" si="511"/>
        <v>0</v>
      </c>
      <c r="U640" s="568">
        <f t="shared" si="511"/>
        <v>0</v>
      </c>
      <c r="V640" s="568">
        <f t="shared" si="511"/>
        <v>0</v>
      </c>
      <c r="W640" s="568">
        <f t="shared" si="511"/>
        <v>0</v>
      </c>
      <c r="X640" s="568">
        <f t="shared" si="511"/>
        <v>0</v>
      </c>
      <c r="Y640" s="568">
        <f t="shared" si="511"/>
        <v>0</v>
      </c>
      <c r="Z640" s="568">
        <f t="shared" si="511"/>
        <v>0</v>
      </c>
      <c r="AA640" s="568">
        <f t="shared" si="511"/>
        <v>0</v>
      </c>
      <c r="AB640" s="568">
        <f t="shared" si="511"/>
        <v>0</v>
      </c>
      <c r="AC640" s="568">
        <f t="shared" si="511"/>
        <v>0</v>
      </c>
    </row>
    <row r="641" spans="1:29">
      <c r="A641" s="74" t="s">
        <v>913</v>
      </c>
      <c r="I641" s="573">
        <v>0.2</v>
      </c>
      <c r="J641" s="573">
        <f t="shared" ref="J641:AC641" si="512">I641</f>
        <v>0.2</v>
      </c>
      <c r="K641" s="573">
        <f t="shared" si="512"/>
        <v>0.2</v>
      </c>
      <c r="L641" s="573">
        <f t="shared" si="512"/>
        <v>0.2</v>
      </c>
      <c r="M641" s="573">
        <f t="shared" si="512"/>
        <v>0.2</v>
      </c>
      <c r="N641" s="573">
        <f t="shared" si="512"/>
        <v>0.2</v>
      </c>
      <c r="O641" s="573">
        <f t="shared" si="512"/>
        <v>0.2</v>
      </c>
      <c r="P641" s="573">
        <f t="shared" si="512"/>
        <v>0.2</v>
      </c>
      <c r="Q641" s="573">
        <f t="shared" si="512"/>
        <v>0.2</v>
      </c>
      <c r="R641" s="573">
        <f t="shared" si="512"/>
        <v>0.2</v>
      </c>
      <c r="S641" s="573">
        <f t="shared" si="512"/>
        <v>0.2</v>
      </c>
      <c r="T641" s="573">
        <f t="shared" si="512"/>
        <v>0.2</v>
      </c>
      <c r="U641" s="573">
        <f t="shared" si="512"/>
        <v>0.2</v>
      </c>
      <c r="V641" s="573">
        <f t="shared" si="512"/>
        <v>0.2</v>
      </c>
      <c r="W641" s="573">
        <f t="shared" si="512"/>
        <v>0.2</v>
      </c>
      <c r="X641" s="573">
        <f t="shared" si="512"/>
        <v>0.2</v>
      </c>
      <c r="Y641" s="573">
        <f t="shared" si="512"/>
        <v>0.2</v>
      </c>
      <c r="Z641" s="573">
        <f t="shared" si="512"/>
        <v>0.2</v>
      </c>
      <c r="AA641" s="573">
        <f t="shared" si="512"/>
        <v>0.2</v>
      </c>
      <c r="AB641" s="573">
        <f t="shared" si="512"/>
        <v>0.2</v>
      </c>
      <c r="AC641" s="573">
        <f t="shared" si="512"/>
        <v>0.2</v>
      </c>
    </row>
    <row r="642" spans="1:29">
      <c r="A642"/>
      <c r="B642"/>
      <c r="C642"/>
      <c r="D642"/>
      <c r="E642"/>
      <c r="F642"/>
      <c r="G642"/>
      <c r="I642" s="16"/>
    </row>
    <row r="643" spans="1:29">
      <c r="A643" s="74" t="s">
        <v>914</v>
      </c>
      <c r="C643"/>
      <c r="E643" s="71" t="s">
        <v>915</v>
      </c>
      <c r="F643" s="553">
        <v>14000</v>
      </c>
      <c r="G643"/>
      <c r="H643"/>
      <c r="I643" s="89"/>
      <c r="J643" s="89"/>
      <c r="K643" s="89"/>
    </row>
    <row r="644" spans="1:29">
      <c r="A644" s="74"/>
      <c r="C644"/>
      <c r="E644" s="71" t="s">
        <v>916</v>
      </c>
      <c r="F644" s="554">
        <v>8000</v>
      </c>
      <c r="G644"/>
      <c r="H644"/>
      <c r="I644" s="16"/>
    </row>
    <row r="645" spans="1:29">
      <c r="A645" s="74"/>
      <c r="C645"/>
      <c r="E645" s="71" t="s">
        <v>917</v>
      </c>
      <c r="F645" s="554">
        <v>2000</v>
      </c>
      <c r="G645"/>
      <c r="H645"/>
      <c r="I645" s="16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  <c r="AB645" s="89"/>
      <c r="AC645" s="89"/>
    </row>
    <row r="646" spans="1:29">
      <c r="A646" s="74" t="s">
        <v>918</v>
      </c>
      <c r="F646" s="554">
        <v>11000</v>
      </c>
      <c r="G646"/>
      <c r="H646"/>
      <c r="I646" s="16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</row>
    <row r="647" spans="1:29">
      <c r="A647" s="74"/>
      <c r="C647"/>
      <c r="F647" s="71"/>
      <c r="G647" s="16"/>
      <c r="H647"/>
      <c r="I647" s="16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  <c r="AB647" s="89"/>
      <c r="AC647" s="89"/>
    </row>
    <row r="648" spans="1:29">
      <c r="A648" s="74" t="s">
        <v>919</v>
      </c>
      <c r="F648" s="228"/>
      <c r="G648"/>
      <c r="I648" s="573">
        <v>0.7</v>
      </c>
      <c r="J648" s="573">
        <f t="shared" ref="J648:AC648" si="513">I648</f>
        <v>0.7</v>
      </c>
      <c r="K648" s="573">
        <f t="shared" si="513"/>
        <v>0.7</v>
      </c>
      <c r="L648" s="573">
        <f t="shared" si="513"/>
        <v>0.7</v>
      </c>
      <c r="M648" s="573">
        <f t="shared" si="513"/>
        <v>0.7</v>
      </c>
      <c r="N648" s="573">
        <f t="shared" si="513"/>
        <v>0.7</v>
      </c>
      <c r="O648" s="573">
        <f t="shared" si="513"/>
        <v>0.7</v>
      </c>
      <c r="P648" s="573">
        <f t="shared" si="513"/>
        <v>0.7</v>
      </c>
      <c r="Q648" s="573">
        <f t="shared" si="513"/>
        <v>0.7</v>
      </c>
      <c r="R648" s="573">
        <f t="shared" si="513"/>
        <v>0.7</v>
      </c>
      <c r="S648" s="573">
        <f t="shared" si="513"/>
        <v>0.7</v>
      </c>
      <c r="T648" s="573">
        <f t="shared" si="513"/>
        <v>0.7</v>
      </c>
      <c r="U648" s="573">
        <f t="shared" si="513"/>
        <v>0.7</v>
      </c>
      <c r="V648" s="573">
        <f t="shared" si="513"/>
        <v>0.7</v>
      </c>
      <c r="W648" s="573">
        <f t="shared" si="513"/>
        <v>0.7</v>
      </c>
      <c r="X648" s="573">
        <f t="shared" si="513"/>
        <v>0.7</v>
      </c>
      <c r="Y648" s="573">
        <f t="shared" si="513"/>
        <v>0.7</v>
      </c>
      <c r="Z648" s="573">
        <f t="shared" si="513"/>
        <v>0.7</v>
      </c>
      <c r="AA648" s="573">
        <f t="shared" si="513"/>
        <v>0.7</v>
      </c>
      <c r="AB648" s="573">
        <f t="shared" si="513"/>
        <v>0.7</v>
      </c>
      <c r="AC648" s="573">
        <f t="shared" si="513"/>
        <v>0.7</v>
      </c>
    </row>
    <row r="649" spans="1:2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 spans="1:29" ht="12" thickBot="1">
      <c r="A650" s="355"/>
      <c r="B650" s="303"/>
      <c r="C650" s="302"/>
      <c r="D650" s="303"/>
      <c r="E650" s="303"/>
      <c r="F650" s="303"/>
      <c r="G650" s="302"/>
      <c r="H650" s="381"/>
      <c r="I650" s="382"/>
      <c r="J650" s="303"/>
      <c r="K650" s="303"/>
      <c r="L650" s="383"/>
      <c r="M650" s="383"/>
      <c r="N650" s="383"/>
      <c r="O650" s="383"/>
      <c r="P650" s="383"/>
      <c r="Q650" s="383"/>
      <c r="R650" s="383"/>
      <c r="S650" s="383"/>
      <c r="T650" s="383"/>
      <c r="U650" s="383"/>
      <c r="V650" s="383"/>
      <c r="W650" s="383"/>
      <c r="X650" s="383"/>
      <c r="Y650" s="383"/>
      <c r="Z650" s="383"/>
      <c r="AA650" s="383"/>
      <c r="AB650" s="383"/>
      <c r="AC650" s="383"/>
    </row>
    <row r="651" spans="1:29" ht="12.75" thickTop="1" thickBot="1">
      <c r="A651" s="74"/>
    </row>
    <row r="652" spans="1:29" ht="12.75" thickTop="1" thickBot="1">
      <c r="A652" s="15" t="s">
        <v>920</v>
      </c>
      <c r="D652" s="90"/>
      <c r="E652" s="22"/>
      <c r="F652" s="22"/>
      <c r="G652" s="22"/>
      <c r="H652" s="216" t="str">
        <f ca="1">$H$579&amp;"/"&amp;TEXT($H$580,"0")</f>
        <v>6 M/1999</v>
      </c>
      <c r="I652" s="216" t="str">
        <f ca="1">$I$579&amp;"/"&amp;TEXT($I$580,"0")</f>
        <v>6 M/1999</v>
      </c>
      <c r="J652" s="217">
        <f t="shared" ref="J652:AC652" si="514">J580</f>
        <v>2000</v>
      </c>
      <c r="K652" s="217">
        <f t="shared" si="514"/>
        <v>2001</v>
      </c>
      <c r="L652" s="217">
        <f t="shared" si="514"/>
        <v>2002</v>
      </c>
      <c r="M652" s="217">
        <f t="shared" si="514"/>
        <v>2003</v>
      </c>
      <c r="N652" s="217">
        <f t="shared" si="514"/>
        <v>2004</v>
      </c>
      <c r="O652" s="217">
        <f t="shared" si="514"/>
        <v>2005</v>
      </c>
      <c r="P652" s="217">
        <f t="shared" si="514"/>
        <v>2006</v>
      </c>
      <c r="Q652" s="217">
        <f t="shared" si="514"/>
        <v>2007</v>
      </c>
      <c r="R652" s="217">
        <f t="shared" si="514"/>
        <v>2008</v>
      </c>
      <c r="S652" s="217">
        <f t="shared" si="514"/>
        <v>2009</v>
      </c>
      <c r="T652" s="217">
        <f t="shared" si="514"/>
        <v>2010</v>
      </c>
      <c r="U652" s="217">
        <f t="shared" si="514"/>
        <v>2011</v>
      </c>
      <c r="V652" s="217">
        <f t="shared" si="514"/>
        <v>2012</v>
      </c>
      <c r="W652" s="217">
        <f t="shared" si="514"/>
        <v>2013</v>
      </c>
      <c r="X652" s="217">
        <f t="shared" si="514"/>
        <v>2014</v>
      </c>
      <c r="Y652" s="217">
        <f t="shared" si="514"/>
        <v>2015</v>
      </c>
      <c r="Z652" s="217">
        <f t="shared" si="514"/>
        <v>2016</v>
      </c>
      <c r="AA652" s="217">
        <f t="shared" si="514"/>
        <v>2017</v>
      </c>
      <c r="AB652" s="217">
        <f t="shared" si="514"/>
        <v>2018</v>
      </c>
      <c r="AC652" s="217">
        <f t="shared" si="514"/>
        <v>2019</v>
      </c>
    </row>
    <row r="653" spans="1:29" ht="12" thickTop="1">
      <c r="A653" s="77" t="s">
        <v>921</v>
      </c>
      <c r="D653" s="90"/>
      <c r="E653" s="90"/>
      <c r="F653" s="90"/>
      <c r="G653" s="90"/>
      <c r="H653" s="90"/>
      <c r="I653" s="69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</row>
    <row r="654" spans="1:29">
      <c r="A654" s="5" t="s">
        <v>922</v>
      </c>
      <c r="C654" s="90"/>
      <c r="D654" s="90"/>
      <c r="E654" s="90"/>
      <c r="F654" s="90"/>
      <c r="G654" s="90"/>
      <c r="H654"/>
      <c r="I654" s="115">
        <f t="shared" ref="I654:AC654" ca="1" si="515">I104</f>
        <v>-501.12434572607458</v>
      </c>
      <c r="J654" s="115">
        <f t="shared" ca="1" si="515"/>
        <v>6242.9363945444502</v>
      </c>
      <c r="K654" s="90">
        <f t="shared" ca="1" si="515"/>
        <v>5273.7733750655825</v>
      </c>
      <c r="L654" s="90">
        <f t="shared" ca="1" si="515"/>
        <v>5092.8627493856411</v>
      </c>
      <c r="M654" s="90">
        <f t="shared" ca="1" si="515"/>
        <v>4969.5357385266025</v>
      </c>
      <c r="N654" s="90">
        <f t="shared" ca="1" si="515"/>
        <v>4752.9601733439176</v>
      </c>
      <c r="O654" s="90">
        <f t="shared" ca="1" si="515"/>
        <v>4440.1792917789444</v>
      </c>
      <c r="P654" s="90">
        <f t="shared" ca="1" si="515"/>
        <v>4138.8609092428933</v>
      </c>
      <c r="Q654" s="90">
        <f t="shared" ca="1" si="515"/>
        <v>3928.1041368475258</v>
      </c>
      <c r="R654" s="90">
        <f t="shared" ca="1" si="515"/>
        <v>3753.1194095140572</v>
      </c>
      <c r="S654" s="90">
        <f t="shared" ca="1" si="515"/>
        <v>3630.1544055799318</v>
      </c>
      <c r="T654" s="90">
        <f t="shared" ca="1" si="515"/>
        <v>3509.5326874077855</v>
      </c>
      <c r="U654" s="90">
        <f t="shared" ca="1" si="515"/>
        <v>3424.4910350347709</v>
      </c>
      <c r="V654" s="90">
        <f t="shared" ca="1" si="515"/>
        <v>3341.5276952330646</v>
      </c>
      <c r="W654" s="90">
        <f t="shared" ca="1" si="515"/>
        <v>3304.0264373908294</v>
      </c>
      <c r="X654" s="90">
        <f t="shared" ca="1" si="515"/>
        <v>3260.2451383870261</v>
      </c>
      <c r="Y654" s="90">
        <f t="shared" ca="1" si="515"/>
        <v>3229.9285170020944</v>
      </c>
      <c r="Z654" s="90">
        <f t="shared" ca="1" si="515"/>
        <v>3169.4290397071441</v>
      </c>
      <c r="AA654" s="90">
        <f t="shared" ca="1" si="515"/>
        <v>3160.3362050694677</v>
      </c>
      <c r="AB654" s="90">
        <f t="shared" ca="1" si="515"/>
        <v>3175.1655226136158</v>
      </c>
      <c r="AC654" s="90">
        <f t="shared" ca="1" si="515"/>
        <v>3231.4125224952354</v>
      </c>
    </row>
    <row r="655" spans="1:29">
      <c r="A655" s="5" t="s">
        <v>923</v>
      </c>
      <c r="B655" s="5" t="s">
        <v>924</v>
      </c>
      <c r="C655" s="90"/>
      <c r="D655" s="90"/>
      <c r="E655" s="90"/>
      <c r="F655" s="90"/>
      <c r="G655" s="90"/>
      <c r="H655"/>
      <c r="I655" s="115">
        <f t="shared" ref="I655:AC655" ca="1" si="516">I78</f>
        <v>0</v>
      </c>
      <c r="J655" s="115">
        <f t="shared" si="516"/>
        <v>0</v>
      </c>
      <c r="K655" s="90">
        <f t="shared" si="516"/>
        <v>0</v>
      </c>
      <c r="L655" s="90">
        <f t="shared" si="516"/>
        <v>0</v>
      </c>
      <c r="M655" s="90">
        <f t="shared" si="516"/>
        <v>0</v>
      </c>
      <c r="N655" s="90">
        <f t="shared" si="516"/>
        <v>0</v>
      </c>
      <c r="O655" s="90">
        <f t="shared" si="516"/>
        <v>0</v>
      </c>
      <c r="P655" s="90">
        <f t="shared" si="516"/>
        <v>0</v>
      </c>
      <c r="Q655" s="90">
        <f t="shared" si="516"/>
        <v>0</v>
      </c>
      <c r="R655" s="90">
        <f t="shared" si="516"/>
        <v>0</v>
      </c>
      <c r="S655" s="90">
        <f t="shared" si="516"/>
        <v>0</v>
      </c>
      <c r="T655" s="90">
        <f t="shared" si="516"/>
        <v>0</v>
      </c>
      <c r="U655" s="90">
        <f t="shared" si="516"/>
        <v>0</v>
      </c>
      <c r="V655" s="90">
        <f t="shared" si="516"/>
        <v>0</v>
      </c>
      <c r="W655" s="90">
        <f t="shared" si="516"/>
        <v>0</v>
      </c>
      <c r="X655" s="90">
        <f t="shared" si="516"/>
        <v>0</v>
      </c>
      <c r="Y655" s="90">
        <f t="shared" si="516"/>
        <v>0</v>
      </c>
      <c r="Z655" s="90">
        <f t="shared" si="516"/>
        <v>0</v>
      </c>
      <c r="AA655" s="90">
        <f t="shared" si="516"/>
        <v>0</v>
      </c>
      <c r="AB655" s="90">
        <f t="shared" si="516"/>
        <v>0</v>
      </c>
      <c r="AC655" s="90">
        <f t="shared" si="516"/>
        <v>0</v>
      </c>
    </row>
    <row r="656" spans="1:29">
      <c r="A656"/>
      <c r="B656" s="5" t="s">
        <v>925</v>
      </c>
      <c r="C656" s="90"/>
      <c r="D656" s="90"/>
      <c r="E656" s="90"/>
      <c r="F656" s="90"/>
      <c r="G656" s="90"/>
      <c r="H656"/>
      <c r="I656" s="115">
        <f t="shared" ref="I656:AC656" si="517">I945+I607</f>
        <v>0</v>
      </c>
      <c r="J656" s="115">
        <f t="shared" si="517"/>
        <v>0</v>
      </c>
      <c r="K656" s="115">
        <f t="shared" si="517"/>
        <v>0</v>
      </c>
      <c r="L656" s="115">
        <f t="shared" si="517"/>
        <v>0</v>
      </c>
      <c r="M656" s="115">
        <f t="shared" si="517"/>
        <v>0</v>
      </c>
      <c r="N656" s="115">
        <f t="shared" si="517"/>
        <v>0</v>
      </c>
      <c r="O656" s="115">
        <f t="shared" si="517"/>
        <v>0</v>
      </c>
      <c r="P656" s="115">
        <f t="shared" si="517"/>
        <v>0</v>
      </c>
      <c r="Q656" s="115">
        <f t="shared" si="517"/>
        <v>0</v>
      </c>
      <c r="R656" s="115">
        <f t="shared" si="517"/>
        <v>0</v>
      </c>
      <c r="S656" s="115">
        <f t="shared" si="517"/>
        <v>0</v>
      </c>
      <c r="T656" s="115">
        <f t="shared" si="517"/>
        <v>0</v>
      </c>
      <c r="U656" s="115">
        <f t="shared" si="517"/>
        <v>0</v>
      </c>
      <c r="V656" s="115">
        <f t="shared" si="517"/>
        <v>0</v>
      </c>
      <c r="W656" s="115">
        <f t="shared" si="517"/>
        <v>0</v>
      </c>
      <c r="X656" s="115">
        <f t="shared" si="517"/>
        <v>0</v>
      </c>
      <c r="Y656" s="115">
        <f t="shared" si="517"/>
        <v>0</v>
      </c>
      <c r="Z656" s="115">
        <f t="shared" si="517"/>
        <v>0</v>
      </c>
      <c r="AA656" s="115">
        <f t="shared" si="517"/>
        <v>0</v>
      </c>
      <c r="AB656" s="115">
        <f t="shared" si="517"/>
        <v>0</v>
      </c>
      <c r="AC656" s="115">
        <f t="shared" si="517"/>
        <v>0</v>
      </c>
    </row>
    <row r="657" spans="1:29">
      <c r="A657" s="114"/>
      <c r="B657" s="231" t="s">
        <v>926</v>
      </c>
      <c r="C657" s="90"/>
      <c r="D657" s="90"/>
      <c r="E657" s="90"/>
      <c r="F657" s="90"/>
      <c r="G657" s="90"/>
      <c r="H657"/>
      <c r="I657" s="115">
        <f t="shared" ref="I657:AC657" si="518">I954</f>
        <v>0</v>
      </c>
      <c r="J657" s="115">
        <f t="shared" si="518"/>
        <v>0</v>
      </c>
      <c r="K657" s="115">
        <f t="shared" si="518"/>
        <v>0</v>
      </c>
      <c r="L657" s="115">
        <f t="shared" si="518"/>
        <v>0</v>
      </c>
      <c r="M657" s="115">
        <f t="shared" si="518"/>
        <v>0</v>
      </c>
      <c r="N657" s="115">
        <f t="shared" si="518"/>
        <v>0</v>
      </c>
      <c r="O657" s="115">
        <f t="shared" si="518"/>
        <v>4.3794061069212393</v>
      </c>
      <c r="P657" s="115">
        <f t="shared" si="518"/>
        <v>4.7347913013252478</v>
      </c>
      <c r="Q657" s="115">
        <f t="shared" si="518"/>
        <v>7.1018340606587129</v>
      </c>
      <c r="R657" s="115">
        <f t="shared" si="518"/>
        <v>6.0602935036541092</v>
      </c>
      <c r="S657" s="115">
        <f t="shared" si="518"/>
        <v>5.134621601663329</v>
      </c>
      <c r="T657" s="115">
        <f t="shared" si="518"/>
        <v>4.3136934004570406</v>
      </c>
      <c r="U657" s="115">
        <f t="shared" si="518"/>
        <v>3.6160470859451221</v>
      </c>
      <c r="V657" s="115">
        <f t="shared" si="518"/>
        <v>2.9690276563928304</v>
      </c>
      <c r="W657" s="115">
        <f t="shared" si="518"/>
        <v>2.4348443565521936</v>
      </c>
      <c r="X657" s="115">
        <f t="shared" si="518"/>
        <v>1.9752031273747968</v>
      </c>
      <c r="Y657" s="115">
        <f t="shared" si="518"/>
        <v>1.556639308963266</v>
      </c>
      <c r="Z657" s="115">
        <f t="shared" si="518"/>
        <v>1.1435136510314272</v>
      </c>
      <c r="AA657" s="115">
        <f t="shared" si="518"/>
        <v>0.87442728015961602</v>
      </c>
      <c r="AB657" s="115">
        <f t="shared" si="518"/>
        <v>0.67267199847163439</v>
      </c>
      <c r="AC657" s="115">
        <f t="shared" si="518"/>
        <v>0.5559855604294327</v>
      </c>
    </row>
    <row r="658" spans="1:29">
      <c r="A658"/>
      <c r="B658" s="231" t="s">
        <v>927</v>
      </c>
      <c r="H658"/>
      <c r="I658" s="69">
        <f t="shared" ref="I658:X658" si="519">-I103</f>
        <v>0</v>
      </c>
      <c r="J658" s="69">
        <f t="shared" si="519"/>
        <v>0</v>
      </c>
      <c r="K658" s="69">
        <f t="shared" si="519"/>
        <v>0</v>
      </c>
      <c r="L658" s="69">
        <f t="shared" si="519"/>
        <v>0</v>
      </c>
      <c r="M658" s="69">
        <f t="shared" si="519"/>
        <v>0</v>
      </c>
      <c r="N658" s="69">
        <f t="shared" si="519"/>
        <v>0</v>
      </c>
      <c r="O658" s="69">
        <f t="shared" si="519"/>
        <v>0</v>
      </c>
      <c r="P658" s="69">
        <f t="shared" si="519"/>
        <v>0</v>
      </c>
      <c r="Q658" s="69">
        <f t="shared" si="519"/>
        <v>0</v>
      </c>
      <c r="R658" s="69">
        <f t="shared" si="519"/>
        <v>0</v>
      </c>
      <c r="S658" s="69">
        <f t="shared" si="519"/>
        <v>0</v>
      </c>
      <c r="T658" s="69">
        <f t="shared" si="519"/>
        <v>0</v>
      </c>
      <c r="U658" s="69">
        <f t="shared" si="519"/>
        <v>0</v>
      </c>
      <c r="V658" s="69">
        <f t="shared" si="519"/>
        <v>0</v>
      </c>
      <c r="W658" s="69">
        <f t="shared" si="519"/>
        <v>0</v>
      </c>
      <c r="X658" s="69">
        <f t="shared" si="519"/>
        <v>0</v>
      </c>
      <c r="Y658" s="69">
        <f>-Y103</f>
        <v>0</v>
      </c>
      <c r="Z658" s="69">
        <f>-Z103</f>
        <v>0</v>
      </c>
      <c r="AA658" s="69">
        <f>-AA103</f>
        <v>0</v>
      </c>
      <c r="AB658" s="69">
        <f>-AB103</f>
        <v>0</v>
      </c>
      <c r="AC658" s="69">
        <f>-AC103</f>
        <v>0</v>
      </c>
    </row>
    <row r="659" spans="1:29">
      <c r="A659"/>
      <c r="B659" s="349" t="s">
        <v>928</v>
      </c>
      <c r="H659"/>
      <c r="I659" s="69">
        <f t="shared" ref="I659:AC659" si="520">I759</f>
        <v>0</v>
      </c>
      <c r="J659" s="69">
        <f t="shared" ca="1" si="520"/>
        <v>0</v>
      </c>
      <c r="K659" s="69">
        <f t="shared" ca="1" si="520"/>
        <v>0</v>
      </c>
      <c r="L659" s="69">
        <f t="shared" ca="1" si="520"/>
        <v>0</v>
      </c>
      <c r="M659" s="69">
        <f t="shared" ca="1" si="520"/>
        <v>0</v>
      </c>
      <c r="N659" s="69">
        <f t="shared" ca="1" si="520"/>
        <v>0</v>
      </c>
      <c r="O659" s="69">
        <f t="shared" ca="1" si="520"/>
        <v>0</v>
      </c>
      <c r="P659" s="69">
        <f t="shared" ca="1" si="520"/>
        <v>0</v>
      </c>
      <c r="Q659" s="69">
        <f t="shared" ca="1" si="520"/>
        <v>0</v>
      </c>
      <c r="R659" s="69">
        <f t="shared" ca="1" si="520"/>
        <v>0</v>
      </c>
      <c r="S659" s="69">
        <f t="shared" ca="1" si="520"/>
        <v>0</v>
      </c>
      <c r="T659" s="69">
        <f t="shared" ca="1" si="520"/>
        <v>0</v>
      </c>
      <c r="U659" s="69">
        <f t="shared" ca="1" si="520"/>
        <v>0</v>
      </c>
      <c r="V659" s="69">
        <f t="shared" ca="1" si="520"/>
        <v>0</v>
      </c>
      <c r="W659" s="69">
        <f t="shared" ca="1" si="520"/>
        <v>0</v>
      </c>
      <c r="X659" s="69">
        <f t="shared" ca="1" si="520"/>
        <v>0</v>
      </c>
      <c r="Y659" s="69">
        <f t="shared" si="520"/>
        <v>0</v>
      </c>
      <c r="Z659" s="69">
        <f t="shared" si="520"/>
        <v>0</v>
      </c>
      <c r="AA659" s="69">
        <f t="shared" si="520"/>
        <v>0</v>
      </c>
      <c r="AB659" s="69">
        <f t="shared" si="520"/>
        <v>0</v>
      </c>
      <c r="AC659" s="69">
        <f t="shared" si="520"/>
        <v>0</v>
      </c>
    </row>
    <row r="660" spans="1:29">
      <c r="A660" s="5" t="s">
        <v>929</v>
      </c>
      <c r="B660" s="231" t="s">
        <v>930</v>
      </c>
      <c r="C660" s="90"/>
      <c r="D660" s="89"/>
      <c r="E660" s="89"/>
      <c r="F660" s="89"/>
      <c r="G660" s="89"/>
      <c r="H660"/>
      <c r="I660" s="115">
        <f t="shared" ref="I660:AC660" si="521">-(I946+I611)</f>
        <v>0</v>
      </c>
      <c r="J660" s="115">
        <f t="shared" si="521"/>
        <v>0</v>
      </c>
      <c r="K660" s="115">
        <f t="shared" si="521"/>
        <v>0</v>
      </c>
      <c r="L660" s="115">
        <f t="shared" si="521"/>
        <v>0</v>
      </c>
      <c r="M660" s="115">
        <f t="shared" si="521"/>
        <v>0</v>
      </c>
      <c r="N660" s="115">
        <f t="shared" si="521"/>
        <v>0</v>
      </c>
      <c r="O660" s="115">
        <f t="shared" si="521"/>
        <v>0</v>
      </c>
      <c r="P660" s="115">
        <f t="shared" si="521"/>
        <v>0</v>
      </c>
      <c r="Q660" s="115">
        <f t="shared" si="521"/>
        <v>0</v>
      </c>
      <c r="R660" s="115">
        <f t="shared" si="521"/>
        <v>0</v>
      </c>
      <c r="S660" s="115">
        <f t="shared" si="521"/>
        <v>0</v>
      </c>
      <c r="T660" s="115">
        <f t="shared" si="521"/>
        <v>0</v>
      </c>
      <c r="U660" s="115">
        <f t="shared" si="521"/>
        <v>0</v>
      </c>
      <c r="V660" s="115">
        <f t="shared" si="521"/>
        <v>0</v>
      </c>
      <c r="W660" s="115">
        <f t="shared" si="521"/>
        <v>0</v>
      </c>
      <c r="X660" s="115">
        <f t="shared" si="521"/>
        <v>0</v>
      </c>
      <c r="Y660" s="115">
        <f t="shared" si="521"/>
        <v>0</v>
      </c>
      <c r="Z660" s="115">
        <f t="shared" si="521"/>
        <v>0</v>
      </c>
      <c r="AA660" s="115">
        <f t="shared" si="521"/>
        <v>0</v>
      </c>
      <c r="AB660" s="115">
        <f t="shared" si="521"/>
        <v>0</v>
      </c>
      <c r="AC660" s="115">
        <f t="shared" si="521"/>
        <v>0</v>
      </c>
    </row>
    <row r="661" spans="1:29">
      <c r="B661" s="231" t="s">
        <v>931</v>
      </c>
      <c r="C661" s="90"/>
      <c r="D661" s="89"/>
      <c r="E661" s="89"/>
      <c r="F661" s="89"/>
      <c r="G661" s="89"/>
      <c r="H661"/>
      <c r="I661" s="115">
        <f t="shared" ref="I661:X661" si="522">-I955</f>
        <v>0</v>
      </c>
      <c r="J661" s="115">
        <f t="shared" si="522"/>
        <v>0</v>
      </c>
      <c r="K661" s="115">
        <f t="shared" si="522"/>
        <v>0</v>
      </c>
      <c r="L661" s="115">
        <f t="shared" si="522"/>
        <v>0</v>
      </c>
      <c r="M661" s="115">
        <f t="shared" si="522"/>
        <v>0</v>
      </c>
      <c r="N661" s="115">
        <f t="shared" si="522"/>
        <v>0</v>
      </c>
      <c r="O661" s="115">
        <f t="shared" si="522"/>
        <v>-4.3794061069212393</v>
      </c>
      <c r="P661" s="115">
        <f t="shared" si="522"/>
        <v>-4.7347913013252478</v>
      </c>
      <c r="Q661" s="115">
        <f t="shared" si="522"/>
        <v>-7.1018340606587129</v>
      </c>
      <c r="R661" s="115">
        <f t="shared" si="522"/>
        <v>-6.0602935036541092</v>
      </c>
      <c r="S661" s="115">
        <f t="shared" si="522"/>
        <v>-5.134621601663329</v>
      </c>
      <c r="T661" s="115">
        <f t="shared" si="522"/>
        <v>-4.3136934004570406</v>
      </c>
      <c r="U661" s="115">
        <f t="shared" si="522"/>
        <v>-3.6160470859451221</v>
      </c>
      <c r="V661" s="115">
        <f t="shared" si="522"/>
        <v>-2.9690276563928304</v>
      </c>
      <c r="W661" s="115">
        <f t="shared" si="522"/>
        <v>-2.4348443565521936</v>
      </c>
      <c r="X661" s="115">
        <f t="shared" si="522"/>
        <v>-1.9752031273747968</v>
      </c>
      <c r="Y661" s="115">
        <f>-Y955</f>
        <v>-1.556639308963266</v>
      </c>
      <c r="Z661" s="115">
        <f>-Z955</f>
        <v>-1.1435136510314272</v>
      </c>
      <c r="AA661" s="115">
        <f>-AA955</f>
        <v>-0.87442728015961602</v>
      </c>
      <c r="AB661" s="115">
        <f>-AB955</f>
        <v>-0.67267199847163439</v>
      </c>
      <c r="AC661" s="115">
        <f>-AC955</f>
        <v>-0.5559855604294327</v>
      </c>
    </row>
    <row r="662" spans="1:29">
      <c r="A662"/>
      <c r="B662" s="231" t="s">
        <v>932</v>
      </c>
      <c r="H662"/>
      <c r="I662" s="69">
        <f t="shared" ref="I662:AC662" si="523">I610</f>
        <v>0</v>
      </c>
      <c r="J662" s="69">
        <f t="shared" si="523"/>
        <v>0</v>
      </c>
      <c r="K662" s="5">
        <f t="shared" si="523"/>
        <v>0</v>
      </c>
      <c r="L662" s="5">
        <f t="shared" si="523"/>
        <v>0</v>
      </c>
      <c r="M662" s="5">
        <f t="shared" si="523"/>
        <v>0</v>
      </c>
      <c r="N662" s="5">
        <f t="shared" si="523"/>
        <v>0</v>
      </c>
      <c r="O662" s="5">
        <f t="shared" si="523"/>
        <v>0</v>
      </c>
      <c r="P662" s="5">
        <f t="shared" si="523"/>
        <v>0</v>
      </c>
      <c r="Q662" s="5">
        <f t="shared" si="523"/>
        <v>0</v>
      </c>
      <c r="R662" s="5">
        <f t="shared" si="523"/>
        <v>0</v>
      </c>
      <c r="S662" s="5">
        <f t="shared" si="523"/>
        <v>0</v>
      </c>
      <c r="T662" s="5">
        <f t="shared" si="523"/>
        <v>0</v>
      </c>
      <c r="U662" s="5">
        <f t="shared" si="523"/>
        <v>0</v>
      </c>
      <c r="V662" s="5">
        <f t="shared" si="523"/>
        <v>0</v>
      </c>
      <c r="W662" s="5">
        <f t="shared" si="523"/>
        <v>0</v>
      </c>
      <c r="X662" s="5">
        <f t="shared" si="523"/>
        <v>0</v>
      </c>
      <c r="Y662" s="5">
        <f t="shared" si="523"/>
        <v>0</v>
      </c>
      <c r="Z662" s="5">
        <f t="shared" si="523"/>
        <v>0</v>
      </c>
      <c r="AA662" s="5">
        <f t="shared" si="523"/>
        <v>0</v>
      </c>
      <c r="AB662" s="5">
        <f t="shared" si="523"/>
        <v>0</v>
      </c>
      <c r="AC662" s="5">
        <f t="shared" si="523"/>
        <v>0</v>
      </c>
    </row>
    <row r="663" spans="1:29">
      <c r="A663"/>
      <c r="B663" s="349" t="s">
        <v>933</v>
      </c>
      <c r="G663"/>
      <c r="H663"/>
      <c r="I663" s="69">
        <f t="shared" ref="I663:X663" si="524">-I493</f>
        <v>0</v>
      </c>
      <c r="J663" s="69">
        <f t="shared" si="524"/>
        <v>0</v>
      </c>
      <c r="K663" s="69">
        <f t="shared" si="524"/>
        <v>0</v>
      </c>
      <c r="L663" s="69">
        <f t="shared" si="524"/>
        <v>0</v>
      </c>
      <c r="M663" s="69">
        <f t="shared" si="524"/>
        <v>0</v>
      </c>
      <c r="N663" s="69">
        <f t="shared" si="524"/>
        <v>0</v>
      </c>
      <c r="O663" s="69">
        <f t="shared" si="524"/>
        <v>0</v>
      </c>
      <c r="P663" s="69">
        <f t="shared" si="524"/>
        <v>0</v>
      </c>
      <c r="Q663" s="69">
        <f t="shared" si="524"/>
        <v>0</v>
      </c>
      <c r="R663" s="69">
        <f t="shared" si="524"/>
        <v>0</v>
      </c>
      <c r="S663" s="69">
        <f t="shared" si="524"/>
        <v>0</v>
      </c>
      <c r="T663" s="69">
        <f t="shared" si="524"/>
        <v>0</v>
      </c>
      <c r="U663" s="69">
        <f t="shared" si="524"/>
        <v>0</v>
      </c>
      <c r="V663" s="69">
        <f t="shared" si="524"/>
        <v>0</v>
      </c>
      <c r="W663" s="69">
        <f t="shared" si="524"/>
        <v>0</v>
      </c>
      <c r="X663" s="69">
        <f t="shared" si="524"/>
        <v>0</v>
      </c>
      <c r="Y663" s="69">
        <f>-Y493</f>
        <v>0</v>
      </c>
      <c r="Z663" s="69">
        <f>-Z493</f>
        <v>0</v>
      </c>
      <c r="AA663" s="69">
        <f>-AA493</f>
        <v>0</v>
      </c>
      <c r="AB663" s="69">
        <f>-AB493</f>
        <v>0</v>
      </c>
      <c r="AC663" s="69">
        <f>-AC493</f>
        <v>0</v>
      </c>
    </row>
    <row r="664" spans="1:29">
      <c r="A664"/>
      <c r="B664" s="231" t="s">
        <v>934</v>
      </c>
      <c r="H664"/>
      <c r="I664" s="69">
        <f t="shared" ref="I664:X664" ca="1" si="525">-I777</f>
        <v>0</v>
      </c>
      <c r="J664" s="69">
        <f t="shared" ca="1" si="525"/>
        <v>0</v>
      </c>
      <c r="K664" s="69">
        <f t="shared" ca="1" si="525"/>
        <v>0</v>
      </c>
      <c r="L664" s="69">
        <f t="shared" ca="1" si="525"/>
        <v>0</v>
      </c>
      <c r="M664" s="69">
        <f t="shared" ca="1" si="525"/>
        <v>0</v>
      </c>
      <c r="N664" s="69">
        <f t="shared" ca="1" si="525"/>
        <v>0</v>
      </c>
      <c r="O664" s="69">
        <f t="shared" ca="1" si="525"/>
        <v>0</v>
      </c>
      <c r="P664" s="69">
        <f t="shared" ca="1" si="525"/>
        <v>0</v>
      </c>
      <c r="Q664" s="69">
        <f t="shared" ca="1" si="525"/>
        <v>0</v>
      </c>
      <c r="R664" s="69">
        <f t="shared" ca="1" si="525"/>
        <v>0</v>
      </c>
      <c r="S664" s="69">
        <f t="shared" ca="1" si="525"/>
        <v>0</v>
      </c>
      <c r="T664" s="69">
        <f t="shared" ca="1" si="525"/>
        <v>0</v>
      </c>
      <c r="U664" s="69">
        <f t="shared" ca="1" si="525"/>
        <v>0</v>
      </c>
      <c r="V664" s="69">
        <f t="shared" ca="1" si="525"/>
        <v>0</v>
      </c>
      <c r="W664" s="69">
        <f t="shared" ca="1" si="525"/>
        <v>0</v>
      </c>
      <c r="X664" s="69">
        <f t="shared" ca="1" si="525"/>
        <v>0</v>
      </c>
      <c r="Y664" s="69">
        <f>-Y777</f>
        <v>0</v>
      </c>
      <c r="Z664" s="69">
        <f>-Z777</f>
        <v>0</v>
      </c>
      <c r="AA664" s="69">
        <f>-AA777</f>
        <v>0</v>
      </c>
      <c r="AB664" s="69">
        <f>-AB777</f>
        <v>0</v>
      </c>
      <c r="AC664" s="69">
        <f>-AC777</f>
        <v>0</v>
      </c>
    </row>
    <row r="665" spans="1:29">
      <c r="A665" s="5" t="s">
        <v>935</v>
      </c>
      <c r="C665" s="90"/>
      <c r="D665" s="90"/>
      <c r="E665" s="90"/>
      <c r="F665" s="90"/>
      <c r="G665" s="90"/>
      <c r="H665"/>
      <c r="I665" s="92">
        <f t="shared" ref="I665:X665" ca="1" si="526">SUM(I654:I664)</f>
        <v>-501.12434572607458</v>
      </c>
      <c r="J665" s="92">
        <f t="shared" ca="1" si="526"/>
        <v>6242.9363945444502</v>
      </c>
      <c r="K665" s="92">
        <f t="shared" ca="1" si="526"/>
        <v>5273.7733750655825</v>
      </c>
      <c r="L665" s="92">
        <f t="shared" ca="1" si="526"/>
        <v>5092.8627493856411</v>
      </c>
      <c r="M665" s="92">
        <f t="shared" ca="1" si="526"/>
        <v>4969.5357385266025</v>
      </c>
      <c r="N665" s="92">
        <f t="shared" ca="1" si="526"/>
        <v>4752.9601733439176</v>
      </c>
      <c r="O665" s="92">
        <f t="shared" ca="1" si="526"/>
        <v>4440.1792917789444</v>
      </c>
      <c r="P665" s="92">
        <f t="shared" ca="1" si="526"/>
        <v>4138.8609092428933</v>
      </c>
      <c r="Q665" s="92">
        <f t="shared" ca="1" si="526"/>
        <v>3928.1041368475258</v>
      </c>
      <c r="R665" s="92">
        <f t="shared" ca="1" si="526"/>
        <v>3753.1194095140572</v>
      </c>
      <c r="S665" s="92">
        <f t="shared" ca="1" si="526"/>
        <v>3630.1544055799318</v>
      </c>
      <c r="T665" s="92">
        <f t="shared" ca="1" si="526"/>
        <v>3509.5326874077855</v>
      </c>
      <c r="U665" s="92">
        <f t="shared" ca="1" si="526"/>
        <v>3424.4910350347709</v>
      </c>
      <c r="V665" s="92">
        <f t="shared" ca="1" si="526"/>
        <v>3341.5276952330646</v>
      </c>
      <c r="W665" s="92">
        <f t="shared" ca="1" si="526"/>
        <v>3304.0264373908294</v>
      </c>
      <c r="X665" s="92">
        <f t="shared" ca="1" si="526"/>
        <v>3260.2451383870261</v>
      </c>
      <c r="Y665" s="92">
        <f ca="1">SUM(Y654:Y664)</f>
        <v>3229.9285170020944</v>
      </c>
      <c r="Z665" s="92">
        <f ca="1">SUM(Z654:Z664)</f>
        <v>3169.4290397071441</v>
      </c>
      <c r="AA665" s="92">
        <f ca="1">SUM(AA654:AA664)</f>
        <v>3160.3362050694677</v>
      </c>
      <c r="AB665" s="92">
        <f ca="1">SUM(AB654:AB664)</f>
        <v>3175.1655226136158</v>
      </c>
      <c r="AC665" s="92">
        <f ca="1">SUM(AC654:AC664)</f>
        <v>3231.4125224952354</v>
      </c>
    </row>
    <row r="666" spans="1:29">
      <c r="H666"/>
      <c r="I666" s="69"/>
    </row>
    <row r="667" spans="1:29">
      <c r="A667" s="5" t="s">
        <v>936</v>
      </c>
      <c r="H667"/>
      <c r="I667" s="69">
        <f>+F644</f>
        <v>8000</v>
      </c>
      <c r="J667" s="5">
        <f t="shared" ref="J667:AC667" ca="1" si="527">I670</f>
        <v>8501.1243457260753</v>
      </c>
      <c r="K667" s="5">
        <f t="shared" ca="1" si="527"/>
        <v>2258.1879511816251</v>
      </c>
      <c r="L667" s="5">
        <f t="shared" ca="1" si="527"/>
        <v>0</v>
      </c>
      <c r="M667" s="5">
        <f t="shared" ca="1" si="527"/>
        <v>0</v>
      </c>
      <c r="N667" s="5">
        <f t="shared" ca="1" si="527"/>
        <v>0</v>
      </c>
      <c r="O667" s="5">
        <f t="shared" ca="1" si="527"/>
        <v>0</v>
      </c>
      <c r="P667" s="5">
        <f t="shared" ca="1" si="527"/>
        <v>0</v>
      </c>
      <c r="Q667" s="5">
        <f t="shared" ca="1" si="527"/>
        <v>0</v>
      </c>
      <c r="R667" s="5">
        <f t="shared" ca="1" si="527"/>
        <v>0</v>
      </c>
      <c r="S667" s="5">
        <f t="shared" ca="1" si="527"/>
        <v>0</v>
      </c>
      <c r="T667" s="5">
        <f t="shared" ca="1" si="527"/>
        <v>0</v>
      </c>
      <c r="U667" s="5">
        <f t="shared" ca="1" si="527"/>
        <v>0</v>
      </c>
      <c r="V667" s="5">
        <f t="shared" ca="1" si="527"/>
        <v>0</v>
      </c>
      <c r="W667" s="5">
        <f t="shared" ca="1" si="527"/>
        <v>0</v>
      </c>
      <c r="X667" s="5">
        <f t="shared" ca="1" si="527"/>
        <v>0</v>
      </c>
      <c r="Y667" s="5">
        <f t="shared" ca="1" si="527"/>
        <v>0</v>
      </c>
      <c r="Z667" s="5">
        <f t="shared" ca="1" si="527"/>
        <v>0</v>
      </c>
      <c r="AA667" s="5">
        <f t="shared" ca="1" si="527"/>
        <v>0</v>
      </c>
      <c r="AB667" s="5">
        <f t="shared" ca="1" si="527"/>
        <v>0</v>
      </c>
      <c r="AC667" s="5">
        <f t="shared" ca="1" si="527"/>
        <v>0</v>
      </c>
    </row>
    <row r="668" spans="1:29">
      <c r="A668" s="5" t="s">
        <v>937</v>
      </c>
      <c r="H668"/>
      <c r="I668" s="69">
        <f t="shared" ref="I668:X668" ca="1" si="528">IF(I665&lt;=0,I665,0)</f>
        <v>-501.12434572607458</v>
      </c>
      <c r="J668" s="5">
        <f t="shared" ca="1" si="528"/>
        <v>0</v>
      </c>
      <c r="K668" s="5">
        <f t="shared" ca="1" si="528"/>
        <v>0</v>
      </c>
      <c r="L668" s="5">
        <f t="shared" ca="1" si="528"/>
        <v>0</v>
      </c>
      <c r="M668" s="5">
        <f t="shared" ca="1" si="528"/>
        <v>0</v>
      </c>
      <c r="N668" s="5">
        <f t="shared" ca="1" si="528"/>
        <v>0</v>
      </c>
      <c r="O668" s="5">
        <f t="shared" ca="1" si="528"/>
        <v>0</v>
      </c>
      <c r="P668" s="5">
        <f t="shared" ca="1" si="528"/>
        <v>0</v>
      </c>
      <c r="Q668" s="5">
        <f t="shared" ca="1" si="528"/>
        <v>0</v>
      </c>
      <c r="R668" s="5">
        <f t="shared" ca="1" si="528"/>
        <v>0</v>
      </c>
      <c r="S668" s="5">
        <f t="shared" ca="1" si="528"/>
        <v>0</v>
      </c>
      <c r="T668" s="5">
        <f t="shared" ca="1" si="528"/>
        <v>0</v>
      </c>
      <c r="U668" s="5">
        <f t="shared" ca="1" si="528"/>
        <v>0</v>
      </c>
      <c r="V668" s="5">
        <f t="shared" ca="1" si="528"/>
        <v>0</v>
      </c>
      <c r="W668" s="5">
        <f t="shared" ca="1" si="528"/>
        <v>0</v>
      </c>
      <c r="X668" s="5">
        <f t="shared" ca="1" si="528"/>
        <v>0</v>
      </c>
      <c r="Y668" s="5">
        <f ca="1">IF(Y665&lt;=0,Y665,0)</f>
        <v>0</v>
      </c>
      <c r="Z668" s="5">
        <f ca="1">IF(Z665&lt;=0,Z665,0)</f>
        <v>0</v>
      </c>
      <c r="AA668" s="5">
        <f ca="1">IF(AA665&lt;=0,AA665,0)</f>
        <v>0</v>
      </c>
      <c r="AB668" s="5">
        <f ca="1">IF(AB665&lt;=0,AB665,0)</f>
        <v>0</v>
      </c>
      <c r="AC668" s="5">
        <f ca="1">IF(AC665&lt;=0,AC665,0)</f>
        <v>0</v>
      </c>
    </row>
    <row r="669" spans="1:29">
      <c r="A669" s="5" t="s">
        <v>938</v>
      </c>
      <c r="H669"/>
      <c r="I669" s="69">
        <f t="shared" ref="I669:X669" ca="1" si="529">IF(I665&gt;0,IF(I667&lt;=I665,I667,I665),0)</f>
        <v>0</v>
      </c>
      <c r="J669" s="5">
        <f t="shared" ca="1" si="529"/>
        <v>6242.9363945444502</v>
      </c>
      <c r="K669" s="5">
        <f t="shared" ca="1" si="529"/>
        <v>2258.1879511816251</v>
      </c>
      <c r="L669" s="5">
        <f t="shared" ca="1" si="529"/>
        <v>0</v>
      </c>
      <c r="M669" s="5">
        <f t="shared" ca="1" si="529"/>
        <v>0</v>
      </c>
      <c r="N669" s="5">
        <f t="shared" ca="1" si="529"/>
        <v>0</v>
      </c>
      <c r="O669" s="5">
        <f t="shared" ca="1" si="529"/>
        <v>0</v>
      </c>
      <c r="P669" s="5">
        <f t="shared" ca="1" si="529"/>
        <v>0</v>
      </c>
      <c r="Q669" s="5">
        <f t="shared" ca="1" si="529"/>
        <v>0</v>
      </c>
      <c r="R669" s="5">
        <f t="shared" ca="1" si="529"/>
        <v>0</v>
      </c>
      <c r="S669" s="5">
        <f t="shared" ca="1" si="529"/>
        <v>0</v>
      </c>
      <c r="T669" s="5">
        <f t="shared" ca="1" si="529"/>
        <v>0</v>
      </c>
      <c r="U669" s="5">
        <f t="shared" ca="1" si="529"/>
        <v>0</v>
      </c>
      <c r="V669" s="5">
        <f t="shared" ca="1" si="529"/>
        <v>0</v>
      </c>
      <c r="W669" s="5">
        <f t="shared" ca="1" si="529"/>
        <v>0</v>
      </c>
      <c r="X669" s="5">
        <f t="shared" ca="1" si="529"/>
        <v>0</v>
      </c>
      <c r="Y669" s="5">
        <f ca="1">IF(Y665&gt;0,IF(Y667&lt;=Y665,Y667,Y665),0)</f>
        <v>0</v>
      </c>
      <c r="Z669" s="5">
        <f ca="1">IF(Z665&gt;0,IF(Z667&lt;=Z665,Z667,Z665),0)</f>
        <v>0</v>
      </c>
      <c r="AA669" s="5">
        <f ca="1">IF(AA665&gt;0,IF(AA667&lt;=AA665,AA667,AA665),0)</f>
        <v>0</v>
      </c>
      <c r="AB669" s="5">
        <f ca="1">IF(AB665&gt;0,IF(AB667&lt;=AB665,AB667,AB665),0)</f>
        <v>0</v>
      </c>
      <c r="AC669" s="5">
        <f ca="1">IF(AC665&gt;0,IF(AC667&lt;=AC665,AC667,AC665),0)</f>
        <v>0</v>
      </c>
    </row>
    <row r="670" spans="1:29">
      <c r="A670" s="5" t="s">
        <v>939</v>
      </c>
      <c r="H670"/>
      <c r="I670" s="50">
        <f t="shared" ref="I670:X670" ca="1" si="530">I667-I668-I669</f>
        <v>8501.1243457260753</v>
      </c>
      <c r="J670" s="50">
        <f t="shared" ca="1" si="530"/>
        <v>2258.1879511816251</v>
      </c>
      <c r="K670" s="50">
        <f t="shared" ca="1" si="530"/>
        <v>0</v>
      </c>
      <c r="L670" s="50">
        <f t="shared" ca="1" si="530"/>
        <v>0</v>
      </c>
      <c r="M670" s="50">
        <f t="shared" ca="1" si="530"/>
        <v>0</v>
      </c>
      <c r="N670" s="50">
        <f t="shared" ca="1" si="530"/>
        <v>0</v>
      </c>
      <c r="O670" s="50">
        <f t="shared" ca="1" si="530"/>
        <v>0</v>
      </c>
      <c r="P670" s="50">
        <f t="shared" ca="1" si="530"/>
        <v>0</v>
      </c>
      <c r="Q670" s="50">
        <f t="shared" ca="1" si="530"/>
        <v>0</v>
      </c>
      <c r="R670" s="50">
        <f t="shared" ca="1" si="530"/>
        <v>0</v>
      </c>
      <c r="S670" s="50">
        <f t="shared" ca="1" si="530"/>
        <v>0</v>
      </c>
      <c r="T670" s="50">
        <f t="shared" ca="1" si="530"/>
        <v>0</v>
      </c>
      <c r="U670" s="50">
        <f t="shared" ca="1" si="530"/>
        <v>0</v>
      </c>
      <c r="V670" s="50">
        <f t="shared" ca="1" si="530"/>
        <v>0</v>
      </c>
      <c r="W670" s="50">
        <f t="shared" ca="1" si="530"/>
        <v>0</v>
      </c>
      <c r="X670" s="50">
        <f t="shared" ca="1" si="530"/>
        <v>0</v>
      </c>
      <c r="Y670" s="50">
        <f ca="1">Y667-Y668-Y669</f>
        <v>0</v>
      </c>
      <c r="Z670" s="50">
        <f ca="1">Z667-Z668-Z669</f>
        <v>0</v>
      </c>
      <c r="AA670" s="50">
        <f ca="1">AA667-AA668-AA669</f>
        <v>0</v>
      </c>
      <c r="AB670" s="50">
        <f ca="1">AB667-AB668-AB669</f>
        <v>0</v>
      </c>
      <c r="AC670" s="50">
        <f ca="1">AC667-AC668-AC669</f>
        <v>0</v>
      </c>
    </row>
    <row r="671" spans="1:29">
      <c r="H671"/>
      <c r="I671" s="69"/>
    </row>
    <row r="672" spans="1:29">
      <c r="A672" s="5" t="s">
        <v>940</v>
      </c>
      <c r="H672"/>
      <c r="I672" s="69">
        <f t="shared" ref="I672:X672" ca="1" si="531">IF(I665&lt;=0,0,I665-I669)</f>
        <v>0</v>
      </c>
      <c r="J672" s="5">
        <f t="shared" ca="1" si="531"/>
        <v>0</v>
      </c>
      <c r="K672" s="5">
        <f t="shared" ca="1" si="531"/>
        <v>3015.5854238839574</v>
      </c>
      <c r="L672" s="5">
        <f t="shared" ca="1" si="531"/>
        <v>5092.8627493856411</v>
      </c>
      <c r="M672" s="5">
        <f t="shared" ca="1" si="531"/>
        <v>4969.5357385266025</v>
      </c>
      <c r="N672" s="5">
        <f t="shared" ca="1" si="531"/>
        <v>4752.9601733439176</v>
      </c>
      <c r="O672" s="5">
        <f t="shared" ca="1" si="531"/>
        <v>4440.1792917789444</v>
      </c>
      <c r="P672" s="5">
        <f t="shared" ca="1" si="531"/>
        <v>4138.8609092428933</v>
      </c>
      <c r="Q672" s="5">
        <f t="shared" ca="1" si="531"/>
        <v>3928.1041368475258</v>
      </c>
      <c r="R672" s="5">
        <f t="shared" ca="1" si="531"/>
        <v>3753.1194095140572</v>
      </c>
      <c r="S672" s="5">
        <f t="shared" ca="1" si="531"/>
        <v>3630.1544055799318</v>
      </c>
      <c r="T672" s="5">
        <f t="shared" ca="1" si="531"/>
        <v>3509.5326874077855</v>
      </c>
      <c r="U672" s="5">
        <f t="shared" ca="1" si="531"/>
        <v>3424.4910350347709</v>
      </c>
      <c r="V672" s="5">
        <f t="shared" ca="1" si="531"/>
        <v>3341.5276952330646</v>
      </c>
      <c r="W672" s="5">
        <f t="shared" ca="1" si="531"/>
        <v>3304.0264373908294</v>
      </c>
      <c r="X672" s="5">
        <f t="shared" ca="1" si="531"/>
        <v>3260.2451383870261</v>
      </c>
      <c r="Y672" s="5">
        <f ca="1">IF(Y665&lt;=0,0,Y665-Y669)</f>
        <v>3229.9285170020944</v>
      </c>
      <c r="Z672" s="5">
        <f ca="1">IF(Z665&lt;=0,0,Z665-Z669)</f>
        <v>3169.4290397071441</v>
      </c>
      <c r="AA672" s="5">
        <f ca="1">IF(AA665&lt;=0,0,AA665-AA669)</f>
        <v>3160.3362050694677</v>
      </c>
      <c r="AB672" s="5">
        <f ca="1">IF(AB665&lt;=0,0,AB665-AB669)</f>
        <v>3175.1655226136158</v>
      </c>
      <c r="AC672" s="5">
        <f ca="1">IF(AC665&lt;=0,0,AC665-AC669)</f>
        <v>3231.4125224952354</v>
      </c>
    </row>
    <row r="673" spans="1:29">
      <c r="H673"/>
      <c r="I673" s="69"/>
    </row>
    <row r="674" spans="1:29">
      <c r="A674" s="5" t="s">
        <v>941</v>
      </c>
      <c r="B674"/>
      <c r="C674" s="55">
        <f>I640</f>
        <v>0</v>
      </c>
      <c r="H674"/>
      <c r="I674" s="115">
        <f t="shared" ref="I674:X674" ca="1" si="532">I672*I640</f>
        <v>0</v>
      </c>
      <c r="J674" s="90">
        <f t="shared" ca="1" si="532"/>
        <v>0</v>
      </c>
      <c r="K674" s="90">
        <f t="shared" ca="1" si="532"/>
        <v>0</v>
      </c>
      <c r="L674" s="90">
        <f t="shared" ca="1" si="532"/>
        <v>0</v>
      </c>
      <c r="M674" s="90">
        <f t="shared" ca="1" si="532"/>
        <v>0</v>
      </c>
      <c r="N674" s="90">
        <f t="shared" ca="1" si="532"/>
        <v>0</v>
      </c>
      <c r="O674" s="90">
        <f t="shared" ca="1" si="532"/>
        <v>0</v>
      </c>
      <c r="P674" s="90">
        <f t="shared" ca="1" si="532"/>
        <v>0</v>
      </c>
      <c r="Q674" s="90">
        <f t="shared" ca="1" si="532"/>
        <v>0</v>
      </c>
      <c r="R674" s="90">
        <f t="shared" ca="1" si="532"/>
        <v>0</v>
      </c>
      <c r="S674" s="90">
        <f t="shared" ca="1" si="532"/>
        <v>0</v>
      </c>
      <c r="T674" s="90">
        <f t="shared" ca="1" si="532"/>
        <v>0</v>
      </c>
      <c r="U674" s="90">
        <f t="shared" ca="1" si="532"/>
        <v>0</v>
      </c>
      <c r="V674" s="90">
        <f t="shared" ca="1" si="532"/>
        <v>0</v>
      </c>
      <c r="W674" s="90">
        <f t="shared" ca="1" si="532"/>
        <v>0</v>
      </c>
      <c r="X674" s="90">
        <f t="shared" ca="1" si="532"/>
        <v>0</v>
      </c>
      <c r="Y674" s="90">
        <f ca="1">Y672*Y640</f>
        <v>0</v>
      </c>
      <c r="Z674" s="90">
        <f ca="1">Z672*Z640</f>
        <v>0</v>
      </c>
      <c r="AA674" s="90">
        <f ca="1">AA672*AA640</f>
        <v>0</v>
      </c>
      <c r="AB674" s="90">
        <f ca="1">AB672*AB640</f>
        <v>0</v>
      </c>
      <c r="AC674" s="90">
        <f ca="1">AC672*AC640</f>
        <v>0</v>
      </c>
    </row>
    <row r="675" spans="1:29">
      <c r="A675" s="5" t="s">
        <v>942</v>
      </c>
      <c r="B675"/>
      <c r="C675" s="55">
        <f>I639</f>
        <v>0.34</v>
      </c>
      <c r="H675"/>
      <c r="I675" s="69">
        <f t="shared" ref="I675:X675" ca="1" si="533">(I672-I674)*I639</f>
        <v>0</v>
      </c>
      <c r="J675" s="5">
        <f t="shared" ca="1" si="533"/>
        <v>0</v>
      </c>
      <c r="K675" s="5">
        <f t="shared" ca="1" si="533"/>
        <v>1025.2990441205457</v>
      </c>
      <c r="L675" s="5">
        <f t="shared" ca="1" si="533"/>
        <v>1731.5733347911182</v>
      </c>
      <c r="M675" s="5">
        <f t="shared" ca="1" si="533"/>
        <v>1689.6421510990449</v>
      </c>
      <c r="N675" s="5">
        <f t="shared" ca="1" si="533"/>
        <v>1616.0064589369322</v>
      </c>
      <c r="O675" s="5">
        <f t="shared" ca="1" si="533"/>
        <v>1509.6609592048412</v>
      </c>
      <c r="P675" s="5">
        <f t="shared" ca="1" si="533"/>
        <v>1407.2127091425839</v>
      </c>
      <c r="Q675" s="5">
        <f t="shared" ca="1" si="533"/>
        <v>1335.5554065281588</v>
      </c>
      <c r="R675" s="5">
        <f t="shared" ca="1" si="533"/>
        <v>1276.0605992347796</v>
      </c>
      <c r="S675" s="5">
        <f t="shared" ca="1" si="533"/>
        <v>1234.2524978971769</v>
      </c>
      <c r="T675" s="5">
        <f t="shared" ca="1" si="533"/>
        <v>1193.2411137186471</v>
      </c>
      <c r="U675" s="5">
        <f t="shared" ca="1" si="533"/>
        <v>1164.3269519118221</v>
      </c>
      <c r="V675" s="5">
        <f t="shared" ca="1" si="533"/>
        <v>1136.119416379242</v>
      </c>
      <c r="W675" s="5">
        <f t="shared" ca="1" si="533"/>
        <v>1123.3689887128821</v>
      </c>
      <c r="X675" s="5">
        <f t="shared" ca="1" si="533"/>
        <v>1108.4833470515889</v>
      </c>
      <c r="Y675" s="5">
        <f ca="1">(Y672-Y674)*Y639</f>
        <v>1098.1756957807122</v>
      </c>
      <c r="Z675" s="5">
        <f ca="1">(Z672-Z674)*Z639</f>
        <v>1077.605873500429</v>
      </c>
      <c r="AA675" s="5">
        <f ca="1">(AA672-AA674)*AA639</f>
        <v>1074.5143097236191</v>
      </c>
      <c r="AB675" s="5">
        <f ca="1">(AB672-AB674)*AB639</f>
        <v>1079.5562776886295</v>
      </c>
      <c r="AC675" s="5">
        <f ca="1">(AC672-AC674)*AC639</f>
        <v>1098.6802576483801</v>
      </c>
    </row>
    <row r="676" spans="1:29" ht="12" thickBot="1">
      <c r="A676" s="5" t="s">
        <v>943</v>
      </c>
      <c r="C676" s="90"/>
      <c r="D676" s="90"/>
      <c r="E676" s="90"/>
      <c r="F676" s="90"/>
      <c r="G676" s="90"/>
      <c r="H676"/>
      <c r="I676" s="61">
        <f t="shared" ref="I676:X676" ca="1" si="534">I674+I675</f>
        <v>0</v>
      </c>
      <c r="J676" s="61">
        <f t="shared" ca="1" si="534"/>
        <v>0</v>
      </c>
      <c r="K676" s="61">
        <f t="shared" ca="1" si="534"/>
        <v>1025.2990441205457</v>
      </c>
      <c r="L676" s="61">
        <f t="shared" ca="1" si="534"/>
        <v>1731.5733347911182</v>
      </c>
      <c r="M676" s="61">
        <f t="shared" ca="1" si="534"/>
        <v>1689.6421510990449</v>
      </c>
      <c r="N676" s="61">
        <f t="shared" ca="1" si="534"/>
        <v>1616.0064589369322</v>
      </c>
      <c r="O676" s="61">
        <f t="shared" ca="1" si="534"/>
        <v>1509.6609592048412</v>
      </c>
      <c r="P676" s="61">
        <f t="shared" ca="1" si="534"/>
        <v>1407.2127091425839</v>
      </c>
      <c r="Q676" s="61">
        <f t="shared" ca="1" si="534"/>
        <v>1335.5554065281588</v>
      </c>
      <c r="R676" s="61">
        <f t="shared" ca="1" si="534"/>
        <v>1276.0605992347796</v>
      </c>
      <c r="S676" s="61">
        <f t="shared" ca="1" si="534"/>
        <v>1234.2524978971769</v>
      </c>
      <c r="T676" s="61">
        <f t="shared" ca="1" si="534"/>
        <v>1193.2411137186471</v>
      </c>
      <c r="U676" s="61">
        <f t="shared" ca="1" si="534"/>
        <v>1164.3269519118221</v>
      </c>
      <c r="V676" s="61">
        <f t="shared" ca="1" si="534"/>
        <v>1136.119416379242</v>
      </c>
      <c r="W676" s="61">
        <f t="shared" ca="1" si="534"/>
        <v>1123.3689887128821</v>
      </c>
      <c r="X676" s="61">
        <f t="shared" ca="1" si="534"/>
        <v>1108.4833470515889</v>
      </c>
      <c r="Y676" s="61">
        <f ca="1">Y674+Y675</f>
        <v>1098.1756957807122</v>
      </c>
      <c r="Z676" s="61">
        <f ca="1">Z674+Z675</f>
        <v>1077.605873500429</v>
      </c>
      <c r="AA676" s="61">
        <f ca="1">AA674+AA675</f>
        <v>1074.5143097236191</v>
      </c>
      <c r="AB676" s="61">
        <f ca="1">AB674+AB675</f>
        <v>1079.5562776886295</v>
      </c>
      <c r="AC676" s="61">
        <f ca="1">AC674+AC675</f>
        <v>1098.6802576483801</v>
      </c>
    </row>
    <row r="677" spans="1:29" ht="12" thickTop="1">
      <c r="I677" s="215"/>
    </row>
    <row r="678" spans="1:29" ht="12" thickBot="1">
      <c r="C678" s="90"/>
      <c r="D678" s="90"/>
      <c r="E678" s="90"/>
      <c r="F678" s="90"/>
      <c r="G678" s="90"/>
      <c r="H678" s="90"/>
      <c r="I678" s="115"/>
      <c r="J678" s="115"/>
      <c r="K678" s="115"/>
      <c r="L678" s="115"/>
      <c r="M678" s="115"/>
      <c r="N678" s="115"/>
      <c r="O678" s="115"/>
      <c r="P678" s="115"/>
      <c r="Q678" s="115"/>
      <c r="R678" s="115"/>
      <c r="S678" s="115"/>
      <c r="T678" s="115"/>
      <c r="U678" s="115"/>
      <c r="V678" s="115"/>
      <c r="W678" s="115"/>
      <c r="X678" s="115"/>
      <c r="Y678"/>
      <c r="Z678"/>
      <c r="AA678"/>
      <c r="AB678"/>
      <c r="AC678"/>
    </row>
    <row r="679" spans="1:29" ht="12" thickTop="1">
      <c r="A679" s="766"/>
      <c r="B679" s="766"/>
      <c r="C679" s="767"/>
      <c r="D679" s="767"/>
      <c r="E679" s="767"/>
      <c r="F679" s="767"/>
      <c r="G679" s="767"/>
      <c r="H679" s="443"/>
      <c r="I679" s="443"/>
      <c r="J679" s="443"/>
      <c r="K679" s="768"/>
      <c r="L679" s="769"/>
      <c r="M679" s="767"/>
      <c r="N679" s="767"/>
      <c r="O679" s="767"/>
      <c r="P679" s="767"/>
      <c r="Q679" s="767"/>
      <c r="R679" s="767" t="s">
        <v>944</v>
      </c>
      <c r="S679" s="767"/>
      <c r="T679" s="766"/>
      <c r="U679" s="766"/>
      <c r="V679" s="766"/>
      <c r="W679" s="766"/>
      <c r="X679" s="766"/>
      <c r="Y679" s="766"/>
      <c r="Z679" s="766"/>
      <c r="AA679" s="766"/>
      <c r="AB679" s="766"/>
      <c r="AC679" s="766"/>
    </row>
    <row r="680" spans="1:29">
      <c r="A680" s="15" t="s">
        <v>945</v>
      </c>
      <c r="C680" s="90"/>
      <c r="D680" s="90"/>
      <c r="E680" s="90"/>
      <c r="F680" s="90"/>
      <c r="G680" s="90"/>
      <c r="H680"/>
      <c r="I680"/>
      <c r="J680"/>
      <c r="K680" s="90"/>
      <c r="L680" s="221"/>
      <c r="M680" s="90"/>
      <c r="N680" s="90"/>
      <c r="O680" s="90"/>
      <c r="P680" s="90"/>
      <c r="Q680" s="90"/>
      <c r="R680" s="90"/>
      <c r="S680" s="90"/>
    </row>
    <row r="681" spans="1:29">
      <c r="A681" s="5" t="str">
        <f>A654</f>
        <v>Income before Taxes</v>
      </c>
      <c r="C681" s="90"/>
      <c r="D681" s="90"/>
      <c r="E681" s="90"/>
      <c r="F681" s="90"/>
      <c r="G681" s="90"/>
      <c r="H681"/>
      <c r="I681" s="115">
        <f ca="1">I104</f>
        <v>-501.12434572607458</v>
      </c>
      <c r="J681" s="90">
        <f ca="1">J101</f>
        <v>6242.9363945444502</v>
      </c>
      <c r="K681" s="90">
        <f t="shared" ref="K681:AC681" ca="1" si="535">K104</f>
        <v>5273.7733750655825</v>
      </c>
      <c r="L681" s="90">
        <f t="shared" ca="1" si="535"/>
        <v>5092.8627493856411</v>
      </c>
      <c r="M681" s="90">
        <f t="shared" ca="1" si="535"/>
        <v>4969.5357385266025</v>
      </c>
      <c r="N681" s="90">
        <f t="shared" ca="1" si="535"/>
        <v>4752.9601733439176</v>
      </c>
      <c r="O681" s="90">
        <f t="shared" ca="1" si="535"/>
        <v>4440.1792917789444</v>
      </c>
      <c r="P681" s="90">
        <f t="shared" ca="1" si="535"/>
        <v>4138.8609092428933</v>
      </c>
      <c r="Q681" s="90">
        <f t="shared" ca="1" si="535"/>
        <v>3928.1041368475258</v>
      </c>
      <c r="R681" s="90">
        <f t="shared" ca="1" si="535"/>
        <v>3753.1194095140572</v>
      </c>
      <c r="S681" s="90">
        <f t="shared" ca="1" si="535"/>
        <v>3630.1544055799318</v>
      </c>
      <c r="T681" s="90">
        <f t="shared" ca="1" si="535"/>
        <v>3509.5326874077855</v>
      </c>
      <c r="U681" s="90">
        <f t="shared" ca="1" si="535"/>
        <v>3424.4910350347709</v>
      </c>
      <c r="V681" s="90">
        <f t="shared" ca="1" si="535"/>
        <v>3341.5276952330646</v>
      </c>
      <c r="W681" s="90">
        <f t="shared" ca="1" si="535"/>
        <v>3304.0264373908294</v>
      </c>
      <c r="X681" s="90">
        <f t="shared" ca="1" si="535"/>
        <v>3260.2451383870261</v>
      </c>
      <c r="Y681" s="90">
        <f t="shared" ca="1" si="535"/>
        <v>3229.9285170020944</v>
      </c>
      <c r="Z681" s="90">
        <f t="shared" ca="1" si="535"/>
        <v>3169.4290397071441</v>
      </c>
      <c r="AA681" s="90">
        <f t="shared" ca="1" si="535"/>
        <v>3160.3362050694677</v>
      </c>
      <c r="AB681" s="90">
        <f t="shared" ca="1" si="535"/>
        <v>3175.1655226136158</v>
      </c>
      <c r="AC681" s="90">
        <f t="shared" ca="1" si="535"/>
        <v>3231.4125224952354</v>
      </c>
    </row>
    <row r="682" spans="1:29">
      <c r="A682" s="5" t="s">
        <v>946</v>
      </c>
      <c r="C682" s="90"/>
      <c r="D682" s="90"/>
      <c r="E682" s="90"/>
      <c r="F682" s="90"/>
      <c r="G682" s="90"/>
      <c r="H682"/>
      <c r="I682" s="115">
        <f t="shared" ref="I682:AC682" ca="1" si="536">I78</f>
        <v>0</v>
      </c>
      <c r="J682" s="90">
        <f t="shared" si="536"/>
        <v>0</v>
      </c>
      <c r="K682" s="90">
        <f t="shared" si="536"/>
        <v>0</v>
      </c>
      <c r="L682" s="90">
        <f t="shared" si="536"/>
        <v>0</v>
      </c>
      <c r="M682" s="90">
        <f t="shared" si="536"/>
        <v>0</v>
      </c>
      <c r="N682" s="90">
        <f t="shared" si="536"/>
        <v>0</v>
      </c>
      <c r="O682" s="90">
        <f t="shared" si="536"/>
        <v>0</v>
      </c>
      <c r="P682" s="90">
        <f t="shared" si="536"/>
        <v>0</v>
      </c>
      <c r="Q682" s="90">
        <f t="shared" si="536"/>
        <v>0</v>
      </c>
      <c r="R682" s="90">
        <f t="shared" si="536"/>
        <v>0</v>
      </c>
      <c r="S682" s="90">
        <f t="shared" si="536"/>
        <v>0</v>
      </c>
      <c r="T682" s="90">
        <f t="shared" si="536"/>
        <v>0</v>
      </c>
      <c r="U682" s="90">
        <f t="shared" si="536"/>
        <v>0</v>
      </c>
      <c r="V682" s="90">
        <f t="shared" si="536"/>
        <v>0</v>
      </c>
      <c r="W682" s="90">
        <f t="shared" si="536"/>
        <v>0</v>
      </c>
      <c r="X682" s="90">
        <f t="shared" si="536"/>
        <v>0</v>
      </c>
      <c r="Y682" s="90">
        <f t="shared" si="536"/>
        <v>0</v>
      </c>
      <c r="Z682" s="90">
        <f t="shared" si="536"/>
        <v>0</v>
      </c>
      <c r="AA682" s="90">
        <f t="shared" si="536"/>
        <v>0</v>
      </c>
      <c r="AB682" s="90">
        <f t="shared" si="536"/>
        <v>0</v>
      </c>
      <c r="AC682" s="90">
        <f t="shared" si="536"/>
        <v>0</v>
      </c>
    </row>
    <row r="683" spans="1:29">
      <c r="A683" s="83" t="s">
        <v>947</v>
      </c>
      <c r="C683" s="90"/>
      <c r="D683" s="90"/>
      <c r="E683" s="90"/>
      <c r="F683" s="90"/>
      <c r="G683" s="90"/>
      <c r="H683"/>
      <c r="I683" s="92">
        <f t="shared" ref="I683:X683" ca="1" si="537">I681+I682</f>
        <v>-501.12434572607458</v>
      </c>
      <c r="J683" s="92">
        <f t="shared" ca="1" si="537"/>
        <v>6242.9363945444502</v>
      </c>
      <c r="K683" s="92">
        <f t="shared" ca="1" si="537"/>
        <v>5273.7733750655825</v>
      </c>
      <c r="L683" s="92">
        <f t="shared" ca="1" si="537"/>
        <v>5092.8627493856411</v>
      </c>
      <c r="M683" s="92">
        <f t="shared" ca="1" si="537"/>
        <v>4969.5357385266025</v>
      </c>
      <c r="N683" s="92">
        <f t="shared" ca="1" si="537"/>
        <v>4752.9601733439176</v>
      </c>
      <c r="O683" s="92">
        <f t="shared" ca="1" si="537"/>
        <v>4440.1792917789444</v>
      </c>
      <c r="P683" s="92">
        <f t="shared" ca="1" si="537"/>
        <v>4138.8609092428933</v>
      </c>
      <c r="Q683" s="92">
        <f t="shared" ca="1" si="537"/>
        <v>3928.1041368475258</v>
      </c>
      <c r="R683" s="92">
        <f t="shared" ca="1" si="537"/>
        <v>3753.1194095140572</v>
      </c>
      <c r="S683" s="92">
        <f t="shared" ca="1" si="537"/>
        <v>3630.1544055799318</v>
      </c>
      <c r="T683" s="92">
        <f t="shared" ca="1" si="537"/>
        <v>3509.5326874077855</v>
      </c>
      <c r="U683" s="92">
        <f t="shared" ca="1" si="537"/>
        <v>3424.4910350347709</v>
      </c>
      <c r="V683" s="92">
        <f t="shared" ca="1" si="537"/>
        <v>3341.5276952330646</v>
      </c>
      <c r="W683" s="92">
        <f t="shared" ca="1" si="537"/>
        <v>3304.0264373908294</v>
      </c>
      <c r="X683" s="92">
        <f t="shared" ca="1" si="537"/>
        <v>3260.2451383870261</v>
      </c>
      <c r="Y683" s="92">
        <f ca="1">Y681+Y682</f>
        <v>3229.9285170020944</v>
      </c>
      <c r="Z683" s="92">
        <f ca="1">Z681+Z682</f>
        <v>3169.4290397071441</v>
      </c>
      <c r="AA683" s="92">
        <f ca="1">AA681+AA682</f>
        <v>3160.3362050694677</v>
      </c>
      <c r="AB683" s="92">
        <f ca="1">AB681+AB682</f>
        <v>3175.1655226136158</v>
      </c>
      <c r="AC683" s="92">
        <f ca="1">AC681+AC682</f>
        <v>3231.4125224952354</v>
      </c>
    </row>
    <row r="684" spans="1:29">
      <c r="C684" s="90"/>
      <c r="D684" s="90"/>
      <c r="E684" s="90"/>
      <c r="F684" s="90"/>
      <c r="G684" s="90"/>
      <c r="H684"/>
      <c r="I684" s="115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</row>
    <row r="685" spans="1:29">
      <c r="A685" s="5" t="s">
        <v>936</v>
      </c>
      <c r="H685"/>
      <c r="I685" s="69">
        <f>+F643</f>
        <v>14000</v>
      </c>
      <c r="J685" s="5">
        <f t="shared" ref="J685:AC685" ca="1" si="538">I688</f>
        <v>14501.124345726075</v>
      </c>
      <c r="K685" s="5">
        <f t="shared" ca="1" si="538"/>
        <v>8258.187951181626</v>
      </c>
      <c r="L685" s="5">
        <f t="shared" ca="1" si="538"/>
        <v>2984.4145761160435</v>
      </c>
      <c r="M685" s="5">
        <f t="shared" ca="1" si="538"/>
        <v>0</v>
      </c>
      <c r="N685" s="5">
        <f t="shared" ca="1" si="538"/>
        <v>0</v>
      </c>
      <c r="O685" s="5">
        <f t="shared" ca="1" si="538"/>
        <v>0</v>
      </c>
      <c r="P685" s="5">
        <f t="shared" ca="1" si="538"/>
        <v>0</v>
      </c>
      <c r="Q685" s="5">
        <f t="shared" ca="1" si="538"/>
        <v>0</v>
      </c>
      <c r="R685" s="5">
        <f t="shared" ca="1" si="538"/>
        <v>0</v>
      </c>
      <c r="S685" s="5">
        <f t="shared" ca="1" si="538"/>
        <v>0</v>
      </c>
      <c r="T685" s="5">
        <f t="shared" ca="1" si="538"/>
        <v>0</v>
      </c>
      <c r="U685" s="5">
        <f t="shared" ca="1" si="538"/>
        <v>0</v>
      </c>
      <c r="V685" s="5">
        <f t="shared" ca="1" si="538"/>
        <v>0</v>
      </c>
      <c r="W685" s="5">
        <f t="shared" ca="1" si="538"/>
        <v>0</v>
      </c>
      <c r="X685" s="5">
        <f t="shared" ca="1" si="538"/>
        <v>0</v>
      </c>
      <c r="Y685" s="5">
        <f t="shared" ca="1" si="538"/>
        <v>0</v>
      </c>
      <c r="Z685" s="5">
        <f t="shared" ca="1" si="538"/>
        <v>0</v>
      </c>
      <c r="AA685" s="5">
        <f t="shared" ca="1" si="538"/>
        <v>0</v>
      </c>
      <c r="AB685" s="5">
        <f t="shared" ca="1" si="538"/>
        <v>0</v>
      </c>
      <c r="AC685" s="5">
        <f t="shared" ca="1" si="538"/>
        <v>0</v>
      </c>
    </row>
    <row r="686" spans="1:29">
      <c r="A686" s="5" t="s">
        <v>937</v>
      </c>
      <c r="H686"/>
      <c r="I686" s="69">
        <f t="shared" ref="I686:X686" ca="1" si="539">IF(I683&lt;=0,I683,0)</f>
        <v>-501.12434572607458</v>
      </c>
      <c r="J686" s="5">
        <f t="shared" ca="1" si="539"/>
        <v>0</v>
      </c>
      <c r="K686" s="5">
        <f t="shared" ca="1" si="539"/>
        <v>0</v>
      </c>
      <c r="L686" s="5">
        <f t="shared" ca="1" si="539"/>
        <v>0</v>
      </c>
      <c r="M686" s="5">
        <f t="shared" ca="1" si="539"/>
        <v>0</v>
      </c>
      <c r="N686" s="5">
        <f t="shared" ca="1" si="539"/>
        <v>0</v>
      </c>
      <c r="O686" s="5">
        <f t="shared" ca="1" si="539"/>
        <v>0</v>
      </c>
      <c r="P686" s="5">
        <f t="shared" ca="1" si="539"/>
        <v>0</v>
      </c>
      <c r="Q686" s="5">
        <f t="shared" ca="1" si="539"/>
        <v>0</v>
      </c>
      <c r="R686" s="5">
        <f t="shared" ca="1" si="539"/>
        <v>0</v>
      </c>
      <c r="S686" s="5">
        <f t="shared" ca="1" si="539"/>
        <v>0</v>
      </c>
      <c r="T686" s="5">
        <f t="shared" ca="1" si="539"/>
        <v>0</v>
      </c>
      <c r="U686" s="5">
        <f t="shared" ca="1" si="539"/>
        <v>0</v>
      </c>
      <c r="V686" s="5">
        <f t="shared" ca="1" si="539"/>
        <v>0</v>
      </c>
      <c r="W686" s="5">
        <f t="shared" ca="1" si="539"/>
        <v>0</v>
      </c>
      <c r="X686" s="5">
        <f t="shared" ca="1" si="539"/>
        <v>0</v>
      </c>
      <c r="Y686" s="5">
        <f ca="1">IF(Y683&lt;=0,Y683,0)</f>
        <v>0</v>
      </c>
      <c r="Z686" s="5">
        <f ca="1">IF(Z683&lt;=0,Z683,0)</f>
        <v>0</v>
      </c>
      <c r="AA686" s="5">
        <f ca="1">IF(AA683&lt;=0,AA683,0)</f>
        <v>0</v>
      </c>
      <c r="AB686" s="5">
        <f ca="1">IF(AB683&lt;=0,AB683,0)</f>
        <v>0</v>
      </c>
      <c r="AC686" s="5">
        <f ca="1">IF(AC683&lt;=0,AC683,0)</f>
        <v>0</v>
      </c>
    </row>
    <row r="687" spans="1:29">
      <c r="A687" s="5" t="s">
        <v>938</v>
      </c>
      <c r="H687"/>
      <c r="I687" s="69">
        <f t="shared" ref="I687:X687" ca="1" si="540">IF(I683&gt;0,IF(I685&lt;=I683,I685,I683),0)</f>
        <v>0</v>
      </c>
      <c r="J687" s="5">
        <f t="shared" ca="1" si="540"/>
        <v>6242.9363945444502</v>
      </c>
      <c r="K687" s="5">
        <f t="shared" ca="1" si="540"/>
        <v>5273.7733750655825</v>
      </c>
      <c r="L687" s="5">
        <f t="shared" ca="1" si="540"/>
        <v>2984.4145761160435</v>
      </c>
      <c r="M687" s="5">
        <f t="shared" ca="1" si="540"/>
        <v>0</v>
      </c>
      <c r="N687" s="5">
        <f t="shared" ca="1" si="540"/>
        <v>0</v>
      </c>
      <c r="O687" s="5">
        <f t="shared" ca="1" si="540"/>
        <v>0</v>
      </c>
      <c r="P687" s="5">
        <f t="shared" ca="1" si="540"/>
        <v>0</v>
      </c>
      <c r="Q687" s="5">
        <f t="shared" ca="1" si="540"/>
        <v>0</v>
      </c>
      <c r="R687" s="5">
        <f t="shared" ca="1" si="540"/>
        <v>0</v>
      </c>
      <c r="S687" s="5">
        <f t="shared" ca="1" si="540"/>
        <v>0</v>
      </c>
      <c r="T687" s="5">
        <f t="shared" ca="1" si="540"/>
        <v>0</v>
      </c>
      <c r="U687" s="5">
        <f t="shared" ca="1" si="540"/>
        <v>0</v>
      </c>
      <c r="V687" s="5">
        <f t="shared" ca="1" si="540"/>
        <v>0</v>
      </c>
      <c r="W687" s="5">
        <f t="shared" ca="1" si="540"/>
        <v>0</v>
      </c>
      <c r="X687" s="5">
        <f t="shared" ca="1" si="540"/>
        <v>0</v>
      </c>
      <c r="Y687" s="5">
        <f ca="1">IF(Y683&gt;0,IF(Y685&lt;=Y683,Y685,Y683),0)</f>
        <v>0</v>
      </c>
      <c r="Z687" s="5">
        <f ca="1">IF(Z683&gt;0,IF(Z685&lt;=Z683,Z685,Z683),0)</f>
        <v>0</v>
      </c>
      <c r="AA687" s="5">
        <f ca="1">IF(AA683&gt;0,IF(AA685&lt;=AA683,AA685,AA683),0)</f>
        <v>0</v>
      </c>
      <c r="AB687" s="5">
        <f ca="1">IF(AB683&gt;0,IF(AB685&lt;=AB683,AB685,AB683),0)</f>
        <v>0</v>
      </c>
      <c r="AC687" s="5">
        <f ca="1">IF(AC683&gt;0,IF(AC685&lt;=AC683,AC685,AC683),0)</f>
        <v>0</v>
      </c>
    </row>
    <row r="688" spans="1:29">
      <c r="A688" s="5" t="s">
        <v>939</v>
      </c>
      <c r="H688"/>
      <c r="I688" s="50">
        <f t="shared" ref="I688:X688" ca="1" si="541">I685-I686-I687</f>
        <v>14501.124345726075</v>
      </c>
      <c r="J688" s="50">
        <f t="shared" ca="1" si="541"/>
        <v>8258.187951181626</v>
      </c>
      <c r="K688" s="50">
        <f t="shared" ca="1" si="541"/>
        <v>2984.4145761160435</v>
      </c>
      <c r="L688" s="50">
        <f t="shared" ca="1" si="541"/>
        <v>0</v>
      </c>
      <c r="M688" s="50">
        <f t="shared" ca="1" si="541"/>
        <v>0</v>
      </c>
      <c r="N688" s="50">
        <f t="shared" ca="1" si="541"/>
        <v>0</v>
      </c>
      <c r="O688" s="50">
        <f t="shared" ca="1" si="541"/>
        <v>0</v>
      </c>
      <c r="P688" s="50">
        <f t="shared" ca="1" si="541"/>
        <v>0</v>
      </c>
      <c r="Q688" s="50">
        <f t="shared" ca="1" si="541"/>
        <v>0</v>
      </c>
      <c r="R688" s="50">
        <f t="shared" ca="1" si="541"/>
        <v>0</v>
      </c>
      <c r="S688" s="50">
        <f t="shared" ca="1" si="541"/>
        <v>0</v>
      </c>
      <c r="T688" s="50">
        <f t="shared" ca="1" si="541"/>
        <v>0</v>
      </c>
      <c r="U688" s="50">
        <f t="shared" ca="1" si="541"/>
        <v>0</v>
      </c>
      <c r="V688" s="50">
        <f t="shared" ca="1" si="541"/>
        <v>0</v>
      </c>
      <c r="W688" s="50">
        <f t="shared" ca="1" si="541"/>
        <v>0</v>
      </c>
      <c r="X688" s="50">
        <f t="shared" ca="1" si="541"/>
        <v>0</v>
      </c>
      <c r="Y688" s="50">
        <f ca="1">Y685-Y686-Y687</f>
        <v>0</v>
      </c>
      <c r="Z688" s="50">
        <f ca="1">Z685-Z686-Z687</f>
        <v>0</v>
      </c>
      <c r="AA688" s="50">
        <f ca="1">AA685-AA686-AA687</f>
        <v>0</v>
      </c>
      <c r="AB688" s="50">
        <f ca="1">AB685-AB686-AB687</f>
        <v>0</v>
      </c>
      <c r="AC688" s="50">
        <f ca="1">AC685-AC686-AC687</f>
        <v>0</v>
      </c>
    </row>
    <row r="689" spans="1:29">
      <c r="H689"/>
      <c r="I689" s="69"/>
    </row>
    <row r="690" spans="1:29">
      <c r="A690" s="5" t="s">
        <v>948</v>
      </c>
      <c r="H690"/>
      <c r="I690" s="69">
        <f t="shared" ref="I690:X690" ca="1" si="542">IF(I683&lt;=0,0,I683-I687)</f>
        <v>0</v>
      </c>
      <c r="J690" s="5">
        <f t="shared" ca="1" si="542"/>
        <v>0</v>
      </c>
      <c r="K690" s="5">
        <f t="shared" ca="1" si="542"/>
        <v>0</v>
      </c>
      <c r="L690" s="5">
        <f t="shared" ca="1" si="542"/>
        <v>2108.4481732695976</v>
      </c>
      <c r="M690" s="5">
        <f t="shared" ca="1" si="542"/>
        <v>4969.5357385266025</v>
      </c>
      <c r="N690" s="5">
        <f t="shared" ca="1" si="542"/>
        <v>4752.9601733439176</v>
      </c>
      <c r="O690" s="5">
        <f t="shared" ca="1" si="542"/>
        <v>4440.1792917789444</v>
      </c>
      <c r="P690" s="5">
        <f t="shared" ca="1" si="542"/>
        <v>4138.8609092428933</v>
      </c>
      <c r="Q690" s="5">
        <f t="shared" ca="1" si="542"/>
        <v>3928.1041368475258</v>
      </c>
      <c r="R690" s="5">
        <f t="shared" ca="1" si="542"/>
        <v>3753.1194095140572</v>
      </c>
      <c r="S690" s="5">
        <f t="shared" ca="1" si="542"/>
        <v>3630.1544055799318</v>
      </c>
      <c r="T690" s="5">
        <f t="shared" ca="1" si="542"/>
        <v>3509.5326874077855</v>
      </c>
      <c r="U690" s="5">
        <f t="shared" ca="1" si="542"/>
        <v>3424.4910350347709</v>
      </c>
      <c r="V690" s="5">
        <f t="shared" ca="1" si="542"/>
        <v>3341.5276952330646</v>
      </c>
      <c r="W690" s="5">
        <f t="shared" ca="1" si="542"/>
        <v>3304.0264373908294</v>
      </c>
      <c r="X690" s="5">
        <f t="shared" ca="1" si="542"/>
        <v>3260.2451383870261</v>
      </c>
      <c r="Y690" s="5">
        <f ca="1">IF(Y683&lt;=0,0,Y683-Y687)</f>
        <v>3229.9285170020944</v>
      </c>
      <c r="Z690" s="5">
        <f ca="1">IF(Z683&lt;=0,0,Z683-Z687)</f>
        <v>3169.4290397071441</v>
      </c>
      <c r="AA690" s="5">
        <f ca="1">IF(AA683&lt;=0,0,AA683-AA687)</f>
        <v>3160.3362050694677</v>
      </c>
      <c r="AB690" s="5">
        <f ca="1">IF(AB683&lt;=0,0,AB683-AB687)</f>
        <v>3175.1655226136158</v>
      </c>
      <c r="AC690" s="5">
        <f ca="1">IF(AC683&lt;=0,0,AC683-AC687)</f>
        <v>3231.4125224952354</v>
      </c>
    </row>
    <row r="691" spans="1:29">
      <c r="H691"/>
      <c r="I691" s="69"/>
    </row>
    <row r="692" spans="1:29">
      <c r="A692" s="5" t="s">
        <v>941</v>
      </c>
      <c r="B692"/>
      <c r="C692" s="55">
        <f>I640</f>
        <v>0</v>
      </c>
      <c r="H692"/>
      <c r="I692" s="115">
        <f t="shared" ref="I692:X692" ca="1" si="543">I690*I640</f>
        <v>0</v>
      </c>
      <c r="J692" s="90">
        <f t="shared" ca="1" si="543"/>
        <v>0</v>
      </c>
      <c r="K692" s="90">
        <f t="shared" ca="1" si="543"/>
        <v>0</v>
      </c>
      <c r="L692" s="90">
        <f t="shared" ca="1" si="543"/>
        <v>0</v>
      </c>
      <c r="M692" s="90">
        <f t="shared" ca="1" si="543"/>
        <v>0</v>
      </c>
      <c r="N692" s="90">
        <f t="shared" ca="1" si="543"/>
        <v>0</v>
      </c>
      <c r="O692" s="90">
        <f t="shared" ca="1" si="543"/>
        <v>0</v>
      </c>
      <c r="P692" s="90">
        <f t="shared" ca="1" si="543"/>
        <v>0</v>
      </c>
      <c r="Q692" s="90">
        <f t="shared" ca="1" si="543"/>
        <v>0</v>
      </c>
      <c r="R692" s="90">
        <f t="shared" ca="1" si="543"/>
        <v>0</v>
      </c>
      <c r="S692" s="90">
        <f t="shared" ca="1" si="543"/>
        <v>0</v>
      </c>
      <c r="T692" s="90">
        <f t="shared" ca="1" si="543"/>
        <v>0</v>
      </c>
      <c r="U692" s="90">
        <f t="shared" ca="1" si="543"/>
        <v>0</v>
      </c>
      <c r="V692" s="90">
        <f t="shared" ca="1" si="543"/>
        <v>0</v>
      </c>
      <c r="W692" s="90">
        <f t="shared" ca="1" si="543"/>
        <v>0</v>
      </c>
      <c r="X692" s="90">
        <f t="shared" ca="1" si="543"/>
        <v>0</v>
      </c>
      <c r="Y692" s="90">
        <f ca="1">Y690*Y640</f>
        <v>0</v>
      </c>
      <c r="Z692" s="90">
        <f ca="1">Z690*Z640</f>
        <v>0</v>
      </c>
      <c r="AA692" s="90">
        <f ca="1">AA690*AA640</f>
        <v>0</v>
      </c>
      <c r="AB692" s="90">
        <f ca="1">AB690*AB640</f>
        <v>0</v>
      </c>
      <c r="AC692" s="90">
        <f ca="1">AC690*AC640</f>
        <v>0</v>
      </c>
    </row>
    <row r="693" spans="1:29">
      <c r="A693" s="5" t="s">
        <v>942</v>
      </c>
      <c r="B693"/>
      <c r="C693" s="55">
        <f>I639</f>
        <v>0.34</v>
      </c>
      <c r="H693"/>
      <c r="I693" s="69">
        <f t="shared" ref="I693:X693" ca="1" si="544">(I690-I692)*I639</f>
        <v>0</v>
      </c>
      <c r="J693" s="5">
        <f t="shared" ca="1" si="544"/>
        <v>0</v>
      </c>
      <c r="K693" s="5">
        <f t="shared" ca="1" si="544"/>
        <v>0</v>
      </c>
      <c r="L693" s="5">
        <f t="shared" ca="1" si="544"/>
        <v>716.8723789116633</v>
      </c>
      <c r="M693" s="5">
        <f t="shared" ca="1" si="544"/>
        <v>1689.6421510990449</v>
      </c>
      <c r="N693" s="5">
        <f t="shared" ca="1" si="544"/>
        <v>1616.0064589369322</v>
      </c>
      <c r="O693" s="5">
        <f t="shared" ca="1" si="544"/>
        <v>1509.6609592048412</v>
      </c>
      <c r="P693" s="5">
        <f t="shared" ca="1" si="544"/>
        <v>1407.2127091425839</v>
      </c>
      <c r="Q693" s="5">
        <f t="shared" ca="1" si="544"/>
        <v>1335.5554065281588</v>
      </c>
      <c r="R693" s="5">
        <f t="shared" ca="1" si="544"/>
        <v>1276.0605992347796</v>
      </c>
      <c r="S693" s="5">
        <f t="shared" ca="1" si="544"/>
        <v>1234.2524978971769</v>
      </c>
      <c r="T693" s="5">
        <f t="shared" ca="1" si="544"/>
        <v>1193.2411137186471</v>
      </c>
      <c r="U693" s="5">
        <f t="shared" ca="1" si="544"/>
        <v>1164.3269519118221</v>
      </c>
      <c r="V693" s="5">
        <f t="shared" ca="1" si="544"/>
        <v>1136.119416379242</v>
      </c>
      <c r="W693" s="5">
        <f t="shared" ca="1" si="544"/>
        <v>1123.3689887128821</v>
      </c>
      <c r="X693" s="5">
        <f t="shared" ca="1" si="544"/>
        <v>1108.4833470515889</v>
      </c>
      <c r="Y693" s="5">
        <f ca="1">(Y690-Y692)*Y639</f>
        <v>1098.1756957807122</v>
      </c>
      <c r="Z693" s="5">
        <f ca="1">(Z690-Z692)*Z639</f>
        <v>1077.605873500429</v>
      </c>
      <c r="AA693" s="5">
        <f ca="1">(AA690-AA692)*AA639</f>
        <v>1074.5143097236191</v>
      </c>
      <c r="AB693" s="5">
        <f ca="1">(AB690-AB692)*AB639</f>
        <v>1079.5562776886295</v>
      </c>
      <c r="AC693" s="5">
        <f ca="1">(AC690-AC692)*AC639</f>
        <v>1098.6802576483801</v>
      </c>
    </row>
    <row r="694" spans="1:29" ht="12" thickBot="1">
      <c r="A694" s="5" t="s">
        <v>949</v>
      </c>
      <c r="H694"/>
      <c r="I694" s="61">
        <f t="shared" ref="I694:X694" ca="1" si="545">I692+I693</f>
        <v>0</v>
      </c>
      <c r="J694" s="61">
        <f t="shared" ca="1" si="545"/>
        <v>0</v>
      </c>
      <c r="K694" s="61">
        <f t="shared" ca="1" si="545"/>
        <v>0</v>
      </c>
      <c r="L694" s="61">
        <f t="shared" ca="1" si="545"/>
        <v>716.8723789116633</v>
      </c>
      <c r="M694" s="61">
        <f t="shared" ca="1" si="545"/>
        <v>1689.6421510990449</v>
      </c>
      <c r="N694" s="61">
        <f t="shared" ca="1" si="545"/>
        <v>1616.0064589369322</v>
      </c>
      <c r="O694" s="61">
        <f t="shared" ca="1" si="545"/>
        <v>1509.6609592048412</v>
      </c>
      <c r="P694" s="61">
        <f t="shared" ca="1" si="545"/>
        <v>1407.2127091425839</v>
      </c>
      <c r="Q694" s="61">
        <f t="shared" ca="1" si="545"/>
        <v>1335.5554065281588</v>
      </c>
      <c r="R694" s="61">
        <f t="shared" ca="1" si="545"/>
        <v>1276.0605992347796</v>
      </c>
      <c r="S694" s="61">
        <f t="shared" ca="1" si="545"/>
        <v>1234.2524978971769</v>
      </c>
      <c r="T694" s="61">
        <f t="shared" ca="1" si="545"/>
        <v>1193.2411137186471</v>
      </c>
      <c r="U694" s="61">
        <f t="shared" ca="1" si="545"/>
        <v>1164.3269519118221</v>
      </c>
      <c r="V694" s="61">
        <f t="shared" ca="1" si="545"/>
        <v>1136.119416379242</v>
      </c>
      <c r="W694" s="61">
        <f t="shared" ca="1" si="545"/>
        <v>1123.3689887128821</v>
      </c>
      <c r="X694" s="61">
        <f t="shared" ca="1" si="545"/>
        <v>1108.4833470515889</v>
      </c>
      <c r="Y694" s="61">
        <f ca="1">Y692+Y693</f>
        <v>1098.1756957807122</v>
      </c>
      <c r="Z694" s="61">
        <f ca="1">Z692+Z693</f>
        <v>1077.605873500429</v>
      </c>
      <c r="AA694" s="61">
        <f ca="1">AA692+AA693</f>
        <v>1074.5143097236191</v>
      </c>
      <c r="AB694" s="61">
        <f ca="1">AB692+AB693</f>
        <v>1079.5562776886295</v>
      </c>
      <c r="AC694" s="61">
        <f ca="1">AC692+AC693</f>
        <v>1098.6802576483801</v>
      </c>
    </row>
    <row r="695" spans="1:29" ht="12" thickTop="1"/>
    <row r="696" spans="1:29" ht="12" thickBot="1">
      <c r="A696" s="15" t="s">
        <v>950</v>
      </c>
      <c r="I696"/>
    </row>
    <row r="697" spans="1:29" ht="12.75" thickTop="1" thickBot="1">
      <c r="A697"/>
      <c r="H697" s="216" t="str">
        <f ca="1">$H$579&amp;"/"&amp;TEXT($H$580,"0")</f>
        <v>6 M/1999</v>
      </c>
      <c r="I697" s="216" t="str">
        <f ca="1">$I$579&amp;"/"&amp;TEXT($I$580,"0")</f>
        <v>6 M/1999</v>
      </c>
      <c r="J697" s="217">
        <f t="shared" ref="J697:AC697" si="546">J580</f>
        <v>2000</v>
      </c>
      <c r="K697" s="217">
        <f t="shared" si="546"/>
        <v>2001</v>
      </c>
      <c r="L697" s="217">
        <f t="shared" si="546"/>
        <v>2002</v>
      </c>
      <c r="M697" s="217">
        <f t="shared" si="546"/>
        <v>2003</v>
      </c>
      <c r="N697" s="217">
        <f t="shared" si="546"/>
        <v>2004</v>
      </c>
      <c r="O697" s="217">
        <f t="shared" si="546"/>
        <v>2005</v>
      </c>
      <c r="P697" s="217">
        <f t="shared" si="546"/>
        <v>2006</v>
      </c>
      <c r="Q697" s="217">
        <f t="shared" si="546"/>
        <v>2007</v>
      </c>
      <c r="R697" s="217">
        <f t="shared" si="546"/>
        <v>2008</v>
      </c>
      <c r="S697" s="217">
        <f t="shared" si="546"/>
        <v>2009</v>
      </c>
      <c r="T697" s="217">
        <f t="shared" si="546"/>
        <v>2010</v>
      </c>
      <c r="U697" s="217">
        <f t="shared" si="546"/>
        <v>2011</v>
      </c>
      <c r="V697" s="217">
        <f t="shared" si="546"/>
        <v>2012</v>
      </c>
      <c r="W697" s="217">
        <f t="shared" si="546"/>
        <v>2013</v>
      </c>
      <c r="X697" s="217">
        <f t="shared" si="546"/>
        <v>2014</v>
      </c>
      <c r="Y697" s="217">
        <f t="shared" si="546"/>
        <v>2015</v>
      </c>
      <c r="Z697" s="217">
        <f t="shared" si="546"/>
        <v>2016</v>
      </c>
      <c r="AA697" s="217">
        <f t="shared" si="546"/>
        <v>2017</v>
      </c>
      <c r="AB697" s="217">
        <f t="shared" si="546"/>
        <v>2018</v>
      </c>
      <c r="AC697" s="217">
        <f t="shared" si="546"/>
        <v>2019</v>
      </c>
    </row>
    <row r="698" spans="1:29" ht="12" thickTop="1">
      <c r="A698" s="337" t="s">
        <v>951</v>
      </c>
      <c r="C698" s="90"/>
      <c r="D698" s="90"/>
      <c r="E698" s="90"/>
      <c r="F698" s="90"/>
      <c r="G698" s="90"/>
      <c r="H698" s="90"/>
      <c r="I698" s="115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</row>
    <row r="699" spans="1:29">
      <c r="A699" s="5" t="s">
        <v>952</v>
      </c>
      <c r="C699" s="90"/>
      <c r="D699" s="90"/>
      <c r="E699" s="90"/>
      <c r="F699" s="90"/>
      <c r="G699" s="90"/>
      <c r="H699"/>
      <c r="I699" s="115">
        <f t="shared" ref="I699:AC699" si="547">H665</f>
        <v>0</v>
      </c>
      <c r="J699" s="115">
        <f t="shared" ca="1" si="547"/>
        <v>-501.12434572607458</v>
      </c>
      <c r="K699" s="115">
        <f t="shared" ca="1" si="547"/>
        <v>6242.9363945444502</v>
      </c>
      <c r="L699" s="115">
        <f t="shared" ca="1" si="547"/>
        <v>5273.7733750655825</v>
      </c>
      <c r="M699" s="115">
        <f t="shared" ca="1" si="547"/>
        <v>5092.8627493856411</v>
      </c>
      <c r="N699" s="115">
        <f t="shared" ca="1" si="547"/>
        <v>4969.5357385266025</v>
      </c>
      <c r="O699" s="115">
        <f t="shared" ca="1" si="547"/>
        <v>4752.9601733439176</v>
      </c>
      <c r="P699" s="115">
        <f t="shared" ca="1" si="547"/>
        <v>4440.1792917789444</v>
      </c>
      <c r="Q699" s="115">
        <f t="shared" ca="1" si="547"/>
        <v>4138.8609092428933</v>
      </c>
      <c r="R699" s="115">
        <f t="shared" ca="1" si="547"/>
        <v>3928.1041368475258</v>
      </c>
      <c r="S699" s="115">
        <f t="shared" ca="1" si="547"/>
        <v>3753.1194095140572</v>
      </c>
      <c r="T699" s="115">
        <f t="shared" ca="1" si="547"/>
        <v>3630.1544055799318</v>
      </c>
      <c r="U699" s="115">
        <f t="shared" ca="1" si="547"/>
        <v>3509.5326874077855</v>
      </c>
      <c r="V699" s="115">
        <f t="shared" ca="1" si="547"/>
        <v>3424.4910350347709</v>
      </c>
      <c r="W699" s="115">
        <f t="shared" ca="1" si="547"/>
        <v>3341.5276952330646</v>
      </c>
      <c r="X699" s="115">
        <f t="shared" ca="1" si="547"/>
        <v>3304.0264373908294</v>
      </c>
      <c r="Y699" s="115">
        <f t="shared" ca="1" si="547"/>
        <v>3260.2451383870261</v>
      </c>
      <c r="Z699" s="115">
        <f t="shared" ca="1" si="547"/>
        <v>3229.9285170020944</v>
      </c>
      <c r="AA699" s="115">
        <f t="shared" ca="1" si="547"/>
        <v>3169.4290397071441</v>
      </c>
      <c r="AB699" s="115">
        <f t="shared" ca="1" si="547"/>
        <v>3160.3362050694677</v>
      </c>
      <c r="AC699" s="115">
        <f t="shared" ca="1" si="547"/>
        <v>3175.1655226136158</v>
      </c>
    </row>
    <row r="700" spans="1:29">
      <c r="A700" s="5" t="s">
        <v>923</v>
      </c>
      <c r="B700" s="5" t="s">
        <v>925</v>
      </c>
      <c r="H700"/>
      <c r="I700" s="115">
        <f t="shared" ref="I700:AC700" si="548">I656</f>
        <v>0</v>
      </c>
      <c r="J700" s="115">
        <f t="shared" si="548"/>
        <v>0</v>
      </c>
      <c r="K700" s="115">
        <f t="shared" si="548"/>
        <v>0</v>
      </c>
      <c r="L700" s="115">
        <f t="shared" si="548"/>
        <v>0</v>
      </c>
      <c r="M700" s="115">
        <f t="shared" si="548"/>
        <v>0</v>
      </c>
      <c r="N700" s="115">
        <f t="shared" si="548"/>
        <v>0</v>
      </c>
      <c r="O700" s="115">
        <f t="shared" si="548"/>
        <v>0</v>
      </c>
      <c r="P700" s="115">
        <f t="shared" si="548"/>
        <v>0</v>
      </c>
      <c r="Q700" s="115">
        <f t="shared" si="548"/>
        <v>0</v>
      </c>
      <c r="R700" s="115">
        <f t="shared" si="548"/>
        <v>0</v>
      </c>
      <c r="S700" s="115">
        <f t="shared" si="548"/>
        <v>0</v>
      </c>
      <c r="T700" s="115">
        <f t="shared" si="548"/>
        <v>0</v>
      </c>
      <c r="U700" s="115">
        <f t="shared" si="548"/>
        <v>0</v>
      </c>
      <c r="V700" s="115">
        <f t="shared" si="548"/>
        <v>0</v>
      </c>
      <c r="W700" s="115">
        <f t="shared" si="548"/>
        <v>0</v>
      </c>
      <c r="X700" s="115">
        <f t="shared" si="548"/>
        <v>0</v>
      </c>
      <c r="Y700" s="115">
        <f t="shared" si="548"/>
        <v>0</v>
      </c>
      <c r="Z700" s="115">
        <f t="shared" si="548"/>
        <v>0</v>
      </c>
      <c r="AA700" s="115">
        <f t="shared" si="548"/>
        <v>0</v>
      </c>
      <c r="AB700" s="115">
        <f t="shared" si="548"/>
        <v>0</v>
      </c>
      <c r="AC700" s="115">
        <f t="shared" si="548"/>
        <v>0</v>
      </c>
    </row>
    <row r="701" spans="1:29">
      <c r="A701" s="5" t="s">
        <v>953</v>
      </c>
      <c r="B701" s="83" t="s">
        <v>954</v>
      </c>
      <c r="H701"/>
      <c r="I701" s="115">
        <f t="shared" ref="I701:AC701" si="549">-IF(I947=0,(I946+I611),(I947+I615))</f>
        <v>0</v>
      </c>
      <c r="J701" s="115">
        <f t="shared" si="549"/>
        <v>0</v>
      </c>
      <c r="K701" s="115">
        <f t="shared" si="549"/>
        <v>0</v>
      </c>
      <c r="L701" s="115">
        <f t="shared" si="549"/>
        <v>0</v>
      </c>
      <c r="M701" s="115">
        <f t="shared" si="549"/>
        <v>0</v>
      </c>
      <c r="N701" s="115">
        <f t="shared" si="549"/>
        <v>0</v>
      </c>
      <c r="O701" s="115">
        <f t="shared" si="549"/>
        <v>0</v>
      </c>
      <c r="P701" s="115">
        <f t="shared" si="549"/>
        <v>0</v>
      </c>
      <c r="Q701" s="115">
        <f t="shared" si="549"/>
        <v>0</v>
      </c>
      <c r="R701" s="115">
        <f t="shared" si="549"/>
        <v>0</v>
      </c>
      <c r="S701" s="115">
        <f t="shared" si="549"/>
        <v>0</v>
      </c>
      <c r="T701" s="115">
        <f t="shared" si="549"/>
        <v>0</v>
      </c>
      <c r="U701" s="115">
        <f t="shared" si="549"/>
        <v>0</v>
      </c>
      <c r="V701" s="115">
        <f t="shared" si="549"/>
        <v>0</v>
      </c>
      <c r="W701" s="115">
        <f t="shared" si="549"/>
        <v>0</v>
      </c>
      <c r="X701" s="115">
        <f t="shared" si="549"/>
        <v>0</v>
      </c>
      <c r="Y701" s="115">
        <f t="shared" si="549"/>
        <v>0</v>
      </c>
      <c r="Z701" s="115">
        <f t="shared" si="549"/>
        <v>0</v>
      </c>
      <c r="AA701" s="115">
        <f t="shared" si="549"/>
        <v>0</v>
      </c>
      <c r="AB701" s="115">
        <f t="shared" si="549"/>
        <v>0</v>
      </c>
      <c r="AC701" s="115">
        <f t="shared" si="549"/>
        <v>0</v>
      </c>
    </row>
    <row r="702" spans="1:29">
      <c r="A702" s="83" t="s">
        <v>955</v>
      </c>
      <c r="H702"/>
      <c r="I702" s="92">
        <f t="shared" ref="I702:X702" si="550">SUM(I699:I701)</f>
        <v>0</v>
      </c>
      <c r="J702" s="92">
        <f t="shared" ca="1" si="550"/>
        <v>-501.12434572607458</v>
      </c>
      <c r="K702" s="92">
        <f t="shared" ca="1" si="550"/>
        <v>6242.9363945444502</v>
      </c>
      <c r="L702" s="92">
        <f t="shared" ca="1" si="550"/>
        <v>5273.7733750655825</v>
      </c>
      <c r="M702" s="92">
        <f t="shared" ca="1" si="550"/>
        <v>5092.8627493856411</v>
      </c>
      <c r="N702" s="92">
        <f t="shared" ca="1" si="550"/>
        <v>4969.5357385266025</v>
      </c>
      <c r="O702" s="92">
        <f t="shared" ca="1" si="550"/>
        <v>4752.9601733439176</v>
      </c>
      <c r="P702" s="92">
        <f t="shared" ca="1" si="550"/>
        <v>4440.1792917789444</v>
      </c>
      <c r="Q702" s="92">
        <f t="shared" ca="1" si="550"/>
        <v>4138.8609092428933</v>
      </c>
      <c r="R702" s="92">
        <f t="shared" ca="1" si="550"/>
        <v>3928.1041368475258</v>
      </c>
      <c r="S702" s="92">
        <f t="shared" ca="1" si="550"/>
        <v>3753.1194095140572</v>
      </c>
      <c r="T702" s="92">
        <f t="shared" ca="1" si="550"/>
        <v>3630.1544055799318</v>
      </c>
      <c r="U702" s="92">
        <f t="shared" ca="1" si="550"/>
        <v>3509.5326874077855</v>
      </c>
      <c r="V702" s="92">
        <f t="shared" ca="1" si="550"/>
        <v>3424.4910350347709</v>
      </c>
      <c r="W702" s="92">
        <f t="shared" ca="1" si="550"/>
        <v>3341.5276952330646</v>
      </c>
      <c r="X702" s="92">
        <f t="shared" ca="1" si="550"/>
        <v>3304.0264373908294</v>
      </c>
      <c r="Y702" s="92">
        <f ca="1">SUM(Y699:Y701)</f>
        <v>3260.2451383870261</v>
      </c>
      <c r="Z702" s="92">
        <f ca="1">SUM(Z699:Z701)</f>
        <v>3229.9285170020944</v>
      </c>
      <c r="AA702" s="92">
        <f ca="1">SUM(AA699:AA701)</f>
        <v>3169.4290397071441</v>
      </c>
      <c r="AB702" s="92">
        <f ca="1">SUM(AB699:AB701)</f>
        <v>3160.3362050694677</v>
      </c>
      <c r="AC702" s="92">
        <f ca="1">SUM(AC699:AC701)</f>
        <v>3175.1655226136158</v>
      </c>
    </row>
    <row r="703" spans="1:29">
      <c r="A703" s="83" t="s">
        <v>956</v>
      </c>
      <c r="H703"/>
      <c r="I703" s="115">
        <f ca="1">+I748</f>
        <v>310.96378931940967</v>
      </c>
      <c r="J703" s="115">
        <f t="shared" ref="J703:Y703" ca="1" si="551">+J748</f>
        <v>0</v>
      </c>
      <c r="K703" s="115">
        <f t="shared" ca="1" si="551"/>
        <v>0</v>
      </c>
      <c r="L703" s="115">
        <f t="shared" ca="1" si="551"/>
        <v>0</v>
      </c>
      <c r="M703" s="115">
        <f t="shared" ca="1" si="551"/>
        <v>0</v>
      </c>
      <c r="N703" s="115">
        <f t="shared" ca="1" si="551"/>
        <v>0</v>
      </c>
      <c r="O703" s="115">
        <f t="shared" ca="1" si="551"/>
        <v>0</v>
      </c>
      <c r="P703" s="115">
        <f t="shared" ca="1" si="551"/>
        <v>0</v>
      </c>
      <c r="Q703" s="115">
        <f t="shared" ca="1" si="551"/>
        <v>0</v>
      </c>
      <c r="R703" s="115">
        <f t="shared" ca="1" si="551"/>
        <v>0</v>
      </c>
      <c r="S703" s="115">
        <f t="shared" ca="1" si="551"/>
        <v>0</v>
      </c>
      <c r="T703" s="115">
        <f t="shared" ca="1" si="551"/>
        <v>0</v>
      </c>
      <c r="U703" s="115">
        <f t="shared" ca="1" si="551"/>
        <v>0</v>
      </c>
      <c r="V703" s="115">
        <f t="shared" ca="1" si="551"/>
        <v>0</v>
      </c>
      <c r="W703" s="115">
        <f t="shared" ca="1" si="551"/>
        <v>0</v>
      </c>
      <c r="X703" s="115">
        <f t="shared" ca="1" si="551"/>
        <v>0</v>
      </c>
      <c r="Y703" s="115">
        <f t="shared" ca="1" si="551"/>
        <v>0</v>
      </c>
      <c r="Z703" s="115">
        <f ca="1">+Z748</f>
        <v>0</v>
      </c>
      <c r="AA703" s="115">
        <f ca="1">+AA748</f>
        <v>0</v>
      </c>
      <c r="AB703" s="115">
        <f ca="1">+AB748</f>
        <v>0</v>
      </c>
      <c r="AC703" s="115">
        <f ca="1">+AC748</f>
        <v>0</v>
      </c>
    </row>
    <row r="704" spans="1:29">
      <c r="A704" s="83" t="s">
        <v>957</v>
      </c>
      <c r="H704"/>
      <c r="I704" s="179">
        <f ca="1">+I703+I702</f>
        <v>310.96378931940967</v>
      </c>
      <c r="J704" s="179">
        <f t="shared" ref="J704:Y704" ca="1" si="552">+J703+J702</f>
        <v>-501.12434572607458</v>
      </c>
      <c r="K704" s="179">
        <f t="shared" ca="1" si="552"/>
        <v>6242.9363945444502</v>
      </c>
      <c r="L704" s="179">
        <f t="shared" ca="1" si="552"/>
        <v>5273.7733750655825</v>
      </c>
      <c r="M704" s="179">
        <f t="shared" ca="1" si="552"/>
        <v>5092.8627493856411</v>
      </c>
      <c r="N704" s="179">
        <f t="shared" ca="1" si="552"/>
        <v>4969.5357385266025</v>
      </c>
      <c r="O704" s="179">
        <f t="shared" ca="1" si="552"/>
        <v>4752.9601733439176</v>
      </c>
      <c r="P704" s="179">
        <f t="shared" ca="1" si="552"/>
        <v>4440.1792917789444</v>
      </c>
      <c r="Q704" s="179">
        <f t="shared" ca="1" si="552"/>
        <v>4138.8609092428933</v>
      </c>
      <c r="R704" s="179">
        <f t="shared" ca="1" si="552"/>
        <v>3928.1041368475258</v>
      </c>
      <c r="S704" s="179">
        <f t="shared" ca="1" si="552"/>
        <v>3753.1194095140572</v>
      </c>
      <c r="T704" s="179">
        <f t="shared" ca="1" si="552"/>
        <v>3630.1544055799318</v>
      </c>
      <c r="U704" s="179">
        <f t="shared" ca="1" si="552"/>
        <v>3509.5326874077855</v>
      </c>
      <c r="V704" s="179">
        <f t="shared" ca="1" si="552"/>
        <v>3424.4910350347709</v>
      </c>
      <c r="W704" s="179">
        <f t="shared" ca="1" si="552"/>
        <v>3341.5276952330646</v>
      </c>
      <c r="X704" s="179">
        <f t="shared" ca="1" si="552"/>
        <v>3304.0264373908294</v>
      </c>
      <c r="Y704" s="179">
        <f t="shared" ca="1" si="552"/>
        <v>3260.2451383870261</v>
      </c>
      <c r="Z704" s="179">
        <f ca="1">+Z703+Z702</f>
        <v>3229.9285170020944</v>
      </c>
      <c r="AA704" s="179">
        <f ca="1">+AA703+AA702</f>
        <v>3169.4290397071441</v>
      </c>
      <c r="AB704" s="179">
        <f ca="1">+AB703+AB702</f>
        <v>3160.3362050694677</v>
      </c>
      <c r="AC704" s="179">
        <f ca="1">+AC703+AC702</f>
        <v>3175.1655226136158</v>
      </c>
    </row>
    <row r="705" spans="1:29">
      <c r="A705" s="83" t="s">
        <v>958</v>
      </c>
      <c r="H705"/>
      <c r="I705" s="770">
        <v>-0.4</v>
      </c>
      <c r="J705" s="770">
        <f t="shared" ref="J705:AC705" si="553">I705</f>
        <v>-0.4</v>
      </c>
      <c r="K705" s="770">
        <f t="shared" si="553"/>
        <v>-0.4</v>
      </c>
      <c r="L705" s="770">
        <f t="shared" si="553"/>
        <v>-0.4</v>
      </c>
      <c r="M705" s="770">
        <f t="shared" si="553"/>
        <v>-0.4</v>
      </c>
      <c r="N705" s="770">
        <f t="shared" si="553"/>
        <v>-0.4</v>
      </c>
      <c r="O705" s="770">
        <f t="shared" si="553"/>
        <v>-0.4</v>
      </c>
      <c r="P705" s="770">
        <f t="shared" si="553"/>
        <v>-0.4</v>
      </c>
      <c r="Q705" s="770">
        <f t="shared" si="553"/>
        <v>-0.4</v>
      </c>
      <c r="R705" s="770">
        <f t="shared" si="553"/>
        <v>-0.4</v>
      </c>
      <c r="S705" s="770">
        <f t="shared" si="553"/>
        <v>-0.4</v>
      </c>
      <c r="T705" s="770">
        <f t="shared" si="553"/>
        <v>-0.4</v>
      </c>
      <c r="U705" s="770">
        <f t="shared" si="553"/>
        <v>-0.4</v>
      </c>
      <c r="V705" s="770">
        <f t="shared" si="553"/>
        <v>-0.4</v>
      </c>
      <c r="W705" s="770">
        <f t="shared" si="553"/>
        <v>-0.4</v>
      </c>
      <c r="X705" s="770">
        <f t="shared" si="553"/>
        <v>-0.4</v>
      </c>
      <c r="Y705" s="770">
        <f t="shared" si="553"/>
        <v>-0.4</v>
      </c>
      <c r="Z705" s="770">
        <f t="shared" si="553"/>
        <v>-0.4</v>
      </c>
      <c r="AA705" s="770">
        <f t="shared" si="553"/>
        <v>-0.4</v>
      </c>
      <c r="AB705" s="770">
        <f t="shared" si="553"/>
        <v>-0.4</v>
      </c>
      <c r="AC705" s="770">
        <f t="shared" si="553"/>
        <v>-0.4</v>
      </c>
    </row>
    <row r="706" spans="1:29">
      <c r="A706" s="83" t="s">
        <v>959</v>
      </c>
      <c r="H706"/>
      <c r="I706" s="168">
        <f ca="1">+I704*I705</f>
        <v>-124.38551572776387</v>
      </c>
      <c r="J706" s="168">
        <f t="shared" ref="J706:Y706" ca="1" si="554">+J704*J705</f>
        <v>200.44973829042985</v>
      </c>
      <c r="K706" s="168">
        <f t="shared" ca="1" si="554"/>
        <v>-2497.1745578177802</v>
      </c>
      <c r="L706" s="168">
        <f t="shared" ca="1" si="554"/>
        <v>-2109.5093500262333</v>
      </c>
      <c r="M706" s="168">
        <f t="shared" ca="1" si="554"/>
        <v>-2037.1450997542565</v>
      </c>
      <c r="N706" s="168">
        <f t="shared" ca="1" si="554"/>
        <v>-1987.8142954106411</v>
      </c>
      <c r="O706" s="168">
        <f t="shared" ca="1" si="554"/>
        <v>-1901.1840693375671</v>
      </c>
      <c r="P706" s="168">
        <f t="shared" ca="1" si="554"/>
        <v>-1776.0717167115779</v>
      </c>
      <c r="Q706" s="168">
        <f t="shared" ca="1" si="554"/>
        <v>-1655.5443636971575</v>
      </c>
      <c r="R706" s="168">
        <f t="shared" ca="1" si="554"/>
        <v>-1571.2416547390103</v>
      </c>
      <c r="S706" s="168">
        <f t="shared" ca="1" si="554"/>
        <v>-1501.247763805623</v>
      </c>
      <c r="T706" s="168">
        <f t="shared" ca="1" si="554"/>
        <v>-1452.0617622319728</v>
      </c>
      <c r="U706" s="168">
        <f t="shared" ca="1" si="554"/>
        <v>-1403.8130749631143</v>
      </c>
      <c r="V706" s="168">
        <f t="shared" ca="1" si="554"/>
        <v>-1369.7964140139084</v>
      </c>
      <c r="W706" s="168">
        <f t="shared" ca="1" si="554"/>
        <v>-1336.6110780932258</v>
      </c>
      <c r="X706" s="168">
        <f t="shared" ca="1" si="554"/>
        <v>-1321.6105749563319</v>
      </c>
      <c r="Y706" s="168">
        <f t="shared" ca="1" si="554"/>
        <v>-1304.0980553548106</v>
      </c>
      <c r="Z706" s="168">
        <f ca="1">+Z704*Z705</f>
        <v>-1291.9714068008379</v>
      </c>
      <c r="AA706" s="168">
        <f ca="1">+AA704*AA705</f>
        <v>-1267.7716158828578</v>
      </c>
      <c r="AB706" s="168">
        <f ca="1">+AB704*AB705</f>
        <v>-1264.1344820277873</v>
      </c>
      <c r="AC706" s="168">
        <f ca="1">+AC704*AC705</f>
        <v>-1270.0662090454464</v>
      </c>
    </row>
    <row r="707" spans="1:29">
      <c r="A707" s="5" t="s">
        <v>960</v>
      </c>
      <c r="H707"/>
      <c r="I707" s="168">
        <f ca="1">+I704+I706</f>
        <v>186.5782735916458</v>
      </c>
      <c r="J707" s="168">
        <f t="shared" ref="J707:Y707" ca="1" si="555">+J704+J706</f>
        <v>-300.6746074356447</v>
      </c>
      <c r="K707" s="168">
        <f t="shared" ca="1" si="555"/>
        <v>3745.76183672667</v>
      </c>
      <c r="L707" s="168">
        <f t="shared" ca="1" si="555"/>
        <v>3164.2640250393492</v>
      </c>
      <c r="M707" s="168">
        <f t="shared" ca="1" si="555"/>
        <v>3055.7176496313846</v>
      </c>
      <c r="N707" s="168">
        <f t="shared" ca="1" si="555"/>
        <v>2981.7214431159614</v>
      </c>
      <c r="O707" s="168">
        <f t="shared" ca="1" si="555"/>
        <v>2851.7761040063506</v>
      </c>
      <c r="P707" s="168">
        <f t="shared" ca="1" si="555"/>
        <v>2664.1075750673663</v>
      </c>
      <c r="Q707" s="168">
        <f t="shared" ca="1" si="555"/>
        <v>2483.3165455457356</v>
      </c>
      <c r="R707" s="168">
        <f t="shared" ca="1" si="555"/>
        <v>2356.8624821085155</v>
      </c>
      <c r="S707" s="168">
        <f t="shared" ca="1" si="555"/>
        <v>2251.8716457084342</v>
      </c>
      <c r="T707" s="168">
        <f t="shared" ca="1" si="555"/>
        <v>2178.092643347959</v>
      </c>
      <c r="U707" s="168">
        <f t="shared" ca="1" si="555"/>
        <v>2105.7196124446709</v>
      </c>
      <c r="V707" s="168">
        <f t="shared" ca="1" si="555"/>
        <v>2054.6946210208625</v>
      </c>
      <c r="W707" s="168">
        <f t="shared" ca="1" si="555"/>
        <v>2004.9166171398388</v>
      </c>
      <c r="X707" s="168">
        <f t="shared" ca="1" si="555"/>
        <v>1982.4158624344975</v>
      </c>
      <c r="Y707" s="168">
        <f t="shared" ca="1" si="555"/>
        <v>1956.1470830322155</v>
      </c>
      <c r="Z707" s="168">
        <f ca="1">+Z704+Z706</f>
        <v>1937.9571102012565</v>
      </c>
      <c r="AA707" s="168">
        <f ca="1">+AA704+AA706</f>
        <v>1901.6574238242863</v>
      </c>
      <c r="AB707" s="168">
        <f ca="1">+AB704+AB706</f>
        <v>1896.2017230416805</v>
      </c>
      <c r="AC707" s="168">
        <f ca="1">+AC704+AC706</f>
        <v>1905.0993135681695</v>
      </c>
    </row>
    <row r="708" spans="1:29">
      <c r="H708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</row>
    <row r="709" spans="1:29">
      <c r="A709" s="5" t="s">
        <v>961</v>
      </c>
      <c r="H709"/>
      <c r="I709" s="69">
        <f ca="1">IF(I707&gt;I702,I707-I702,0)</f>
        <v>186.5782735916458</v>
      </c>
      <c r="J709" s="69">
        <f t="shared" ref="J709:Y709" ca="1" si="556">IF(J707&gt;J702,J707-J702,0)</f>
        <v>200.44973829042988</v>
      </c>
      <c r="K709" s="69">
        <f t="shared" ca="1" si="556"/>
        <v>0</v>
      </c>
      <c r="L709" s="69">
        <f t="shared" ca="1" si="556"/>
        <v>0</v>
      </c>
      <c r="M709" s="69">
        <f t="shared" ca="1" si="556"/>
        <v>0</v>
      </c>
      <c r="N709" s="69">
        <f t="shared" ca="1" si="556"/>
        <v>0</v>
      </c>
      <c r="O709" s="69">
        <f t="shared" ca="1" si="556"/>
        <v>0</v>
      </c>
      <c r="P709" s="69">
        <f t="shared" ca="1" si="556"/>
        <v>0</v>
      </c>
      <c r="Q709" s="69">
        <f t="shared" ca="1" si="556"/>
        <v>0</v>
      </c>
      <c r="R709" s="69">
        <f t="shared" ca="1" si="556"/>
        <v>0</v>
      </c>
      <c r="S709" s="69">
        <f t="shared" ca="1" si="556"/>
        <v>0</v>
      </c>
      <c r="T709" s="69">
        <f t="shared" ca="1" si="556"/>
        <v>0</v>
      </c>
      <c r="U709" s="69">
        <f t="shared" ca="1" si="556"/>
        <v>0</v>
      </c>
      <c r="V709" s="69">
        <f t="shared" ca="1" si="556"/>
        <v>0</v>
      </c>
      <c r="W709" s="69">
        <f t="shared" ca="1" si="556"/>
        <v>0</v>
      </c>
      <c r="X709" s="69">
        <f t="shared" ca="1" si="556"/>
        <v>0</v>
      </c>
      <c r="Y709" s="69">
        <f t="shared" ca="1" si="556"/>
        <v>0</v>
      </c>
      <c r="Z709" s="69">
        <f ca="1">IF(Z707&gt;Z702,Z707-Z702,0)</f>
        <v>0</v>
      </c>
      <c r="AA709" s="69">
        <f ca="1">IF(AA707&gt;AA702,AA707-AA702,0)</f>
        <v>0</v>
      </c>
      <c r="AB709" s="69">
        <f ca="1">IF(AB707&gt;AB702,AB707-AB702,0)</f>
        <v>0</v>
      </c>
      <c r="AC709" s="69">
        <f ca="1">IF(AC707&gt;AC702,AC707-AC702,0)</f>
        <v>0</v>
      </c>
    </row>
    <row r="710" spans="1:29">
      <c r="A710" s="83" t="s">
        <v>962</v>
      </c>
      <c r="H710"/>
      <c r="I710" s="179">
        <f ca="1">+I709+I702</f>
        <v>186.5782735916458</v>
      </c>
      <c r="J710" s="179">
        <f t="shared" ref="J710:Y710" ca="1" si="557">+J709+J702</f>
        <v>-300.6746074356447</v>
      </c>
      <c r="K710" s="179">
        <f t="shared" ca="1" si="557"/>
        <v>6242.9363945444502</v>
      </c>
      <c r="L710" s="179">
        <f t="shared" ca="1" si="557"/>
        <v>5273.7733750655825</v>
      </c>
      <c r="M710" s="179">
        <f t="shared" ca="1" si="557"/>
        <v>5092.8627493856411</v>
      </c>
      <c r="N710" s="179">
        <f t="shared" ca="1" si="557"/>
        <v>4969.5357385266025</v>
      </c>
      <c r="O710" s="179">
        <f t="shared" ca="1" si="557"/>
        <v>4752.9601733439176</v>
      </c>
      <c r="P710" s="179">
        <f t="shared" ca="1" si="557"/>
        <v>4440.1792917789444</v>
      </c>
      <c r="Q710" s="179">
        <f t="shared" ca="1" si="557"/>
        <v>4138.8609092428933</v>
      </c>
      <c r="R710" s="179">
        <f t="shared" ca="1" si="557"/>
        <v>3928.1041368475258</v>
      </c>
      <c r="S710" s="179">
        <f t="shared" ca="1" si="557"/>
        <v>3753.1194095140572</v>
      </c>
      <c r="T710" s="179">
        <f t="shared" ca="1" si="557"/>
        <v>3630.1544055799318</v>
      </c>
      <c r="U710" s="179">
        <f t="shared" ca="1" si="557"/>
        <v>3509.5326874077855</v>
      </c>
      <c r="V710" s="179">
        <f t="shared" ca="1" si="557"/>
        <v>3424.4910350347709</v>
      </c>
      <c r="W710" s="179">
        <f t="shared" ca="1" si="557"/>
        <v>3341.5276952330646</v>
      </c>
      <c r="X710" s="179">
        <f t="shared" ca="1" si="557"/>
        <v>3304.0264373908294</v>
      </c>
      <c r="Y710" s="179">
        <f t="shared" ca="1" si="557"/>
        <v>3260.2451383870261</v>
      </c>
      <c r="Z710" s="179">
        <f ca="1">+Z709+Z702</f>
        <v>3229.9285170020944</v>
      </c>
      <c r="AA710" s="179">
        <f ca="1">+AA709+AA702</f>
        <v>3169.4290397071441</v>
      </c>
      <c r="AB710" s="179">
        <f ca="1">+AB709+AB702</f>
        <v>3160.3362050694677</v>
      </c>
      <c r="AC710" s="179">
        <f ca="1">+AC709+AC702</f>
        <v>3175.1655226136158</v>
      </c>
    </row>
    <row r="711" spans="1:29">
      <c r="H711"/>
      <c r="I711" s="115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</row>
    <row r="712" spans="1:29">
      <c r="A712" s="5" t="s">
        <v>936</v>
      </c>
      <c r="H712"/>
      <c r="I712" s="115">
        <f>+F645</f>
        <v>2000</v>
      </c>
      <c r="J712" s="90">
        <f t="shared" ref="J712:AC712" ca="1" si="558">I715</f>
        <v>1832.0795537675187</v>
      </c>
      <c r="K712" s="90">
        <f t="shared" ca="1" si="558"/>
        <v>2132.7541612031637</v>
      </c>
      <c r="L712" s="90">
        <f t="shared" ca="1" si="558"/>
        <v>0</v>
      </c>
      <c r="M712" s="90">
        <f t="shared" ca="1" si="558"/>
        <v>0</v>
      </c>
      <c r="N712" s="90">
        <f t="shared" ca="1" si="558"/>
        <v>0</v>
      </c>
      <c r="O712" s="90">
        <f t="shared" ca="1" si="558"/>
        <v>0</v>
      </c>
      <c r="P712" s="90">
        <f t="shared" ca="1" si="558"/>
        <v>0</v>
      </c>
      <c r="Q712" s="90">
        <f t="shared" ca="1" si="558"/>
        <v>0</v>
      </c>
      <c r="R712" s="90">
        <f t="shared" ca="1" si="558"/>
        <v>0</v>
      </c>
      <c r="S712" s="90">
        <f t="shared" ca="1" si="558"/>
        <v>0</v>
      </c>
      <c r="T712" s="90">
        <f t="shared" ca="1" si="558"/>
        <v>0</v>
      </c>
      <c r="U712" s="90">
        <f t="shared" ca="1" si="558"/>
        <v>0</v>
      </c>
      <c r="V712" s="90">
        <f t="shared" ca="1" si="558"/>
        <v>0</v>
      </c>
      <c r="W712" s="90">
        <f t="shared" ca="1" si="558"/>
        <v>0</v>
      </c>
      <c r="X712" s="90">
        <f t="shared" ca="1" si="558"/>
        <v>0</v>
      </c>
      <c r="Y712" s="90">
        <f t="shared" ca="1" si="558"/>
        <v>0</v>
      </c>
      <c r="Z712" s="90">
        <f t="shared" ca="1" si="558"/>
        <v>0</v>
      </c>
      <c r="AA712" s="90">
        <f t="shared" ca="1" si="558"/>
        <v>0</v>
      </c>
      <c r="AB712" s="90">
        <f t="shared" ca="1" si="558"/>
        <v>0</v>
      </c>
      <c r="AC712" s="90">
        <f t="shared" ca="1" si="558"/>
        <v>0</v>
      </c>
    </row>
    <row r="713" spans="1:29">
      <c r="A713" s="5" t="s">
        <v>937</v>
      </c>
      <c r="D713" s="90"/>
      <c r="E713" s="90"/>
      <c r="F713" s="90"/>
      <c r="G713" s="90"/>
      <c r="H713"/>
      <c r="I713" s="115">
        <f t="shared" ref="I713:X713" ca="1" si="559">IF(I710&lt;=0,I710,0)</f>
        <v>0</v>
      </c>
      <c r="J713" s="90">
        <f t="shared" ca="1" si="559"/>
        <v>-300.6746074356447</v>
      </c>
      <c r="K713" s="90">
        <f t="shared" ca="1" si="559"/>
        <v>0</v>
      </c>
      <c r="L713" s="90">
        <f t="shared" ca="1" si="559"/>
        <v>0</v>
      </c>
      <c r="M713" s="90">
        <f t="shared" ca="1" si="559"/>
        <v>0</v>
      </c>
      <c r="N713" s="90">
        <f t="shared" ca="1" si="559"/>
        <v>0</v>
      </c>
      <c r="O713" s="90">
        <f t="shared" ca="1" si="559"/>
        <v>0</v>
      </c>
      <c r="P713" s="90">
        <f t="shared" ca="1" si="559"/>
        <v>0</v>
      </c>
      <c r="Q713" s="90">
        <f t="shared" ca="1" si="559"/>
        <v>0</v>
      </c>
      <c r="R713" s="90">
        <f t="shared" ca="1" si="559"/>
        <v>0</v>
      </c>
      <c r="S713" s="90">
        <f t="shared" ca="1" si="559"/>
        <v>0</v>
      </c>
      <c r="T713" s="90">
        <f t="shared" ca="1" si="559"/>
        <v>0</v>
      </c>
      <c r="U713" s="90">
        <f t="shared" ca="1" si="559"/>
        <v>0</v>
      </c>
      <c r="V713" s="90">
        <f t="shared" ca="1" si="559"/>
        <v>0</v>
      </c>
      <c r="W713" s="90">
        <f t="shared" ca="1" si="559"/>
        <v>0</v>
      </c>
      <c r="X713" s="90">
        <f t="shared" ca="1" si="559"/>
        <v>0</v>
      </c>
      <c r="Y713" s="90">
        <f ca="1">IF(Y710&lt;=0,Y710,0)</f>
        <v>0</v>
      </c>
      <c r="Z713" s="90">
        <f ca="1">IF(Z710&lt;=0,Z710,0)</f>
        <v>0</v>
      </c>
      <c r="AA713" s="90">
        <f ca="1">IF(AA710&lt;=0,AA710,0)</f>
        <v>0</v>
      </c>
      <c r="AB713" s="90">
        <f ca="1">IF(AB710&lt;=0,AB710,0)</f>
        <v>0</v>
      </c>
      <c r="AC713" s="90">
        <f ca="1">IF(AC710&lt;=0,AC710,0)</f>
        <v>0</v>
      </c>
    </row>
    <row r="714" spans="1:29">
      <c r="A714" s="83" t="s">
        <v>963</v>
      </c>
      <c r="C714" s="90"/>
      <c r="D714" s="90"/>
      <c r="E714" s="90"/>
      <c r="F714" s="90"/>
      <c r="G714" s="90"/>
      <c r="H714"/>
      <c r="I714" s="771">
        <f t="shared" ref="I714:X714" ca="1" si="560">IF(ISERR(IF(I710&lt;0,0,IF(AND(I712&lt;I710,I712/I710&lt;=0.9),I712,0.9*I710))),0,IF(I710&lt;0,0,IF(AND(I712&lt;I710,I712/I710&lt;=0.9),I712,0.9*I710)))</f>
        <v>167.92044623248123</v>
      </c>
      <c r="J714" s="2">
        <f ca="1">IF(ISERR(IF(J710&lt;0,0,IF(AND(J712&lt;J710,J712/J710&lt;=0.9),J712,0.9*J710))),0,IF(J710&lt;0,0,IF(AND(J712&lt;J710,J712/J710&lt;=0.9),J712,0.9*J710)))</f>
        <v>0</v>
      </c>
      <c r="K714" s="2">
        <f t="shared" ca="1" si="560"/>
        <v>2132.7541612031637</v>
      </c>
      <c r="L714" s="2">
        <f t="shared" ca="1" si="560"/>
        <v>0</v>
      </c>
      <c r="M714" s="2">
        <f t="shared" ca="1" si="560"/>
        <v>0</v>
      </c>
      <c r="N714" s="2">
        <f t="shared" ca="1" si="560"/>
        <v>0</v>
      </c>
      <c r="O714" s="2">
        <f t="shared" ca="1" si="560"/>
        <v>0</v>
      </c>
      <c r="P714" s="2">
        <f t="shared" ca="1" si="560"/>
        <v>0</v>
      </c>
      <c r="Q714" s="2">
        <f t="shared" ca="1" si="560"/>
        <v>0</v>
      </c>
      <c r="R714" s="2">
        <f t="shared" ca="1" si="560"/>
        <v>0</v>
      </c>
      <c r="S714" s="2">
        <f t="shared" ca="1" si="560"/>
        <v>0</v>
      </c>
      <c r="T714" s="2">
        <f t="shared" ca="1" si="560"/>
        <v>0</v>
      </c>
      <c r="U714" s="2">
        <f t="shared" ca="1" si="560"/>
        <v>0</v>
      </c>
      <c r="V714" s="2">
        <f t="shared" ca="1" si="560"/>
        <v>0</v>
      </c>
      <c r="W714" s="2">
        <f t="shared" ca="1" si="560"/>
        <v>0</v>
      </c>
      <c r="X714" s="2">
        <f t="shared" ca="1" si="560"/>
        <v>0</v>
      </c>
      <c r="Y714" s="2">
        <f ca="1">IF(ISERR(IF(Y710&lt;0,0,IF(AND(Y712&lt;Y710,Y712/Y710&lt;=0.9),Y712,0.9*Y710))),0,IF(Y710&lt;0,0,IF(AND(Y712&lt;Y710,Y712/Y710&lt;=0.9),Y712,0.9*Y710)))</f>
        <v>0</v>
      </c>
      <c r="Z714" s="2">
        <f ca="1">IF(ISERR(IF(Z710&lt;0,0,IF(AND(Z712&lt;Z710,Z712/Z710&lt;=0.9),Z712,0.9*Z710))),0,IF(Z710&lt;0,0,IF(AND(Z712&lt;Z710,Z712/Z710&lt;=0.9),Z712,0.9*Z710)))</f>
        <v>0</v>
      </c>
      <c r="AA714" s="2">
        <f ca="1">IF(ISERR(IF(AA710&lt;0,0,IF(AND(AA712&lt;AA710,AA712/AA710&lt;=0.9),AA712,0.9*AA710))),0,IF(AA710&lt;0,0,IF(AND(AA712&lt;AA710,AA712/AA710&lt;=0.9),AA712,0.9*AA710)))</f>
        <v>0</v>
      </c>
      <c r="AB714" s="2">
        <f ca="1">IF(ISERR(IF(AB710&lt;0,0,IF(AND(AB712&lt;AB710,AB712/AB710&lt;=0.9),AB712,0.9*AB710))),0,IF(AB710&lt;0,0,IF(AND(AB712&lt;AB710,AB712/AB710&lt;=0.9),AB712,0.9*AB710)))</f>
        <v>0</v>
      </c>
      <c r="AC714" s="2">
        <f ca="1">IF(ISERR(IF(AC710&lt;0,0,IF(AND(AC712&lt;AC710,AC712/AC710&lt;=0.9),AC712,0.9*AC710))),0,IF(AC710&lt;0,0,IF(AND(AC712&lt;AC710,AC712/AC710&lt;=0.9),AC712,0.9*AC710)))</f>
        <v>0</v>
      </c>
    </row>
    <row r="715" spans="1:29">
      <c r="A715" s="5" t="s">
        <v>939</v>
      </c>
      <c r="C715" s="90"/>
      <c r="D715" s="90"/>
      <c r="E715" s="90"/>
      <c r="F715" s="90"/>
      <c r="G715" s="90"/>
      <c r="H715"/>
      <c r="I715" s="92">
        <f t="shared" ref="I715:X715" ca="1" si="561">I712-I713-I714</f>
        <v>1832.0795537675187</v>
      </c>
      <c r="J715" s="92">
        <f t="shared" ca="1" si="561"/>
        <v>2132.7541612031637</v>
      </c>
      <c r="K715" s="92">
        <f t="shared" ca="1" si="561"/>
        <v>0</v>
      </c>
      <c r="L715" s="92">
        <f t="shared" ca="1" si="561"/>
        <v>0</v>
      </c>
      <c r="M715" s="92">
        <f t="shared" ca="1" si="561"/>
        <v>0</v>
      </c>
      <c r="N715" s="92">
        <f t="shared" ca="1" si="561"/>
        <v>0</v>
      </c>
      <c r="O715" s="92">
        <f t="shared" ca="1" si="561"/>
        <v>0</v>
      </c>
      <c r="P715" s="92">
        <f t="shared" ca="1" si="561"/>
        <v>0</v>
      </c>
      <c r="Q715" s="92">
        <f t="shared" ca="1" si="561"/>
        <v>0</v>
      </c>
      <c r="R715" s="92">
        <f t="shared" ca="1" si="561"/>
        <v>0</v>
      </c>
      <c r="S715" s="92">
        <f t="shared" ca="1" si="561"/>
        <v>0</v>
      </c>
      <c r="T715" s="92">
        <f t="shared" ca="1" si="561"/>
        <v>0</v>
      </c>
      <c r="U715" s="92">
        <f t="shared" ca="1" si="561"/>
        <v>0</v>
      </c>
      <c r="V715" s="92">
        <f t="shared" ca="1" si="561"/>
        <v>0</v>
      </c>
      <c r="W715" s="92">
        <f t="shared" ca="1" si="561"/>
        <v>0</v>
      </c>
      <c r="X715" s="92">
        <f t="shared" ca="1" si="561"/>
        <v>0</v>
      </c>
      <c r="Y715" s="92">
        <f ca="1">Y712-Y713-Y714</f>
        <v>0</v>
      </c>
      <c r="Z715" s="92">
        <f ca="1">Z712-Z713-Z714</f>
        <v>0</v>
      </c>
      <c r="AA715" s="92">
        <f ca="1">AA712-AA713-AA714</f>
        <v>0</v>
      </c>
      <c r="AB715" s="92">
        <f ca="1">AB712-AB713-AB714</f>
        <v>0</v>
      </c>
      <c r="AC715" s="92">
        <f ca="1">AC712-AC713-AC714</f>
        <v>0</v>
      </c>
    </row>
    <row r="716" spans="1:29">
      <c r="C716" s="90"/>
      <c r="D716" s="90"/>
      <c r="E716" s="90"/>
      <c r="F716" s="90"/>
      <c r="G716" s="90"/>
      <c r="H716"/>
      <c r="I716" s="115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</row>
    <row r="717" spans="1:29">
      <c r="A717" s="5" t="s">
        <v>964</v>
      </c>
      <c r="C717" s="90"/>
      <c r="D717" s="90"/>
      <c r="E717" s="90"/>
      <c r="F717" s="90"/>
      <c r="G717" s="90"/>
      <c r="H717"/>
      <c r="I717" s="115">
        <f t="shared" ref="I717:X717" ca="1" si="562">IF(I710&lt;=0,0,I710-I714)</f>
        <v>18.657827359164571</v>
      </c>
      <c r="J717" s="90">
        <f t="shared" ca="1" si="562"/>
        <v>0</v>
      </c>
      <c r="K717" s="90">
        <f t="shared" ca="1" si="562"/>
        <v>4110.1822333412865</v>
      </c>
      <c r="L717" s="90">
        <f t="shared" ca="1" si="562"/>
        <v>5273.7733750655825</v>
      </c>
      <c r="M717" s="90">
        <f t="shared" ca="1" si="562"/>
        <v>5092.8627493856411</v>
      </c>
      <c r="N717" s="90">
        <f t="shared" ca="1" si="562"/>
        <v>4969.5357385266025</v>
      </c>
      <c r="O717" s="90">
        <f t="shared" ca="1" si="562"/>
        <v>4752.9601733439176</v>
      </c>
      <c r="P717" s="90">
        <f t="shared" ca="1" si="562"/>
        <v>4440.1792917789444</v>
      </c>
      <c r="Q717" s="90">
        <f t="shared" ca="1" si="562"/>
        <v>4138.8609092428933</v>
      </c>
      <c r="R717" s="90">
        <f t="shared" ca="1" si="562"/>
        <v>3928.1041368475258</v>
      </c>
      <c r="S717" s="90">
        <f t="shared" ca="1" si="562"/>
        <v>3753.1194095140572</v>
      </c>
      <c r="T717" s="90">
        <f t="shared" ca="1" si="562"/>
        <v>3630.1544055799318</v>
      </c>
      <c r="U717" s="90">
        <f t="shared" ca="1" si="562"/>
        <v>3509.5326874077855</v>
      </c>
      <c r="V717" s="90">
        <f t="shared" ca="1" si="562"/>
        <v>3424.4910350347709</v>
      </c>
      <c r="W717" s="90">
        <f t="shared" ca="1" si="562"/>
        <v>3341.5276952330646</v>
      </c>
      <c r="X717" s="90">
        <f t="shared" ca="1" si="562"/>
        <v>3304.0264373908294</v>
      </c>
      <c r="Y717" s="90">
        <f ca="1">IF(Y710&lt;=0,0,Y710-Y714)</f>
        <v>3260.2451383870261</v>
      </c>
      <c r="Z717" s="90">
        <f ca="1">IF(Z710&lt;=0,0,Z710-Z714)</f>
        <v>3229.9285170020944</v>
      </c>
      <c r="AA717" s="90">
        <f ca="1">IF(AA710&lt;=0,0,AA710-AA714)</f>
        <v>3169.4290397071441</v>
      </c>
      <c r="AB717" s="90">
        <f ca="1">IF(AB710&lt;=0,0,AB710-AB714)</f>
        <v>3160.3362050694677</v>
      </c>
      <c r="AC717" s="90">
        <f ca="1">IF(AC710&lt;=0,0,AC710-AC714)</f>
        <v>3175.1655226136158</v>
      </c>
    </row>
    <row r="718" spans="1:29">
      <c r="A718" s="5" t="s">
        <v>965</v>
      </c>
      <c r="C718" s="90"/>
      <c r="D718" s="90"/>
      <c r="E718" s="90"/>
      <c r="F718" s="90"/>
      <c r="G718" s="90"/>
      <c r="H718"/>
      <c r="I718" s="770">
        <f t="shared" ref="I718:AC718" si="563">I641</f>
        <v>0.2</v>
      </c>
      <c r="J718" s="772">
        <f t="shared" si="563"/>
        <v>0.2</v>
      </c>
      <c r="K718" s="772">
        <f t="shared" si="563"/>
        <v>0.2</v>
      </c>
      <c r="L718" s="772">
        <f t="shared" si="563"/>
        <v>0.2</v>
      </c>
      <c r="M718" s="772">
        <f t="shared" si="563"/>
        <v>0.2</v>
      </c>
      <c r="N718" s="772">
        <f t="shared" si="563"/>
        <v>0.2</v>
      </c>
      <c r="O718" s="772">
        <f t="shared" si="563"/>
        <v>0.2</v>
      </c>
      <c r="P718" s="772">
        <f t="shared" si="563"/>
        <v>0.2</v>
      </c>
      <c r="Q718" s="772">
        <f t="shared" si="563"/>
        <v>0.2</v>
      </c>
      <c r="R718" s="772">
        <f t="shared" si="563"/>
        <v>0.2</v>
      </c>
      <c r="S718" s="772">
        <f t="shared" si="563"/>
        <v>0.2</v>
      </c>
      <c r="T718" s="772">
        <f t="shared" si="563"/>
        <v>0.2</v>
      </c>
      <c r="U718" s="772">
        <f t="shared" si="563"/>
        <v>0.2</v>
      </c>
      <c r="V718" s="772">
        <f t="shared" si="563"/>
        <v>0.2</v>
      </c>
      <c r="W718" s="772">
        <f t="shared" si="563"/>
        <v>0.2</v>
      </c>
      <c r="X718" s="772">
        <f t="shared" si="563"/>
        <v>0.2</v>
      </c>
      <c r="Y718" s="772">
        <f t="shared" si="563"/>
        <v>0.2</v>
      </c>
      <c r="Z718" s="772">
        <f t="shared" si="563"/>
        <v>0.2</v>
      </c>
      <c r="AA718" s="772">
        <f t="shared" si="563"/>
        <v>0.2</v>
      </c>
      <c r="AB718" s="772">
        <f t="shared" si="563"/>
        <v>0.2</v>
      </c>
      <c r="AC718" s="772">
        <f t="shared" si="563"/>
        <v>0.2</v>
      </c>
    </row>
    <row r="719" spans="1:29">
      <c r="A719" s="15" t="s">
        <v>966</v>
      </c>
      <c r="C719" s="90"/>
      <c r="D719" s="90"/>
      <c r="E719" s="90"/>
      <c r="F719" s="90"/>
      <c r="G719" s="90"/>
      <c r="H719"/>
      <c r="I719" s="179">
        <f t="shared" ref="I719:X719" ca="1" si="564">I717*I718</f>
        <v>3.7315654718329143</v>
      </c>
      <c r="J719" s="179">
        <f t="shared" ca="1" si="564"/>
        <v>0</v>
      </c>
      <c r="K719" s="179">
        <f t="shared" ca="1" si="564"/>
        <v>822.03644666825733</v>
      </c>
      <c r="L719" s="179">
        <f t="shared" ca="1" si="564"/>
        <v>1054.7546750131166</v>
      </c>
      <c r="M719" s="179">
        <f t="shared" ca="1" si="564"/>
        <v>1018.5725498771283</v>
      </c>
      <c r="N719" s="179">
        <f t="shared" ca="1" si="564"/>
        <v>993.90714770532054</v>
      </c>
      <c r="O719" s="179">
        <f t="shared" ca="1" si="564"/>
        <v>950.59203466878353</v>
      </c>
      <c r="P719" s="179">
        <f t="shared" ca="1" si="564"/>
        <v>888.03585835578895</v>
      </c>
      <c r="Q719" s="179">
        <f t="shared" ca="1" si="564"/>
        <v>827.77218184857873</v>
      </c>
      <c r="R719" s="179">
        <f t="shared" ca="1" si="564"/>
        <v>785.62082736950515</v>
      </c>
      <c r="S719" s="179">
        <f t="shared" ca="1" si="564"/>
        <v>750.62388190281149</v>
      </c>
      <c r="T719" s="179">
        <f t="shared" ca="1" si="564"/>
        <v>726.0308811159864</v>
      </c>
      <c r="U719" s="179">
        <f t="shared" ca="1" si="564"/>
        <v>701.90653748155717</v>
      </c>
      <c r="V719" s="179">
        <f t="shared" ca="1" si="564"/>
        <v>684.89820700695418</v>
      </c>
      <c r="W719" s="179">
        <f t="shared" ca="1" si="564"/>
        <v>668.30553904661292</v>
      </c>
      <c r="X719" s="179">
        <f t="shared" ca="1" si="564"/>
        <v>660.80528747816595</v>
      </c>
      <c r="Y719" s="179">
        <f ca="1">Y717*Y718</f>
        <v>652.04902767740532</v>
      </c>
      <c r="Z719" s="179">
        <f ca="1">Z717*Z718</f>
        <v>645.98570340041897</v>
      </c>
      <c r="AA719" s="179">
        <f ca="1">AA717*AA718</f>
        <v>633.88580794142888</v>
      </c>
      <c r="AB719" s="179">
        <f ca="1">AB717*AB718</f>
        <v>632.06724101389364</v>
      </c>
      <c r="AC719" s="179">
        <f ca="1">AC717*AC718</f>
        <v>635.03310452272319</v>
      </c>
    </row>
    <row r="720" spans="1:29">
      <c r="E720" s="90"/>
      <c r="F720" s="90"/>
      <c r="G720" s="90"/>
      <c r="H720"/>
      <c r="I720" s="115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</row>
    <row r="721" spans="1:29">
      <c r="A721" s="231" t="s">
        <v>967</v>
      </c>
      <c r="C721" s="90"/>
      <c r="D721" s="90"/>
      <c r="F721" s="90"/>
      <c r="G721" s="90"/>
      <c r="H721"/>
      <c r="I721" s="115"/>
      <c r="J721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</row>
    <row r="722" spans="1:29">
      <c r="A722"/>
      <c r="B722" s="5" t="s">
        <v>968</v>
      </c>
      <c r="H722"/>
      <c r="I722" s="69">
        <f>+F646</f>
        <v>11000</v>
      </c>
      <c r="J722" s="5">
        <f t="shared" ref="J722:AC722" ca="1" si="565">I725</f>
        <v>11003.731565471833</v>
      </c>
      <c r="K722" s="5">
        <f t="shared" ca="1" si="565"/>
        <v>11003.731565471833</v>
      </c>
      <c r="L722" s="5">
        <f t="shared" ca="1" si="565"/>
        <v>9978.4325213512875</v>
      </c>
      <c r="M722" s="5">
        <f t="shared" ca="1" si="565"/>
        <v>8246.8591865601702</v>
      </c>
      <c r="N722" s="5">
        <f t="shared" ca="1" si="565"/>
        <v>6557.2170354611253</v>
      </c>
      <c r="O722" s="5">
        <f t="shared" ca="1" si="565"/>
        <v>4941.2105765241931</v>
      </c>
      <c r="P722" s="5">
        <f t="shared" ca="1" si="565"/>
        <v>3431.5496173193519</v>
      </c>
      <c r="Q722" s="5">
        <f t="shared" ca="1" si="565"/>
        <v>2024.336908176768</v>
      </c>
      <c r="R722" s="5">
        <f t="shared" ca="1" si="565"/>
        <v>688.78150164860926</v>
      </c>
      <c r="S722" s="5">
        <f t="shared" ca="1" si="565"/>
        <v>0</v>
      </c>
      <c r="T722" s="5">
        <f t="shared" ca="1" si="565"/>
        <v>0</v>
      </c>
      <c r="U722" s="5">
        <f t="shared" ca="1" si="565"/>
        <v>0</v>
      </c>
      <c r="V722" s="5">
        <f t="shared" ca="1" si="565"/>
        <v>0</v>
      </c>
      <c r="W722" s="5">
        <f t="shared" ca="1" si="565"/>
        <v>0</v>
      </c>
      <c r="X722" s="5">
        <f t="shared" ca="1" si="565"/>
        <v>0</v>
      </c>
      <c r="Y722" s="5">
        <f t="shared" ca="1" si="565"/>
        <v>0</v>
      </c>
      <c r="Z722" s="5">
        <f t="shared" ca="1" si="565"/>
        <v>0</v>
      </c>
      <c r="AA722" s="5">
        <f t="shared" ca="1" si="565"/>
        <v>0</v>
      </c>
      <c r="AB722" s="5">
        <f t="shared" ca="1" si="565"/>
        <v>0</v>
      </c>
      <c r="AC722" s="5">
        <f t="shared" ca="1" si="565"/>
        <v>0</v>
      </c>
    </row>
    <row r="723" spans="1:29">
      <c r="A723"/>
      <c r="B723" s="5" t="s">
        <v>969</v>
      </c>
      <c r="H723"/>
      <c r="I723" s="69">
        <f t="shared" ref="I723:X723" ca="1" si="566">IF(I719&gt;I676,-I719,0)</f>
        <v>-3.7315654718329143</v>
      </c>
      <c r="J723" s="5">
        <f t="shared" ca="1" si="566"/>
        <v>0</v>
      </c>
      <c r="K723" s="5">
        <f t="shared" ca="1" si="566"/>
        <v>0</v>
      </c>
      <c r="L723" s="5">
        <f t="shared" ca="1" si="566"/>
        <v>0</v>
      </c>
      <c r="M723" s="5">
        <f t="shared" ca="1" si="566"/>
        <v>0</v>
      </c>
      <c r="N723" s="5">
        <f t="shared" ca="1" si="566"/>
        <v>0</v>
      </c>
      <c r="O723" s="5">
        <f t="shared" ca="1" si="566"/>
        <v>0</v>
      </c>
      <c r="P723" s="5">
        <f t="shared" ca="1" si="566"/>
        <v>0</v>
      </c>
      <c r="Q723" s="5">
        <f t="shared" ca="1" si="566"/>
        <v>0</v>
      </c>
      <c r="R723" s="5">
        <f t="shared" ca="1" si="566"/>
        <v>0</v>
      </c>
      <c r="S723" s="5">
        <f t="shared" ca="1" si="566"/>
        <v>0</v>
      </c>
      <c r="T723" s="5">
        <f t="shared" ca="1" si="566"/>
        <v>0</v>
      </c>
      <c r="U723" s="5">
        <f t="shared" ca="1" si="566"/>
        <v>0</v>
      </c>
      <c r="V723" s="5">
        <f t="shared" ca="1" si="566"/>
        <v>0</v>
      </c>
      <c r="W723" s="5">
        <f t="shared" ca="1" si="566"/>
        <v>0</v>
      </c>
      <c r="X723" s="5">
        <f t="shared" ca="1" si="566"/>
        <v>0</v>
      </c>
      <c r="Y723" s="5">
        <f ca="1">IF(Y719&gt;Y676,-Y719,0)</f>
        <v>0</v>
      </c>
      <c r="Z723" s="5">
        <f ca="1">IF(Z719&gt;Z676,-Z719,0)</f>
        <v>0</v>
      </c>
      <c r="AA723" s="5">
        <f ca="1">IF(AA719&gt;AA676,-AA719,0)</f>
        <v>0</v>
      </c>
      <c r="AB723" s="5">
        <f ca="1">IF(AB719&gt;AB676,-AB719,0)</f>
        <v>0</v>
      </c>
      <c r="AC723" s="5">
        <f ca="1">IF(AC719&gt;AC676,-AC719,0)</f>
        <v>0</v>
      </c>
    </row>
    <row r="724" spans="1:29">
      <c r="A724"/>
      <c r="B724" s="5" t="s">
        <v>970</v>
      </c>
      <c r="H724"/>
      <c r="I724" s="69">
        <f t="shared" ref="I724:X724" ca="1" si="567">IF(AND(I676,I722&gt;0),IF(I676-I719&lt;=0,0,IF(I676&lt;I722,I676,I722)),0)</f>
        <v>0</v>
      </c>
      <c r="J724" s="5">
        <f t="shared" ca="1" si="567"/>
        <v>0</v>
      </c>
      <c r="K724" s="5">
        <f t="shared" ca="1" si="567"/>
        <v>1025.2990441205457</v>
      </c>
      <c r="L724" s="5">
        <f t="shared" ca="1" si="567"/>
        <v>1731.5733347911182</v>
      </c>
      <c r="M724" s="5">
        <f t="shared" ca="1" si="567"/>
        <v>1689.6421510990449</v>
      </c>
      <c r="N724" s="5">
        <f t="shared" ca="1" si="567"/>
        <v>1616.0064589369322</v>
      </c>
      <c r="O724" s="5">
        <f t="shared" ca="1" si="567"/>
        <v>1509.6609592048412</v>
      </c>
      <c r="P724" s="5">
        <f t="shared" ca="1" si="567"/>
        <v>1407.2127091425839</v>
      </c>
      <c r="Q724" s="5">
        <f t="shared" ca="1" si="567"/>
        <v>1335.5554065281588</v>
      </c>
      <c r="R724" s="5">
        <f t="shared" ca="1" si="567"/>
        <v>688.78150164860926</v>
      </c>
      <c r="S724" s="5">
        <f t="shared" ca="1" si="567"/>
        <v>0</v>
      </c>
      <c r="T724" s="5">
        <f t="shared" ca="1" si="567"/>
        <v>0</v>
      </c>
      <c r="U724" s="5">
        <f t="shared" ca="1" si="567"/>
        <v>0</v>
      </c>
      <c r="V724" s="5">
        <f t="shared" ca="1" si="567"/>
        <v>0</v>
      </c>
      <c r="W724" s="5">
        <f t="shared" ca="1" si="567"/>
        <v>0</v>
      </c>
      <c r="X724" s="5">
        <f t="shared" ca="1" si="567"/>
        <v>0</v>
      </c>
      <c r="Y724" s="5">
        <f ca="1">IF(AND(Y676,Y722&gt;0),IF(Y676-Y719&lt;=0,0,IF(Y676&lt;Y722,Y676,Y722)),0)</f>
        <v>0</v>
      </c>
      <c r="Z724" s="5">
        <f ca="1">IF(AND(Z676,Z722&gt;0),IF(Z676-Z719&lt;=0,0,IF(Z676&lt;Z722,Z676,Z722)),0)</f>
        <v>0</v>
      </c>
      <c r="AA724" s="5">
        <f ca="1">IF(AND(AA676,AA722&gt;0),IF(AA676-AA719&lt;=0,0,IF(AA676&lt;AA722,AA676,AA722)),0)</f>
        <v>0</v>
      </c>
      <c r="AB724" s="5">
        <f ca="1">IF(AND(AB676,AB722&gt;0),IF(AB676-AB719&lt;=0,0,IF(AB676&lt;AB722,AB676,AB722)),0)</f>
        <v>0</v>
      </c>
      <c r="AC724" s="5">
        <f ca="1">IF(AND(AC676,AC722&gt;0),IF(AC676-AC719&lt;=0,0,IF(AC676&lt;AC722,AC676,AC722)),0)</f>
        <v>0</v>
      </c>
    </row>
    <row r="725" spans="1:29">
      <c r="A725"/>
      <c r="B725" s="5" t="s">
        <v>971</v>
      </c>
      <c r="H725"/>
      <c r="I725" s="50">
        <f t="shared" ref="I725:X725" ca="1" si="568">I722-I723-I724</f>
        <v>11003.731565471833</v>
      </c>
      <c r="J725" s="50">
        <f t="shared" ca="1" si="568"/>
        <v>11003.731565471833</v>
      </c>
      <c r="K725" s="50">
        <f t="shared" ca="1" si="568"/>
        <v>9978.4325213512875</v>
      </c>
      <c r="L725" s="50">
        <f t="shared" ca="1" si="568"/>
        <v>8246.8591865601702</v>
      </c>
      <c r="M725" s="50">
        <f t="shared" ca="1" si="568"/>
        <v>6557.2170354611253</v>
      </c>
      <c r="N725" s="50">
        <f t="shared" ca="1" si="568"/>
        <v>4941.2105765241931</v>
      </c>
      <c r="O725" s="50">
        <f t="shared" ca="1" si="568"/>
        <v>3431.5496173193519</v>
      </c>
      <c r="P725" s="50">
        <f t="shared" ca="1" si="568"/>
        <v>2024.336908176768</v>
      </c>
      <c r="Q725" s="50">
        <f t="shared" ca="1" si="568"/>
        <v>688.78150164860926</v>
      </c>
      <c r="R725" s="50">
        <f t="shared" ca="1" si="568"/>
        <v>0</v>
      </c>
      <c r="S725" s="50">
        <f t="shared" ca="1" si="568"/>
        <v>0</v>
      </c>
      <c r="T725" s="50">
        <f t="shared" ca="1" si="568"/>
        <v>0</v>
      </c>
      <c r="U725" s="50">
        <f t="shared" ca="1" si="568"/>
        <v>0</v>
      </c>
      <c r="V725" s="50">
        <f t="shared" ca="1" si="568"/>
        <v>0</v>
      </c>
      <c r="W725" s="50">
        <f t="shared" ca="1" si="568"/>
        <v>0</v>
      </c>
      <c r="X725" s="50">
        <f t="shared" ca="1" si="568"/>
        <v>0</v>
      </c>
      <c r="Y725" s="50">
        <f ca="1">Y722-Y723-Y724</f>
        <v>0</v>
      </c>
      <c r="Z725" s="50">
        <f ca="1">Z722-Z723-Z724</f>
        <v>0</v>
      </c>
      <c r="AA725" s="50">
        <f ca="1">AA722-AA723-AA724</f>
        <v>0</v>
      </c>
      <c r="AB725" s="50">
        <f ca="1">AB722-AB723-AB724</f>
        <v>0</v>
      </c>
      <c r="AC725" s="50">
        <f ca="1">AC722-AC723-AC724</f>
        <v>0</v>
      </c>
    </row>
    <row r="726" spans="1:29">
      <c r="A726"/>
      <c r="H726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</row>
    <row r="727" spans="1:29">
      <c r="A727"/>
      <c r="B727" s="5" t="str">
        <f>A676</f>
        <v>Regular Taxes before AMT Tax Credit</v>
      </c>
      <c r="H727"/>
      <c r="I727" s="69">
        <f t="shared" ref="I727:AC727" ca="1" si="569">I676</f>
        <v>0</v>
      </c>
      <c r="J727" s="5">
        <f t="shared" ca="1" si="569"/>
        <v>0</v>
      </c>
      <c r="K727" s="5">
        <f t="shared" ca="1" si="569"/>
        <v>1025.2990441205457</v>
      </c>
      <c r="L727" s="5">
        <f t="shared" ca="1" si="569"/>
        <v>1731.5733347911182</v>
      </c>
      <c r="M727" s="5">
        <f t="shared" ca="1" si="569"/>
        <v>1689.6421510990449</v>
      </c>
      <c r="N727" s="5">
        <f t="shared" ca="1" si="569"/>
        <v>1616.0064589369322</v>
      </c>
      <c r="O727" s="5">
        <f t="shared" ca="1" si="569"/>
        <v>1509.6609592048412</v>
      </c>
      <c r="P727" s="5">
        <f t="shared" ca="1" si="569"/>
        <v>1407.2127091425839</v>
      </c>
      <c r="Q727" s="5">
        <f t="shared" ca="1" si="569"/>
        <v>1335.5554065281588</v>
      </c>
      <c r="R727" s="5">
        <f t="shared" ca="1" si="569"/>
        <v>1276.0605992347796</v>
      </c>
      <c r="S727" s="5">
        <f t="shared" ca="1" si="569"/>
        <v>1234.2524978971769</v>
      </c>
      <c r="T727" s="5">
        <f t="shared" ca="1" si="569"/>
        <v>1193.2411137186471</v>
      </c>
      <c r="U727" s="5">
        <f t="shared" ca="1" si="569"/>
        <v>1164.3269519118221</v>
      </c>
      <c r="V727" s="5">
        <f t="shared" ca="1" si="569"/>
        <v>1136.119416379242</v>
      </c>
      <c r="W727" s="5">
        <f t="shared" ca="1" si="569"/>
        <v>1123.3689887128821</v>
      </c>
      <c r="X727" s="5">
        <f t="shared" ca="1" si="569"/>
        <v>1108.4833470515889</v>
      </c>
      <c r="Y727" s="5">
        <f t="shared" ca="1" si="569"/>
        <v>1098.1756957807122</v>
      </c>
      <c r="Z727" s="5">
        <f t="shared" ca="1" si="569"/>
        <v>1077.605873500429</v>
      </c>
      <c r="AA727" s="5">
        <f t="shared" ca="1" si="569"/>
        <v>1074.5143097236191</v>
      </c>
      <c r="AB727" s="5">
        <f t="shared" ca="1" si="569"/>
        <v>1079.5562776886295</v>
      </c>
      <c r="AC727" s="5">
        <f t="shared" ca="1" si="569"/>
        <v>1098.6802576483801</v>
      </c>
    </row>
    <row r="728" spans="1:29">
      <c r="A728"/>
      <c r="B728" s="5" t="s">
        <v>970</v>
      </c>
      <c r="H728"/>
      <c r="I728" s="69">
        <f t="shared" ref="I728:AC728" ca="1" si="570">I724</f>
        <v>0</v>
      </c>
      <c r="J728" s="5">
        <f t="shared" ca="1" si="570"/>
        <v>0</v>
      </c>
      <c r="K728" s="5">
        <f t="shared" ca="1" si="570"/>
        <v>1025.2990441205457</v>
      </c>
      <c r="L728" s="5">
        <f t="shared" ca="1" si="570"/>
        <v>1731.5733347911182</v>
      </c>
      <c r="M728" s="5">
        <f t="shared" ca="1" si="570"/>
        <v>1689.6421510990449</v>
      </c>
      <c r="N728" s="5">
        <f t="shared" ca="1" si="570"/>
        <v>1616.0064589369322</v>
      </c>
      <c r="O728" s="5">
        <f t="shared" ca="1" si="570"/>
        <v>1509.6609592048412</v>
      </c>
      <c r="P728" s="5">
        <f t="shared" ca="1" si="570"/>
        <v>1407.2127091425839</v>
      </c>
      <c r="Q728" s="5">
        <f t="shared" ca="1" si="570"/>
        <v>1335.5554065281588</v>
      </c>
      <c r="R728" s="5">
        <f t="shared" ca="1" si="570"/>
        <v>688.78150164860926</v>
      </c>
      <c r="S728" s="5">
        <f t="shared" ca="1" si="570"/>
        <v>0</v>
      </c>
      <c r="T728" s="5">
        <f t="shared" ca="1" si="570"/>
        <v>0</v>
      </c>
      <c r="U728" s="5">
        <f t="shared" ca="1" si="570"/>
        <v>0</v>
      </c>
      <c r="V728" s="5">
        <f t="shared" ca="1" si="570"/>
        <v>0</v>
      </c>
      <c r="W728" s="5">
        <f t="shared" ca="1" si="570"/>
        <v>0</v>
      </c>
      <c r="X728" s="5">
        <f t="shared" ca="1" si="570"/>
        <v>0</v>
      </c>
      <c r="Y728" s="5">
        <f t="shared" ca="1" si="570"/>
        <v>0</v>
      </c>
      <c r="Z728" s="5">
        <f t="shared" ca="1" si="570"/>
        <v>0</v>
      </c>
      <c r="AA728" s="5">
        <f t="shared" ca="1" si="570"/>
        <v>0</v>
      </c>
      <c r="AB728" s="5">
        <f t="shared" ca="1" si="570"/>
        <v>0</v>
      </c>
      <c r="AC728" s="5">
        <f t="shared" ca="1" si="570"/>
        <v>0</v>
      </c>
    </row>
    <row r="729" spans="1:29">
      <c r="A729" s="15" t="s">
        <v>972</v>
      </c>
      <c r="H729"/>
      <c r="I729" s="50">
        <f t="shared" ref="I729:X729" ca="1" si="571">I727-I728</f>
        <v>0</v>
      </c>
      <c r="J729" s="50">
        <f t="shared" ca="1" si="571"/>
        <v>0</v>
      </c>
      <c r="K729" s="50">
        <f t="shared" ca="1" si="571"/>
        <v>0</v>
      </c>
      <c r="L729" s="50">
        <f t="shared" ca="1" si="571"/>
        <v>0</v>
      </c>
      <c r="M729" s="50">
        <f t="shared" ca="1" si="571"/>
        <v>0</v>
      </c>
      <c r="N729" s="50">
        <f t="shared" ca="1" si="571"/>
        <v>0</v>
      </c>
      <c r="O729" s="50">
        <f t="shared" ca="1" si="571"/>
        <v>0</v>
      </c>
      <c r="P729" s="50">
        <f t="shared" ca="1" si="571"/>
        <v>0</v>
      </c>
      <c r="Q729" s="50">
        <f t="shared" ca="1" si="571"/>
        <v>0</v>
      </c>
      <c r="R729" s="50">
        <f t="shared" ca="1" si="571"/>
        <v>587.27909758617034</v>
      </c>
      <c r="S729" s="50">
        <f t="shared" ca="1" si="571"/>
        <v>1234.2524978971769</v>
      </c>
      <c r="T729" s="50">
        <f t="shared" ca="1" si="571"/>
        <v>1193.2411137186471</v>
      </c>
      <c r="U729" s="50">
        <f t="shared" ca="1" si="571"/>
        <v>1164.3269519118221</v>
      </c>
      <c r="V729" s="50">
        <f t="shared" ca="1" si="571"/>
        <v>1136.119416379242</v>
      </c>
      <c r="W729" s="50">
        <f t="shared" ca="1" si="571"/>
        <v>1123.3689887128821</v>
      </c>
      <c r="X729" s="50">
        <f t="shared" ca="1" si="571"/>
        <v>1108.4833470515889</v>
      </c>
      <c r="Y729" s="50">
        <f ca="1">Y727-Y728</f>
        <v>1098.1756957807122</v>
      </c>
      <c r="Z729" s="50">
        <f ca="1">Z727-Z728</f>
        <v>1077.605873500429</v>
      </c>
      <c r="AA729" s="50">
        <f ca="1">AA727-AA728</f>
        <v>1074.5143097236191</v>
      </c>
      <c r="AB729" s="50">
        <f ca="1">AB727-AB728</f>
        <v>1079.5562776886295</v>
      </c>
      <c r="AC729" s="50">
        <f ca="1">AC727-AC728</f>
        <v>1098.6802576483801</v>
      </c>
    </row>
    <row r="730" spans="1:29">
      <c r="H730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</row>
    <row r="731" spans="1:29">
      <c r="A731" s="15" t="s">
        <v>973</v>
      </c>
      <c r="H731"/>
      <c r="I731" s="69">
        <f ca="1">IF(I729&gt;I719,I729,I719)</f>
        <v>3.7315654718329143</v>
      </c>
      <c r="J731" s="69">
        <f t="shared" ref="J731:Y731" ca="1" si="572">IF(J729&gt;J719,J729,J719)</f>
        <v>0</v>
      </c>
      <c r="K731" s="69">
        <f t="shared" ca="1" si="572"/>
        <v>822.03644666825733</v>
      </c>
      <c r="L731" s="69">
        <f t="shared" ca="1" si="572"/>
        <v>1054.7546750131166</v>
      </c>
      <c r="M731" s="69">
        <f t="shared" ca="1" si="572"/>
        <v>1018.5725498771283</v>
      </c>
      <c r="N731" s="69">
        <f t="shared" ca="1" si="572"/>
        <v>993.90714770532054</v>
      </c>
      <c r="O731" s="69">
        <f t="shared" ca="1" si="572"/>
        <v>950.59203466878353</v>
      </c>
      <c r="P731" s="69">
        <f t="shared" ca="1" si="572"/>
        <v>888.03585835578895</v>
      </c>
      <c r="Q731" s="69">
        <f t="shared" ca="1" si="572"/>
        <v>827.77218184857873</v>
      </c>
      <c r="R731" s="69">
        <f t="shared" ca="1" si="572"/>
        <v>785.62082736950515</v>
      </c>
      <c r="S731" s="69">
        <f t="shared" ca="1" si="572"/>
        <v>1234.2524978971769</v>
      </c>
      <c r="T731" s="69">
        <f t="shared" ca="1" si="572"/>
        <v>1193.2411137186471</v>
      </c>
      <c r="U731" s="69">
        <f t="shared" ca="1" si="572"/>
        <v>1164.3269519118221</v>
      </c>
      <c r="V731" s="69">
        <f t="shared" ca="1" si="572"/>
        <v>1136.119416379242</v>
      </c>
      <c r="W731" s="69">
        <f t="shared" ca="1" si="572"/>
        <v>1123.3689887128821</v>
      </c>
      <c r="X731" s="69">
        <f t="shared" ca="1" si="572"/>
        <v>1108.4833470515889</v>
      </c>
      <c r="Y731" s="69">
        <f t="shared" ca="1" si="572"/>
        <v>1098.1756957807122</v>
      </c>
      <c r="Z731" s="69">
        <f ca="1">IF(Z729&gt;Z719,Z729,Z719)</f>
        <v>1077.605873500429</v>
      </c>
      <c r="AA731" s="69">
        <f ca="1">IF(AA729&gt;AA719,AA729,AA719)</f>
        <v>1074.5143097236191</v>
      </c>
      <c r="AB731" s="69">
        <f ca="1">IF(AB729&gt;AB719,AB729,AB719)</f>
        <v>1079.5562776886295</v>
      </c>
      <c r="AC731" s="69">
        <f ca="1">IF(AC729&gt;AC719,AC729,AC719)</f>
        <v>1098.6802576483801</v>
      </c>
    </row>
    <row r="732" spans="1:29">
      <c r="A732" s="15" t="s">
        <v>949</v>
      </c>
      <c r="H732"/>
      <c r="I732" s="69">
        <f t="shared" ref="I732:AC732" ca="1" si="573">I694</f>
        <v>0</v>
      </c>
      <c r="J732" s="5">
        <f t="shared" ca="1" si="573"/>
        <v>0</v>
      </c>
      <c r="K732" s="5">
        <f t="shared" ca="1" si="573"/>
        <v>0</v>
      </c>
      <c r="L732" s="5">
        <f t="shared" ca="1" si="573"/>
        <v>716.8723789116633</v>
      </c>
      <c r="M732" s="5">
        <f t="shared" ca="1" si="573"/>
        <v>1689.6421510990449</v>
      </c>
      <c r="N732" s="5">
        <f t="shared" ca="1" si="573"/>
        <v>1616.0064589369322</v>
      </c>
      <c r="O732" s="5">
        <f t="shared" ca="1" si="573"/>
        <v>1509.6609592048412</v>
      </c>
      <c r="P732" s="5">
        <f t="shared" ca="1" si="573"/>
        <v>1407.2127091425839</v>
      </c>
      <c r="Q732" s="5">
        <f t="shared" ca="1" si="573"/>
        <v>1335.5554065281588</v>
      </c>
      <c r="R732" s="5">
        <f t="shared" ca="1" si="573"/>
        <v>1276.0605992347796</v>
      </c>
      <c r="S732" s="5">
        <f t="shared" ca="1" si="573"/>
        <v>1234.2524978971769</v>
      </c>
      <c r="T732" s="5">
        <f t="shared" ca="1" si="573"/>
        <v>1193.2411137186471</v>
      </c>
      <c r="U732" s="5">
        <f t="shared" ca="1" si="573"/>
        <v>1164.3269519118221</v>
      </c>
      <c r="V732" s="5">
        <f t="shared" ca="1" si="573"/>
        <v>1136.119416379242</v>
      </c>
      <c r="W732" s="5">
        <f t="shared" ca="1" si="573"/>
        <v>1123.3689887128821</v>
      </c>
      <c r="X732" s="5">
        <f t="shared" ca="1" si="573"/>
        <v>1108.4833470515889</v>
      </c>
      <c r="Y732" s="5">
        <f t="shared" ca="1" si="573"/>
        <v>1098.1756957807122</v>
      </c>
      <c r="Z732" s="5">
        <f t="shared" ca="1" si="573"/>
        <v>1077.605873500429</v>
      </c>
      <c r="AA732" s="5">
        <f t="shared" ca="1" si="573"/>
        <v>1074.5143097236191</v>
      </c>
      <c r="AB732" s="5">
        <f t="shared" ca="1" si="573"/>
        <v>1079.5562776886295</v>
      </c>
      <c r="AC732" s="5">
        <f t="shared" ca="1" si="573"/>
        <v>1098.6802576483801</v>
      </c>
    </row>
    <row r="733" spans="1:29" ht="12" thickBot="1">
      <c r="A733" s="15" t="s">
        <v>679</v>
      </c>
      <c r="C733" s="90"/>
      <c r="D733" s="90"/>
      <c r="E733" s="90"/>
      <c r="F733" s="90"/>
      <c r="G733" s="90"/>
      <c r="H733"/>
      <c r="I733" s="101">
        <f t="shared" ref="I733:X733" ca="1" si="574">I732-I731</f>
        <v>-3.7315654718329143</v>
      </c>
      <c r="J733" s="101">
        <f t="shared" ca="1" si="574"/>
        <v>0</v>
      </c>
      <c r="K733" s="101">
        <f t="shared" ca="1" si="574"/>
        <v>-822.03644666825733</v>
      </c>
      <c r="L733" s="101">
        <f t="shared" ca="1" si="574"/>
        <v>-337.88229610145333</v>
      </c>
      <c r="M733" s="101">
        <f t="shared" ca="1" si="574"/>
        <v>671.06960122191663</v>
      </c>
      <c r="N733" s="101">
        <f t="shared" ca="1" si="574"/>
        <v>622.09931123161164</v>
      </c>
      <c r="O733" s="101">
        <f t="shared" ca="1" si="574"/>
        <v>559.06892453605769</v>
      </c>
      <c r="P733" s="101">
        <f t="shared" ca="1" si="574"/>
        <v>519.17685078679494</v>
      </c>
      <c r="Q733" s="101">
        <f t="shared" ca="1" si="574"/>
        <v>507.78322467958003</v>
      </c>
      <c r="R733" s="101">
        <f t="shared" ca="1" si="574"/>
        <v>490.43977186527445</v>
      </c>
      <c r="S733" s="101">
        <f t="shared" ca="1" si="574"/>
        <v>0</v>
      </c>
      <c r="T733" s="101">
        <f t="shared" ca="1" si="574"/>
        <v>0</v>
      </c>
      <c r="U733" s="101">
        <f t="shared" ca="1" si="574"/>
        <v>0</v>
      </c>
      <c r="V733" s="101">
        <f t="shared" ca="1" si="574"/>
        <v>0</v>
      </c>
      <c r="W733" s="101">
        <f t="shared" ca="1" si="574"/>
        <v>0</v>
      </c>
      <c r="X733" s="101">
        <f t="shared" ca="1" si="574"/>
        <v>0</v>
      </c>
      <c r="Y733" s="101"/>
      <c r="Z733" s="101">
        <f ca="1">Z732-Z731</f>
        <v>0</v>
      </c>
      <c r="AA733" s="101">
        <f ca="1">AA732-AA731</f>
        <v>0</v>
      </c>
      <c r="AB733" s="101">
        <f ca="1">AB732-AB731</f>
        <v>0</v>
      </c>
      <c r="AC733" s="101">
        <f ca="1">AC732-AC731</f>
        <v>0</v>
      </c>
    </row>
    <row r="734" spans="1:29" ht="12" thickTop="1">
      <c r="H734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</row>
    <row r="735" spans="1:29" ht="12" thickBot="1">
      <c r="H735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</row>
    <row r="736" spans="1:29" ht="12" thickTop="1">
      <c r="A736" s="766"/>
      <c r="B736" s="766"/>
      <c r="C736" s="766"/>
      <c r="D736" s="766"/>
      <c r="E736" s="766"/>
      <c r="F736" s="766"/>
      <c r="G736" s="766"/>
      <c r="H736" s="443"/>
      <c r="I736" s="766"/>
      <c r="J736" s="766"/>
      <c r="K736" s="766"/>
      <c r="L736" s="766"/>
      <c r="M736" s="766"/>
      <c r="N736" s="766"/>
      <c r="O736" s="766"/>
      <c r="P736" s="766"/>
      <c r="Q736" s="766"/>
      <c r="R736" s="766"/>
      <c r="S736" s="766"/>
      <c r="T736" s="766"/>
      <c r="U736" s="766"/>
      <c r="V736" s="766"/>
      <c r="W736" s="766"/>
      <c r="X736" s="766"/>
      <c r="Y736" s="766"/>
      <c r="Z736" s="766"/>
      <c r="AA736" s="766"/>
      <c r="AB736" s="766"/>
      <c r="AC736" s="766"/>
    </row>
    <row r="737" spans="1:29">
      <c r="A737" s="337" t="s">
        <v>974</v>
      </c>
      <c r="H737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</row>
    <row r="738" spans="1:29">
      <c r="B738" s="83" t="s">
        <v>975</v>
      </c>
      <c r="H738"/>
      <c r="I738" s="69">
        <f t="shared" ref="I738:X738" si="575">+I952</f>
        <v>0</v>
      </c>
      <c r="J738" s="69">
        <f t="shared" si="575"/>
        <v>0</v>
      </c>
      <c r="K738" s="69">
        <f t="shared" si="575"/>
        <v>0</v>
      </c>
      <c r="L738" s="69">
        <f t="shared" si="575"/>
        <v>0</v>
      </c>
      <c r="M738" s="69">
        <f t="shared" si="575"/>
        <v>0</v>
      </c>
      <c r="N738" s="69">
        <f t="shared" si="575"/>
        <v>0</v>
      </c>
      <c r="O738" s="69">
        <f t="shared" si="575"/>
        <v>25.811</v>
      </c>
      <c r="P738" s="69">
        <f t="shared" si="575"/>
        <v>5.5119999999999996</v>
      </c>
      <c r="Q738" s="69">
        <f t="shared" si="575"/>
        <v>16.2</v>
      </c>
      <c r="R738" s="69">
        <f t="shared" si="575"/>
        <v>0</v>
      </c>
      <c r="S738" s="69">
        <f t="shared" si="575"/>
        <v>0</v>
      </c>
      <c r="T738" s="69">
        <f t="shared" si="575"/>
        <v>0</v>
      </c>
      <c r="U738" s="69">
        <f t="shared" si="575"/>
        <v>0</v>
      </c>
      <c r="V738" s="69">
        <f t="shared" si="575"/>
        <v>0</v>
      </c>
      <c r="W738" s="69">
        <f t="shared" si="575"/>
        <v>0</v>
      </c>
      <c r="X738" s="69">
        <f t="shared" si="575"/>
        <v>0</v>
      </c>
      <c r="Y738" s="69">
        <f>+Y952</f>
        <v>0</v>
      </c>
      <c r="Z738" s="69">
        <f>+Z952</f>
        <v>0</v>
      </c>
      <c r="AA738" s="69">
        <f>+AA952</f>
        <v>0</v>
      </c>
      <c r="AB738" s="69">
        <f>+AB952</f>
        <v>0</v>
      </c>
      <c r="AC738" s="69">
        <f>+AC952</f>
        <v>0</v>
      </c>
    </row>
    <row r="739" spans="1:29">
      <c r="B739" s="5" t="s">
        <v>976</v>
      </c>
      <c r="H739"/>
      <c r="I739" s="773">
        <f t="shared" ref="I739:X739" si="576">+I648</f>
        <v>0.7</v>
      </c>
      <c r="J739" s="773">
        <f t="shared" si="576"/>
        <v>0.7</v>
      </c>
      <c r="K739" s="773">
        <f t="shared" si="576"/>
        <v>0.7</v>
      </c>
      <c r="L739" s="773">
        <f t="shared" si="576"/>
        <v>0.7</v>
      </c>
      <c r="M739" s="773">
        <f t="shared" si="576"/>
        <v>0.7</v>
      </c>
      <c r="N739" s="773">
        <f t="shared" si="576"/>
        <v>0.7</v>
      </c>
      <c r="O739" s="773">
        <f t="shared" si="576"/>
        <v>0.7</v>
      </c>
      <c r="P739" s="773">
        <f t="shared" si="576"/>
        <v>0.7</v>
      </c>
      <c r="Q739" s="773">
        <f t="shared" si="576"/>
        <v>0.7</v>
      </c>
      <c r="R739" s="773">
        <f t="shared" si="576"/>
        <v>0.7</v>
      </c>
      <c r="S739" s="773">
        <f t="shared" si="576"/>
        <v>0.7</v>
      </c>
      <c r="T739" s="773">
        <f t="shared" si="576"/>
        <v>0.7</v>
      </c>
      <c r="U739" s="773">
        <f t="shared" si="576"/>
        <v>0.7</v>
      </c>
      <c r="V739" s="773">
        <f t="shared" si="576"/>
        <v>0.7</v>
      </c>
      <c r="W739" s="773">
        <f t="shared" si="576"/>
        <v>0.7</v>
      </c>
      <c r="X739" s="773">
        <f t="shared" si="576"/>
        <v>0.7</v>
      </c>
      <c r="Y739" s="773">
        <f>+Y648</f>
        <v>0.7</v>
      </c>
      <c r="Z739" s="773">
        <f>+Z648</f>
        <v>0.7</v>
      </c>
      <c r="AA739" s="773">
        <f>+AA648</f>
        <v>0.7</v>
      </c>
      <c r="AB739" s="773">
        <f>+AB648</f>
        <v>0.7</v>
      </c>
      <c r="AC739" s="773">
        <f>+AC648</f>
        <v>0.7</v>
      </c>
    </row>
    <row r="740" spans="1:29">
      <c r="B740" s="5" t="s">
        <v>977</v>
      </c>
      <c r="H740"/>
      <c r="I740" s="168">
        <f t="shared" ref="I740:X740" si="577">+I739*I738</f>
        <v>0</v>
      </c>
      <c r="J740" s="168">
        <f t="shared" si="577"/>
        <v>0</v>
      </c>
      <c r="K740" s="168">
        <f t="shared" si="577"/>
        <v>0</v>
      </c>
      <c r="L740" s="168">
        <f t="shared" si="577"/>
        <v>0</v>
      </c>
      <c r="M740" s="168">
        <f t="shared" si="577"/>
        <v>0</v>
      </c>
      <c r="N740" s="168">
        <f t="shared" si="577"/>
        <v>0</v>
      </c>
      <c r="O740" s="168">
        <f t="shared" si="577"/>
        <v>18.067699999999999</v>
      </c>
      <c r="P740" s="168">
        <f t="shared" si="577"/>
        <v>3.8583999999999996</v>
      </c>
      <c r="Q740" s="168">
        <f t="shared" si="577"/>
        <v>11.339999999999998</v>
      </c>
      <c r="R740" s="168">
        <f t="shared" si="577"/>
        <v>0</v>
      </c>
      <c r="S740" s="168">
        <f t="shared" si="577"/>
        <v>0</v>
      </c>
      <c r="T740" s="168">
        <f t="shared" si="577"/>
        <v>0</v>
      </c>
      <c r="U740" s="168">
        <f t="shared" si="577"/>
        <v>0</v>
      </c>
      <c r="V740" s="168">
        <f t="shared" si="577"/>
        <v>0</v>
      </c>
      <c r="W740" s="168">
        <f t="shared" si="577"/>
        <v>0</v>
      </c>
      <c r="X740" s="168">
        <f t="shared" si="577"/>
        <v>0</v>
      </c>
      <c r="Y740" s="168">
        <f>+Y739*Y738</f>
        <v>0</v>
      </c>
      <c r="Z740" s="168">
        <f>+Z739*Z738</f>
        <v>0</v>
      </c>
      <c r="AA740" s="168">
        <f>+AA739*AA738</f>
        <v>0</v>
      </c>
      <c r="AB740" s="168">
        <f>+AB739*AB738</f>
        <v>0</v>
      </c>
      <c r="AC740" s="168">
        <f>+AC739*AC738</f>
        <v>0</v>
      </c>
    </row>
    <row r="741" spans="1:29">
      <c r="B741" s="83" t="s">
        <v>978</v>
      </c>
      <c r="H741"/>
      <c r="I741" s="773">
        <v>0.9</v>
      </c>
      <c r="J741" s="773">
        <f t="shared" ref="J741:AC741" si="578">I741</f>
        <v>0.9</v>
      </c>
      <c r="K741" s="773">
        <f t="shared" si="578"/>
        <v>0.9</v>
      </c>
      <c r="L741" s="773">
        <f t="shared" si="578"/>
        <v>0.9</v>
      </c>
      <c r="M741" s="773">
        <f t="shared" si="578"/>
        <v>0.9</v>
      </c>
      <c r="N741" s="773">
        <f t="shared" si="578"/>
        <v>0.9</v>
      </c>
      <c r="O741" s="773">
        <f t="shared" si="578"/>
        <v>0.9</v>
      </c>
      <c r="P741" s="773">
        <f t="shared" si="578"/>
        <v>0.9</v>
      </c>
      <c r="Q741" s="773">
        <f t="shared" si="578"/>
        <v>0.9</v>
      </c>
      <c r="R741" s="773">
        <f t="shared" si="578"/>
        <v>0.9</v>
      </c>
      <c r="S741" s="773">
        <f t="shared" si="578"/>
        <v>0.9</v>
      </c>
      <c r="T741" s="773">
        <f t="shared" si="578"/>
        <v>0.9</v>
      </c>
      <c r="U741" s="773">
        <f t="shared" si="578"/>
        <v>0.9</v>
      </c>
      <c r="V741" s="773">
        <f t="shared" si="578"/>
        <v>0.9</v>
      </c>
      <c r="W741" s="773">
        <f t="shared" si="578"/>
        <v>0.9</v>
      </c>
      <c r="X741" s="773">
        <f t="shared" si="578"/>
        <v>0.9</v>
      </c>
      <c r="Y741" s="773">
        <f t="shared" si="578"/>
        <v>0.9</v>
      </c>
      <c r="Z741" s="773">
        <f t="shared" si="578"/>
        <v>0.9</v>
      </c>
      <c r="AA741" s="773">
        <f t="shared" si="578"/>
        <v>0.9</v>
      </c>
      <c r="AB741" s="773">
        <f t="shared" si="578"/>
        <v>0.9</v>
      </c>
      <c r="AC741" s="773">
        <f t="shared" si="578"/>
        <v>0.9</v>
      </c>
    </row>
    <row r="742" spans="1:29">
      <c r="B742" s="74" t="s">
        <v>979</v>
      </c>
      <c r="H742"/>
      <c r="I742" s="168">
        <f t="shared" ref="I742:X742" si="579">+I740*I741</f>
        <v>0</v>
      </c>
      <c r="J742" s="168">
        <f t="shared" si="579"/>
        <v>0</v>
      </c>
      <c r="K742" s="168">
        <f t="shared" si="579"/>
        <v>0</v>
      </c>
      <c r="L742" s="168">
        <f t="shared" si="579"/>
        <v>0</v>
      </c>
      <c r="M742" s="168">
        <f t="shared" si="579"/>
        <v>0</v>
      </c>
      <c r="N742" s="168">
        <f t="shared" si="579"/>
        <v>0</v>
      </c>
      <c r="O742" s="168">
        <f t="shared" si="579"/>
        <v>16.260929999999998</v>
      </c>
      <c r="P742" s="168">
        <f t="shared" si="579"/>
        <v>3.4725599999999996</v>
      </c>
      <c r="Q742" s="168">
        <f t="shared" si="579"/>
        <v>10.205999999999998</v>
      </c>
      <c r="R742" s="168">
        <f t="shared" si="579"/>
        <v>0</v>
      </c>
      <c r="S742" s="168">
        <f t="shared" si="579"/>
        <v>0</v>
      </c>
      <c r="T742" s="168">
        <f t="shared" si="579"/>
        <v>0</v>
      </c>
      <c r="U742" s="168">
        <f t="shared" si="579"/>
        <v>0</v>
      </c>
      <c r="V742" s="168">
        <f t="shared" si="579"/>
        <v>0</v>
      </c>
      <c r="W742" s="168">
        <f t="shared" si="579"/>
        <v>0</v>
      </c>
      <c r="X742" s="168">
        <f t="shared" si="579"/>
        <v>0</v>
      </c>
      <c r="Y742" s="168">
        <f>+Y740*Y741</f>
        <v>0</v>
      </c>
      <c r="Z742" s="168">
        <f>+Z740*Z741</f>
        <v>0</v>
      </c>
      <c r="AA742" s="168">
        <f>+AA740*AA741</f>
        <v>0</v>
      </c>
      <c r="AB742" s="168">
        <f>+AB740*AB741</f>
        <v>0</v>
      </c>
      <c r="AC742" s="168">
        <f>+AC740*AC741</f>
        <v>0</v>
      </c>
    </row>
    <row r="743" spans="1:29">
      <c r="B743" s="83"/>
      <c r="H743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</row>
    <row r="744" spans="1:29">
      <c r="B744" s="74" t="s">
        <v>980</v>
      </c>
      <c r="H744"/>
      <c r="I744" s="69">
        <f t="shared" ref="I744:X744" ca="1" si="580">+I938-I939</f>
        <v>-478.40582972216873</v>
      </c>
      <c r="J744" s="69">
        <f t="shared" ca="1" si="580"/>
        <v>6122.2028984646931</v>
      </c>
      <c r="K744" s="69">
        <f t="shared" ca="1" si="580"/>
        <v>4875.5759276883218</v>
      </c>
      <c r="L744" s="69">
        <f t="shared" ca="1" si="580"/>
        <v>4482.4191769391346</v>
      </c>
      <c r="M744" s="69">
        <f t="shared" ca="1" si="580"/>
        <v>4159.3653845045455</v>
      </c>
      <c r="N744" s="69">
        <f t="shared" ca="1" si="580"/>
        <v>3750.0394139646587</v>
      </c>
      <c r="O744" s="69">
        <f t="shared" ca="1" si="580"/>
        <v>3260.9577212852155</v>
      </c>
      <c r="P744" s="69">
        <f t="shared" ca="1" si="580"/>
        <v>2792.0396363084305</v>
      </c>
      <c r="Q744" s="69">
        <f t="shared" ca="1" si="580"/>
        <v>2425.1178658911954</v>
      </c>
      <c r="R744" s="69">
        <f t="shared" ca="1" si="580"/>
        <v>2097.4717813830271</v>
      </c>
      <c r="S744" s="69">
        <f t="shared" ca="1" si="580"/>
        <v>1839.2162204235951</v>
      </c>
      <c r="T744" s="69">
        <f t="shared" ca="1" si="580"/>
        <v>1599.7325291408924</v>
      </c>
      <c r="U744" s="69">
        <f t="shared" ca="1" si="580"/>
        <v>1399.383595520904</v>
      </c>
      <c r="V744" s="69">
        <f t="shared" ca="1" si="580"/>
        <v>1203.9693003716675</v>
      </c>
      <c r="W744" s="69">
        <f t="shared" ca="1" si="580"/>
        <v>1056.147119240974</v>
      </c>
      <c r="X744" s="69">
        <f t="shared" ca="1" si="580"/>
        <v>903.48544682056104</v>
      </c>
      <c r="Y744" s="69">
        <f ca="1">+Y938-Y939</f>
        <v>765.574100242388</v>
      </c>
      <c r="Z744" s="69">
        <f ca="1">+Z938-Z939</f>
        <v>599.00459377980383</v>
      </c>
      <c r="AA744" s="69">
        <f ca="1">+AA938-AA939</f>
        <v>485.1510977091616</v>
      </c>
      <c r="AB744" s="69">
        <f ca="1">+AB938-AB939</f>
        <v>395.2042039828857</v>
      </c>
      <c r="AC744" s="69">
        <f ca="1">+AC938-AC939</f>
        <v>345.59526324319319</v>
      </c>
    </row>
    <row r="745" spans="1:29">
      <c r="B745" s="5" t="s">
        <v>981</v>
      </c>
      <c r="H745"/>
      <c r="I745" s="773">
        <v>0.65</v>
      </c>
      <c r="J745" s="773">
        <f t="shared" ref="J745:AC745" si="581">I745</f>
        <v>0.65</v>
      </c>
      <c r="K745" s="773">
        <f t="shared" si="581"/>
        <v>0.65</v>
      </c>
      <c r="L745" s="773">
        <f t="shared" si="581"/>
        <v>0.65</v>
      </c>
      <c r="M745" s="773">
        <f t="shared" si="581"/>
        <v>0.65</v>
      </c>
      <c r="N745" s="773">
        <f t="shared" si="581"/>
        <v>0.65</v>
      </c>
      <c r="O745" s="773">
        <f t="shared" si="581"/>
        <v>0.65</v>
      </c>
      <c r="P745" s="773">
        <f t="shared" si="581"/>
        <v>0.65</v>
      </c>
      <c r="Q745" s="773">
        <f t="shared" si="581"/>
        <v>0.65</v>
      </c>
      <c r="R745" s="773">
        <f t="shared" si="581"/>
        <v>0.65</v>
      </c>
      <c r="S745" s="773">
        <f t="shared" si="581"/>
        <v>0.65</v>
      </c>
      <c r="T745" s="773">
        <f t="shared" si="581"/>
        <v>0.65</v>
      </c>
      <c r="U745" s="773">
        <f t="shared" si="581"/>
        <v>0.65</v>
      </c>
      <c r="V745" s="773">
        <f t="shared" si="581"/>
        <v>0.65</v>
      </c>
      <c r="W745" s="773">
        <f t="shared" si="581"/>
        <v>0.65</v>
      </c>
      <c r="X745" s="773">
        <f t="shared" si="581"/>
        <v>0.65</v>
      </c>
      <c r="Y745" s="773">
        <f t="shared" si="581"/>
        <v>0.65</v>
      </c>
      <c r="Z745" s="773">
        <f t="shared" si="581"/>
        <v>0.65</v>
      </c>
      <c r="AA745" s="773">
        <f t="shared" si="581"/>
        <v>0.65</v>
      </c>
      <c r="AB745" s="773">
        <f t="shared" si="581"/>
        <v>0.65</v>
      </c>
      <c r="AC745" s="773">
        <f t="shared" si="581"/>
        <v>0.65</v>
      </c>
    </row>
    <row r="746" spans="1:29">
      <c r="B746" s="74" t="s">
        <v>982</v>
      </c>
      <c r="H746"/>
      <c r="I746" s="168">
        <f t="shared" ref="I746:X746" ca="1" si="582">+I744*I745</f>
        <v>-310.96378931940967</v>
      </c>
      <c r="J746" s="168">
        <f t="shared" ca="1" si="582"/>
        <v>3979.4318840020505</v>
      </c>
      <c r="K746" s="168">
        <f t="shared" ca="1" si="582"/>
        <v>3169.1243529974095</v>
      </c>
      <c r="L746" s="168">
        <f t="shared" ca="1" si="582"/>
        <v>2913.5724650104376</v>
      </c>
      <c r="M746" s="168">
        <f t="shared" ca="1" si="582"/>
        <v>2703.5874999279549</v>
      </c>
      <c r="N746" s="168">
        <f t="shared" ca="1" si="582"/>
        <v>2437.5256190770283</v>
      </c>
      <c r="O746" s="168">
        <f t="shared" ca="1" si="582"/>
        <v>2119.6225188353901</v>
      </c>
      <c r="P746" s="168">
        <f t="shared" ca="1" si="582"/>
        <v>1814.8257636004798</v>
      </c>
      <c r="Q746" s="168">
        <f t="shared" ca="1" si="582"/>
        <v>1576.3266128292771</v>
      </c>
      <c r="R746" s="168">
        <f t="shared" ca="1" si="582"/>
        <v>1363.3566578989676</v>
      </c>
      <c r="S746" s="168">
        <f t="shared" ca="1" si="582"/>
        <v>1195.4905432753369</v>
      </c>
      <c r="T746" s="168">
        <f t="shared" ca="1" si="582"/>
        <v>1039.8261439415801</v>
      </c>
      <c r="U746" s="168">
        <f t="shared" ca="1" si="582"/>
        <v>909.59933708858762</v>
      </c>
      <c r="V746" s="168">
        <f t="shared" ca="1" si="582"/>
        <v>782.58004524158389</v>
      </c>
      <c r="W746" s="168">
        <f t="shared" ca="1" si="582"/>
        <v>686.49562750663313</v>
      </c>
      <c r="X746" s="168">
        <f t="shared" ca="1" si="582"/>
        <v>587.26554043336466</v>
      </c>
      <c r="Y746" s="168">
        <f ca="1">+Y744*Y745</f>
        <v>497.62316515755219</v>
      </c>
      <c r="Z746" s="168">
        <f ca="1">+Z744*Z745</f>
        <v>389.35298595687249</v>
      </c>
      <c r="AA746" s="168">
        <f ca="1">+AA744*AA745</f>
        <v>315.34821351095508</v>
      </c>
      <c r="AB746" s="168">
        <f ca="1">+AB744*AB745</f>
        <v>256.88273258887574</v>
      </c>
      <c r="AC746" s="168">
        <f ca="1">+AC744*AC745</f>
        <v>224.63692110807557</v>
      </c>
    </row>
    <row r="747" spans="1:29">
      <c r="H747"/>
      <c r="I747" s="773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</row>
    <row r="748" spans="1:29">
      <c r="B748" s="5" t="s">
        <v>983</v>
      </c>
      <c r="H748"/>
      <c r="I748" s="205">
        <f t="shared" ref="I748:X748" ca="1" si="583">MAX(+I742-I746,0)</f>
        <v>310.96378931940967</v>
      </c>
      <c r="J748" s="205">
        <f t="shared" ca="1" si="583"/>
        <v>0</v>
      </c>
      <c r="K748" s="205">
        <f t="shared" ca="1" si="583"/>
        <v>0</v>
      </c>
      <c r="L748" s="205">
        <f t="shared" ca="1" si="583"/>
        <v>0</v>
      </c>
      <c r="M748" s="205">
        <f t="shared" ca="1" si="583"/>
        <v>0</v>
      </c>
      <c r="N748" s="205">
        <f t="shared" ca="1" si="583"/>
        <v>0</v>
      </c>
      <c r="O748" s="205">
        <f t="shared" ca="1" si="583"/>
        <v>0</v>
      </c>
      <c r="P748" s="205">
        <f t="shared" ca="1" si="583"/>
        <v>0</v>
      </c>
      <c r="Q748" s="205">
        <f t="shared" ca="1" si="583"/>
        <v>0</v>
      </c>
      <c r="R748" s="205">
        <f t="shared" ca="1" si="583"/>
        <v>0</v>
      </c>
      <c r="S748" s="205">
        <f t="shared" ca="1" si="583"/>
        <v>0</v>
      </c>
      <c r="T748" s="205">
        <f t="shared" ca="1" si="583"/>
        <v>0</v>
      </c>
      <c r="U748" s="205">
        <f t="shared" ca="1" si="583"/>
        <v>0</v>
      </c>
      <c r="V748" s="205">
        <f t="shared" ca="1" si="583"/>
        <v>0</v>
      </c>
      <c r="W748" s="205">
        <f t="shared" ca="1" si="583"/>
        <v>0</v>
      </c>
      <c r="X748" s="205">
        <f t="shared" ca="1" si="583"/>
        <v>0</v>
      </c>
      <c r="Y748" s="205">
        <f ca="1">MAX(+Y742-Y746,0)</f>
        <v>0</v>
      </c>
      <c r="Z748" s="205">
        <f ca="1">MAX(+Z742-Z746,0)</f>
        <v>0</v>
      </c>
      <c r="AA748" s="205">
        <f ca="1">MAX(+AA742-AA746,0)</f>
        <v>0</v>
      </c>
      <c r="AB748" s="205">
        <f ca="1">MAX(+AB742-AB746,0)</f>
        <v>0</v>
      </c>
      <c r="AC748" s="205">
        <f ca="1">MAX(+AC742-AC746,0)</f>
        <v>0</v>
      </c>
    </row>
    <row r="749" spans="1:29">
      <c r="H749"/>
      <c r="I749" s="773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</row>
    <row r="750" spans="1:29" ht="12" thickBot="1">
      <c r="H750" s="69"/>
      <c r="I750" s="69"/>
    </row>
    <row r="751" spans="1:29" ht="12" thickTop="1">
      <c r="A751" s="766"/>
      <c r="B751" s="766"/>
      <c r="C751" s="767"/>
      <c r="D751" s="767"/>
      <c r="E751" s="767"/>
      <c r="F751" s="767"/>
      <c r="G751" s="767"/>
      <c r="H751" s="767"/>
      <c r="I751" s="767"/>
      <c r="J751" s="767"/>
      <c r="K751" s="767"/>
      <c r="L751" s="767"/>
      <c r="M751" s="767"/>
      <c r="N751" s="767"/>
      <c r="O751" s="767"/>
      <c r="P751" s="767"/>
      <c r="Q751" s="767"/>
      <c r="R751" s="767"/>
      <c r="S751" s="767"/>
      <c r="T751" s="767"/>
      <c r="U751" s="767"/>
      <c r="V751" s="767"/>
      <c r="W751" s="767"/>
      <c r="X751" s="767"/>
      <c r="Y751" s="767"/>
      <c r="Z751" s="767"/>
      <c r="AA751" s="767"/>
      <c r="AB751" s="767"/>
      <c r="AC751" s="767"/>
    </row>
    <row r="752" spans="1:29">
      <c r="A752" s="398" t="s">
        <v>984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Y752" s="115"/>
      <c r="Z752" s="115"/>
      <c r="AA752" s="115"/>
      <c r="AB752" s="115"/>
      <c r="AC752" s="115"/>
    </row>
    <row r="753" spans="1:29">
      <c r="A753" s="77" t="s">
        <v>367</v>
      </c>
      <c r="C753" s="74"/>
      <c r="H753" s="71" t="s">
        <v>985</v>
      </c>
      <c r="I753" s="415">
        <f t="shared" ref="I753:X754" si="584">+I959</f>
        <v>-0.375</v>
      </c>
      <c r="J753" s="415">
        <f t="shared" ca="1" si="584"/>
        <v>1.8639999999999999</v>
      </c>
      <c r="K753" s="415">
        <f t="shared" ca="1" si="584"/>
        <v>1.6417499999999996</v>
      </c>
      <c r="L753" s="415">
        <f t="shared" ca="1" si="584"/>
        <v>1.6408333333333331</v>
      </c>
      <c r="M753" s="415">
        <f t="shared" ca="1" si="584"/>
        <v>1.6295833333333336</v>
      </c>
      <c r="N753" s="415">
        <f t="shared" ca="1" si="584"/>
        <v>1.6304166666666666</v>
      </c>
      <c r="O753" s="415">
        <f t="shared" ca="1" si="584"/>
        <v>1.6383333333333332</v>
      </c>
      <c r="P753" s="415">
        <f t="shared" ca="1" si="584"/>
        <v>1.6541666666666663</v>
      </c>
      <c r="Q753" s="415">
        <f t="shared" ca="1" si="584"/>
        <v>1.6799999999999997</v>
      </c>
      <c r="R753" s="415">
        <f t="shared" ca="1" si="584"/>
        <v>1.7216666666666662</v>
      </c>
      <c r="S753" s="415">
        <f t="shared" ca="1" si="584"/>
        <v>1.7833333333333328</v>
      </c>
      <c r="T753" s="415">
        <f t="shared" ca="1" si="584"/>
        <v>1.8649999999999993</v>
      </c>
      <c r="U753" s="415">
        <f t="shared" ca="1" si="584"/>
        <v>1.9666666666666663</v>
      </c>
      <c r="V753" s="415">
        <f t="shared" ca="1" si="584"/>
        <v>2.0824999999999991</v>
      </c>
      <c r="W753" s="415">
        <f t="shared" ca="1" si="584"/>
        <v>2.2083333333333326</v>
      </c>
      <c r="X753" s="415">
        <f t="shared" ca="1" si="584"/>
        <v>2.3441666666666663</v>
      </c>
      <c r="Y753" s="115"/>
      <c r="Z753" s="115"/>
      <c r="AA753" s="115"/>
      <c r="AB753" s="115"/>
      <c r="AC753" s="115"/>
    </row>
    <row r="754" spans="1:29">
      <c r="A754" s="77" t="s">
        <v>368</v>
      </c>
      <c r="C754" s="74"/>
      <c r="H754" s="71" t="s">
        <v>986</v>
      </c>
      <c r="I754" s="415">
        <f t="shared" si="584"/>
        <v>-2.375</v>
      </c>
      <c r="J754" s="415">
        <f t="shared" ca="1" si="584"/>
        <v>19.140888888888885</v>
      </c>
      <c r="K754" s="415">
        <f t="shared" ca="1" si="584"/>
        <v>16.611666666666665</v>
      </c>
      <c r="L754" s="415">
        <f t="shared" ca="1" si="584"/>
        <v>15.968166666666665</v>
      </c>
      <c r="M754" s="415">
        <f t="shared" ca="1" si="584"/>
        <v>16.046749999999999</v>
      </c>
      <c r="N754" s="415">
        <f t="shared" ca="1" si="584"/>
        <v>16.200749999999999</v>
      </c>
      <c r="O754" s="415">
        <f t="shared" ca="1" si="584"/>
        <v>16.356416666666668</v>
      </c>
      <c r="P754" s="415">
        <f t="shared" ca="1" si="584"/>
        <v>16.531166666666667</v>
      </c>
      <c r="Q754" s="415">
        <f t="shared" ca="1" si="584"/>
        <v>16.723166666666668</v>
      </c>
      <c r="R754" s="415">
        <f t="shared" ca="1" si="584"/>
        <v>16.925749999999997</v>
      </c>
      <c r="S754" s="415">
        <f t="shared" ca="1" si="584"/>
        <v>17.1355</v>
      </c>
      <c r="T754" s="415">
        <f t="shared" ca="1" si="584"/>
        <v>17.345083333333339</v>
      </c>
      <c r="U754" s="415">
        <f t="shared" ca="1" si="584"/>
        <v>17.555416666666662</v>
      </c>
      <c r="V754" s="415">
        <f t="shared" ca="1" si="584"/>
        <v>17.765416666666663</v>
      </c>
      <c r="W754" s="415">
        <f t="shared" ca="1" si="584"/>
        <v>17.975249999999999</v>
      </c>
      <c r="X754" s="415">
        <f t="shared" ca="1" si="584"/>
        <v>18.468916666666669</v>
      </c>
      <c r="Y754" s="115"/>
      <c r="Z754" s="115"/>
      <c r="AA754" s="115"/>
      <c r="AB754" s="115"/>
      <c r="AC754" s="115"/>
    </row>
    <row r="755" spans="1:29">
      <c r="A755" s="291" t="s">
        <v>369</v>
      </c>
      <c r="C755" s="74"/>
      <c r="I755" s="16"/>
      <c r="L755" s="89"/>
      <c r="M755" s="89"/>
      <c r="N755" s="89"/>
      <c r="O755" s="89"/>
      <c r="P755" s="89"/>
      <c r="Q755" s="89"/>
      <c r="R755" s="89"/>
      <c r="S755" s="89"/>
      <c r="Y755" s="115"/>
      <c r="Z755" s="115"/>
      <c r="AA755" s="115"/>
      <c r="AB755" s="115"/>
      <c r="AC755" s="115"/>
    </row>
    <row r="756" spans="1:29">
      <c r="A756" s="77"/>
      <c r="G756"/>
      <c r="H756"/>
      <c r="I756"/>
      <c r="J756" s="79"/>
      <c r="K756"/>
      <c r="L756"/>
      <c r="M756"/>
      <c r="N756"/>
      <c r="O756"/>
      <c r="P756"/>
      <c r="Q756"/>
      <c r="R756"/>
      <c r="S756"/>
      <c r="T756"/>
      <c r="U756"/>
      <c r="Y756" s="115"/>
      <c r="Z756" s="115"/>
      <c r="AA756" s="115"/>
      <c r="AB756" s="115"/>
      <c r="AC756" s="115"/>
    </row>
    <row r="757" spans="1:29">
      <c r="A757" s="5" t="s">
        <v>987</v>
      </c>
      <c r="C757" s="90"/>
      <c r="D757" s="90"/>
      <c r="E757" s="90"/>
      <c r="F757" s="90"/>
      <c r="G757" s="774"/>
      <c r="H757" s="2"/>
      <c r="I757" s="115">
        <f t="shared" ref="I757:X758" si="585">I495*I753</f>
        <v>0</v>
      </c>
      <c r="J757" s="115">
        <f t="shared" ca="1" si="585"/>
        <v>0</v>
      </c>
      <c r="K757" s="115">
        <f t="shared" ca="1" si="585"/>
        <v>0</v>
      </c>
      <c r="L757" s="115">
        <f t="shared" ca="1" si="585"/>
        <v>0</v>
      </c>
      <c r="M757" s="115">
        <f t="shared" ca="1" si="585"/>
        <v>0</v>
      </c>
      <c r="N757" s="115">
        <f t="shared" ca="1" si="585"/>
        <v>0</v>
      </c>
      <c r="O757" s="115">
        <f t="shared" ca="1" si="585"/>
        <v>0</v>
      </c>
      <c r="P757" s="115">
        <f t="shared" ca="1" si="585"/>
        <v>0</v>
      </c>
      <c r="Q757" s="115">
        <f t="shared" ca="1" si="585"/>
        <v>0</v>
      </c>
      <c r="R757" s="115">
        <f t="shared" ca="1" si="585"/>
        <v>0</v>
      </c>
      <c r="S757" s="115">
        <f t="shared" ca="1" si="585"/>
        <v>0</v>
      </c>
      <c r="T757" s="115">
        <f t="shared" ca="1" si="585"/>
        <v>0</v>
      </c>
      <c r="U757" s="115">
        <f t="shared" ca="1" si="585"/>
        <v>0</v>
      </c>
      <c r="V757" s="115">
        <f t="shared" ca="1" si="585"/>
        <v>0</v>
      </c>
      <c r="W757" s="115">
        <f t="shared" ca="1" si="585"/>
        <v>0</v>
      </c>
      <c r="X757" s="115">
        <f t="shared" ca="1" si="585"/>
        <v>0</v>
      </c>
      <c r="Y757" s="115"/>
      <c r="Z757" s="115"/>
      <c r="AA757" s="115"/>
      <c r="AB757" s="115"/>
      <c r="AC757" s="115"/>
    </row>
    <row r="758" spans="1:29">
      <c r="A758" s="5" t="s">
        <v>988</v>
      </c>
      <c r="C758" s="90"/>
      <c r="D758" s="90"/>
      <c r="E758" s="90"/>
      <c r="F758" s="90"/>
      <c r="G758" s="774"/>
      <c r="H758" s="2"/>
      <c r="I758" s="115">
        <f t="shared" si="585"/>
        <v>0</v>
      </c>
      <c r="J758" s="115">
        <f t="shared" ca="1" si="585"/>
        <v>0</v>
      </c>
      <c r="K758" s="115">
        <f t="shared" ca="1" si="585"/>
        <v>0</v>
      </c>
      <c r="L758" s="115">
        <f t="shared" ca="1" si="585"/>
        <v>0</v>
      </c>
      <c r="M758" s="115">
        <f t="shared" ca="1" si="585"/>
        <v>0</v>
      </c>
      <c r="N758" s="115">
        <f t="shared" ca="1" si="585"/>
        <v>0</v>
      </c>
      <c r="O758" s="115">
        <f t="shared" ca="1" si="585"/>
        <v>0</v>
      </c>
      <c r="P758" s="115">
        <f t="shared" ca="1" si="585"/>
        <v>0</v>
      </c>
      <c r="Q758" s="115">
        <f t="shared" ca="1" si="585"/>
        <v>0</v>
      </c>
      <c r="R758" s="115">
        <f t="shared" ca="1" si="585"/>
        <v>0</v>
      </c>
      <c r="S758" s="115">
        <f t="shared" ca="1" si="585"/>
        <v>0</v>
      </c>
      <c r="T758" s="115">
        <f t="shared" ca="1" si="585"/>
        <v>0</v>
      </c>
      <c r="U758" s="115">
        <f t="shared" ca="1" si="585"/>
        <v>0</v>
      </c>
      <c r="V758" s="115">
        <f t="shared" ca="1" si="585"/>
        <v>0</v>
      </c>
      <c r="W758" s="115">
        <f t="shared" ca="1" si="585"/>
        <v>0</v>
      </c>
      <c r="X758" s="115">
        <f t="shared" ca="1" si="585"/>
        <v>0</v>
      </c>
      <c r="Y758" s="115"/>
      <c r="Z758" s="115"/>
      <c r="AA758" s="115"/>
      <c r="AB758" s="115"/>
      <c r="AC758" s="115"/>
    </row>
    <row r="759" spans="1:29">
      <c r="A759" s="5" t="s">
        <v>989</v>
      </c>
      <c r="C759" s="90"/>
      <c r="D759" s="90"/>
      <c r="E759" s="2"/>
      <c r="F759" s="90"/>
      <c r="G759"/>
      <c r="H759" s="2"/>
      <c r="I759" s="179">
        <f t="shared" ref="I759:X759" si="586">I757+I758</f>
        <v>0</v>
      </c>
      <c r="J759" s="179">
        <f t="shared" ca="1" si="586"/>
        <v>0</v>
      </c>
      <c r="K759" s="179">
        <f t="shared" ca="1" si="586"/>
        <v>0</v>
      </c>
      <c r="L759" s="179">
        <f t="shared" ca="1" si="586"/>
        <v>0</v>
      </c>
      <c r="M759" s="179">
        <f t="shared" ca="1" si="586"/>
        <v>0</v>
      </c>
      <c r="N759" s="179">
        <f t="shared" ca="1" si="586"/>
        <v>0</v>
      </c>
      <c r="O759" s="179">
        <f t="shared" ca="1" si="586"/>
        <v>0</v>
      </c>
      <c r="P759" s="179">
        <f t="shared" ca="1" si="586"/>
        <v>0</v>
      </c>
      <c r="Q759" s="179">
        <f t="shared" ca="1" si="586"/>
        <v>0</v>
      </c>
      <c r="R759" s="179">
        <f t="shared" ca="1" si="586"/>
        <v>0</v>
      </c>
      <c r="S759" s="179">
        <f t="shared" ca="1" si="586"/>
        <v>0</v>
      </c>
      <c r="T759" s="179">
        <f t="shared" ca="1" si="586"/>
        <v>0</v>
      </c>
      <c r="U759" s="179">
        <f t="shared" ca="1" si="586"/>
        <v>0</v>
      </c>
      <c r="V759" s="179">
        <f t="shared" ca="1" si="586"/>
        <v>0</v>
      </c>
      <c r="W759" s="179">
        <f t="shared" ca="1" si="586"/>
        <v>0</v>
      </c>
      <c r="X759" s="179">
        <f t="shared" ca="1" si="586"/>
        <v>0</v>
      </c>
      <c r="Y759" s="115"/>
      <c r="Z759" s="115"/>
      <c r="AA759" s="115"/>
      <c r="AB759" s="115"/>
      <c r="AC759" s="115"/>
    </row>
    <row r="760" spans="1:29">
      <c r="C760" s="90"/>
      <c r="D760" s="90"/>
      <c r="E760" s="2"/>
      <c r="F760" s="90"/>
      <c r="G760"/>
      <c r="H760" s="2"/>
      <c r="I760" s="115"/>
      <c r="J760" s="115"/>
      <c r="K760" s="115"/>
      <c r="L760" s="115"/>
      <c r="M760" s="115"/>
      <c r="N760" s="115"/>
      <c r="O760" s="115"/>
      <c r="P760" s="115"/>
      <c r="Q760" s="115"/>
      <c r="R760" s="115"/>
      <c r="S760" s="115"/>
      <c r="T760" s="115"/>
      <c r="U760" s="115"/>
      <c r="V760" s="115"/>
      <c r="W760" s="115"/>
      <c r="X760" s="115"/>
      <c r="Y760" s="115"/>
      <c r="Z760" s="115"/>
      <c r="AA760" s="115"/>
      <c r="AB760" s="115"/>
      <c r="AC760" s="115"/>
    </row>
    <row r="761" spans="1:29">
      <c r="A761" s="2" t="s">
        <v>990</v>
      </c>
      <c r="C761" s="344">
        <v>5.3999999999999999E-2</v>
      </c>
      <c r="D761" s="90"/>
      <c r="E761"/>
      <c r="F761" s="775" t="s">
        <v>991</v>
      </c>
      <c r="G761"/>
      <c r="H761" s="2"/>
      <c r="I761" s="115">
        <f ca="1">I495*$C$762*C328</f>
        <v>0</v>
      </c>
      <c r="J761" s="115">
        <f t="shared" ref="J761:X762" si="587">J495*$C$762</f>
        <v>0</v>
      </c>
      <c r="K761" s="115">
        <f t="shared" si="587"/>
        <v>0</v>
      </c>
      <c r="L761" s="115">
        <f t="shared" si="587"/>
        <v>0</v>
      </c>
      <c r="M761" s="115">
        <f t="shared" si="587"/>
        <v>0</v>
      </c>
      <c r="N761" s="115">
        <f t="shared" si="587"/>
        <v>0</v>
      </c>
      <c r="O761" s="115">
        <f t="shared" si="587"/>
        <v>0</v>
      </c>
      <c r="P761" s="115">
        <f t="shared" si="587"/>
        <v>0</v>
      </c>
      <c r="Q761" s="115">
        <f t="shared" si="587"/>
        <v>0</v>
      </c>
      <c r="R761" s="115">
        <f t="shared" si="587"/>
        <v>0</v>
      </c>
      <c r="S761" s="115">
        <f t="shared" si="587"/>
        <v>0</v>
      </c>
      <c r="T761" s="115">
        <f t="shared" si="587"/>
        <v>0</v>
      </c>
      <c r="U761" s="115">
        <f t="shared" si="587"/>
        <v>0</v>
      </c>
      <c r="V761" s="115">
        <f t="shared" si="587"/>
        <v>0</v>
      </c>
      <c r="W761" s="115">
        <f t="shared" si="587"/>
        <v>0</v>
      </c>
      <c r="X761" s="115">
        <f t="shared" si="587"/>
        <v>0</v>
      </c>
      <c r="Y761" s="115"/>
      <c r="Z761" s="115"/>
      <c r="AA761" s="115"/>
      <c r="AB761" s="115"/>
      <c r="AC761" s="115"/>
    </row>
    <row r="762" spans="1:29">
      <c r="A762" s="776" t="s">
        <v>992</v>
      </c>
      <c r="C762" s="409">
        <f>C761+0.01</f>
        <v>6.4000000000000001E-2</v>
      </c>
      <c r="D762" s="90"/>
      <c r="E762"/>
      <c r="F762" s="775" t="s">
        <v>993</v>
      </c>
      <c r="G762"/>
      <c r="H762" s="2"/>
      <c r="I762" s="115">
        <f ca="1">I496*$C$762*C328</f>
        <v>0</v>
      </c>
      <c r="J762" s="115">
        <f t="shared" si="587"/>
        <v>0</v>
      </c>
      <c r="K762" s="115">
        <f t="shared" si="587"/>
        <v>0</v>
      </c>
      <c r="L762" s="115">
        <f t="shared" si="587"/>
        <v>0</v>
      </c>
      <c r="M762" s="115">
        <f t="shared" si="587"/>
        <v>0</v>
      </c>
      <c r="N762" s="115">
        <f t="shared" si="587"/>
        <v>0</v>
      </c>
      <c r="O762" s="115">
        <f t="shared" si="587"/>
        <v>0</v>
      </c>
      <c r="P762" s="115">
        <f t="shared" si="587"/>
        <v>0</v>
      </c>
      <c r="Q762" s="115">
        <f t="shared" si="587"/>
        <v>0</v>
      </c>
      <c r="R762" s="115">
        <f t="shared" si="587"/>
        <v>0</v>
      </c>
      <c r="S762" s="115">
        <f t="shared" si="587"/>
        <v>0</v>
      </c>
      <c r="T762" s="115">
        <f t="shared" si="587"/>
        <v>0</v>
      </c>
      <c r="U762" s="115">
        <f t="shared" si="587"/>
        <v>0</v>
      </c>
      <c r="V762" s="115">
        <f t="shared" si="587"/>
        <v>0</v>
      </c>
      <c r="W762" s="115">
        <f t="shared" si="587"/>
        <v>0</v>
      </c>
      <c r="X762" s="115">
        <f t="shared" si="587"/>
        <v>0</v>
      </c>
      <c r="Y762" s="115"/>
      <c r="Z762" s="115"/>
      <c r="AA762" s="115"/>
      <c r="AB762" s="115"/>
      <c r="AC762" s="115"/>
    </row>
    <row r="763" spans="1:29">
      <c r="C763" s="90"/>
      <c r="D763" s="90"/>
      <c r="E763" s="776"/>
      <c r="F763" s="775" t="s">
        <v>994</v>
      </c>
      <c r="G763"/>
      <c r="H763" s="2"/>
      <c r="I763" s="179">
        <f t="shared" ref="I763:X763" ca="1" si="588">I761+I762</f>
        <v>0</v>
      </c>
      <c r="J763" s="179">
        <f t="shared" si="588"/>
        <v>0</v>
      </c>
      <c r="K763" s="179">
        <f t="shared" si="588"/>
        <v>0</v>
      </c>
      <c r="L763" s="179">
        <f t="shared" si="588"/>
        <v>0</v>
      </c>
      <c r="M763" s="179">
        <f t="shared" si="588"/>
        <v>0</v>
      </c>
      <c r="N763" s="179">
        <f t="shared" si="588"/>
        <v>0</v>
      </c>
      <c r="O763" s="179">
        <f t="shared" si="588"/>
        <v>0</v>
      </c>
      <c r="P763" s="179">
        <f t="shared" si="588"/>
        <v>0</v>
      </c>
      <c r="Q763" s="179">
        <f t="shared" si="588"/>
        <v>0</v>
      </c>
      <c r="R763" s="179">
        <f t="shared" si="588"/>
        <v>0</v>
      </c>
      <c r="S763" s="179">
        <f t="shared" si="588"/>
        <v>0</v>
      </c>
      <c r="T763" s="179">
        <f t="shared" si="588"/>
        <v>0</v>
      </c>
      <c r="U763" s="179">
        <f t="shared" si="588"/>
        <v>0</v>
      </c>
      <c r="V763" s="179">
        <f t="shared" si="588"/>
        <v>0</v>
      </c>
      <c r="W763" s="179">
        <f t="shared" si="588"/>
        <v>0</v>
      </c>
      <c r="X763" s="179">
        <f t="shared" si="588"/>
        <v>0</v>
      </c>
      <c r="Y763" s="115"/>
      <c r="Z763" s="115"/>
      <c r="AA763" s="115"/>
      <c r="AB763" s="115"/>
      <c r="AC763" s="115"/>
    </row>
    <row r="764" spans="1:29">
      <c r="C764" s="90"/>
      <c r="D764" s="90"/>
      <c r="E764" s="90"/>
      <c r="F764" s="180"/>
      <c r="G764" s="774"/>
      <c r="H764" s="232"/>
      <c r="I764" s="233"/>
      <c r="J764" s="233"/>
      <c r="K764" s="233"/>
      <c r="L764" s="233"/>
      <c r="M764" s="233"/>
      <c r="N764" s="233"/>
      <c r="O764" s="233"/>
      <c r="P764" s="233"/>
      <c r="Q764" s="233"/>
      <c r="R764" s="233"/>
      <c r="S764" s="233"/>
      <c r="T764" s="181"/>
      <c r="U764" s="181"/>
      <c r="V764" s="181"/>
      <c r="W764" s="181"/>
      <c r="X764" s="181"/>
      <c r="Y764" s="115"/>
      <c r="Z764" s="115"/>
      <c r="AA764" s="115"/>
      <c r="AB764" s="115"/>
      <c r="AC764" s="115"/>
    </row>
    <row r="765" spans="1:29">
      <c r="B765" s="339" t="s">
        <v>995</v>
      </c>
      <c r="C765"/>
      <c r="D765" s="90"/>
      <c r="E765"/>
      <c r="F765" s="90" t="s">
        <v>706</v>
      </c>
      <c r="G765"/>
      <c r="H765" s="2"/>
      <c r="I765" s="115">
        <f>I251</f>
        <v>0</v>
      </c>
      <c r="J765" s="115">
        <f t="shared" ref="J765:X765" ca="1" si="589">I770</f>
        <v>0</v>
      </c>
      <c r="K765" s="115">
        <f t="shared" ca="1" si="589"/>
        <v>0</v>
      </c>
      <c r="L765" s="115">
        <f t="shared" ca="1" si="589"/>
        <v>0</v>
      </c>
      <c r="M765" s="115">
        <f t="shared" ca="1" si="589"/>
        <v>0</v>
      </c>
      <c r="N765" s="115">
        <f t="shared" ca="1" si="589"/>
        <v>0</v>
      </c>
      <c r="O765" s="115">
        <f t="shared" ca="1" si="589"/>
        <v>0</v>
      </c>
      <c r="P765" s="115">
        <f t="shared" ca="1" si="589"/>
        <v>0</v>
      </c>
      <c r="Q765" s="115">
        <f t="shared" ca="1" si="589"/>
        <v>0</v>
      </c>
      <c r="R765" s="115">
        <f t="shared" ca="1" si="589"/>
        <v>0</v>
      </c>
      <c r="S765" s="115">
        <f t="shared" ca="1" si="589"/>
        <v>0</v>
      </c>
      <c r="T765" s="115">
        <f t="shared" ca="1" si="589"/>
        <v>0</v>
      </c>
      <c r="U765" s="115">
        <f t="shared" ca="1" si="589"/>
        <v>0</v>
      </c>
      <c r="V765" s="115">
        <f t="shared" ca="1" si="589"/>
        <v>0</v>
      </c>
      <c r="W765" s="115">
        <f t="shared" ca="1" si="589"/>
        <v>0</v>
      </c>
      <c r="X765" s="115">
        <f t="shared" ca="1" si="589"/>
        <v>0</v>
      </c>
      <c r="Y765" s="115"/>
      <c r="Z765" s="115"/>
      <c r="AA765" s="115"/>
      <c r="AB765" s="115"/>
      <c r="AC765" s="115"/>
    </row>
    <row r="766" spans="1:29">
      <c r="C766" s="90"/>
      <c r="D766" s="90"/>
      <c r="E766" s="90"/>
      <c r="F766" s="90" t="s">
        <v>996</v>
      </c>
      <c r="G766"/>
      <c r="H766" s="90"/>
      <c r="I766" s="115">
        <f t="shared" ref="I766:X766" si="590">IF(I765&lt;1,0,I759)</f>
        <v>0</v>
      </c>
      <c r="J766" s="115">
        <f t="shared" ca="1" si="590"/>
        <v>0</v>
      </c>
      <c r="K766" s="115">
        <f t="shared" ca="1" si="590"/>
        <v>0</v>
      </c>
      <c r="L766" s="115">
        <f t="shared" ca="1" si="590"/>
        <v>0</v>
      </c>
      <c r="M766" s="115">
        <f t="shared" ca="1" si="590"/>
        <v>0</v>
      </c>
      <c r="N766" s="115">
        <f t="shared" ca="1" si="590"/>
        <v>0</v>
      </c>
      <c r="O766" s="115">
        <f t="shared" ca="1" si="590"/>
        <v>0</v>
      </c>
      <c r="P766" s="115">
        <f t="shared" ca="1" si="590"/>
        <v>0</v>
      </c>
      <c r="Q766" s="115">
        <f t="shared" ca="1" si="590"/>
        <v>0</v>
      </c>
      <c r="R766" s="115">
        <f t="shared" ca="1" si="590"/>
        <v>0</v>
      </c>
      <c r="S766" s="115">
        <f t="shared" ca="1" si="590"/>
        <v>0</v>
      </c>
      <c r="T766" s="115">
        <f t="shared" ca="1" si="590"/>
        <v>0</v>
      </c>
      <c r="U766" s="115">
        <f t="shared" ca="1" si="590"/>
        <v>0</v>
      </c>
      <c r="V766" s="115">
        <f t="shared" ca="1" si="590"/>
        <v>0</v>
      </c>
      <c r="W766" s="115">
        <f t="shared" ca="1" si="590"/>
        <v>0</v>
      </c>
      <c r="X766" s="115">
        <f t="shared" ca="1" si="590"/>
        <v>0</v>
      </c>
      <c r="Y766" s="115"/>
      <c r="Z766" s="115"/>
      <c r="AA766" s="115"/>
      <c r="AB766" s="115"/>
      <c r="AC766" s="115"/>
    </row>
    <row r="767" spans="1:29">
      <c r="C767" s="90"/>
      <c r="D767" s="90"/>
      <c r="E767" s="90"/>
      <c r="F767" s="115" t="s">
        <v>997</v>
      </c>
      <c r="G767"/>
      <c r="H767"/>
      <c r="I767">
        <f t="shared" ref="I767:X767" ca="1" si="591">IF(I765&lt;1,0,I763)</f>
        <v>0</v>
      </c>
      <c r="J767">
        <f t="shared" ca="1" si="591"/>
        <v>0</v>
      </c>
      <c r="K767">
        <f t="shared" ca="1" si="591"/>
        <v>0</v>
      </c>
      <c r="L767">
        <f t="shared" ca="1" si="591"/>
        <v>0</v>
      </c>
      <c r="M767">
        <f t="shared" ca="1" si="591"/>
        <v>0</v>
      </c>
      <c r="N767">
        <f t="shared" ca="1" si="591"/>
        <v>0</v>
      </c>
      <c r="O767">
        <f t="shared" ca="1" si="591"/>
        <v>0</v>
      </c>
      <c r="P767">
        <f t="shared" ca="1" si="591"/>
        <v>0</v>
      </c>
      <c r="Q767">
        <f t="shared" ca="1" si="591"/>
        <v>0</v>
      </c>
      <c r="R767">
        <f t="shared" ca="1" si="591"/>
        <v>0</v>
      </c>
      <c r="S767">
        <f t="shared" ca="1" si="591"/>
        <v>0</v>
      </c>
      <c r="T767">
        <f t="shared" ca="1" si="591"/>
        <v>0</v>
      </c>
      <c r="U767">
        <f t="shared" ca="1" si="591"/>
        <v>0</v>
      </c>
      <c r="V767">
        <f t="shared" ca="1" si="591"/>
        <v>0</v>
      </c>
      <c r="W767">
        <f t="shared" ca="1" si="591"/>
        <v>0</v>
      </c>
      <c r="X767">
        <f t="shared" ca="1" si="591"/>
        <v>0</v>
      </c>
      <c r="Y767" s="115"/>
      <c r="Z767" s="115"/>
      <c r="AA767" s="115"/>
      <c r="AB767" s="115"/>
      <c r="AC767" s="115"/>
    </row>
    <row r="768" spans="1:29">
      <c r="C768" s="90"/>
      <c r="D768" s="90"/>
      <c r="E768" s="90"/>
      <c r="F768" s="90" t="s">
        <v>998</v>
      </c>
      <c r="G768"/>
      <c r="H768" s="90"/>
      <c r="I768" s="115">
        <f t="shared" ref="I768:X768" ca="1" si="592">IF(I765-(+I766-I767)&gt;0,I766-I767,I765)</f>
        <v>0</v>
      </c>
      <c r="J768" s="115">
        <f t="shared" ca="1" si="592"/>
        <v>0</v>
      </c>
      <c r="K768" s="115">
        <f t="shared" ca="1" si="592"/>
        <v>0</v>
      </c>
      <c r="L768" s="115">
        <f t="shared" ca="1" si="592"/>
        <v>0</v>
      </c>
      <c r="M768" s="115">
        <f t="shared" ca="1" si="592"/>
        <v>0</v>
      </c>
      <c r="N768" s="115">
        <f t="shared" ca="1" si="592"/>
        <v>0</v>
      </c>
      <c r="O768" s="115">
        <f t="shared" ca="1" si="592"/>
        <v>0</v>
      </c>
      <c r="P768" s="115">
        <f t="shared" ca="1" si="592"/>
        <v>0</v>
      </c>
      <c r="Q768" s="115">
        <f t="shared" ca="1" si="592"/>
        <v>0</v>
      </c>
      <c r="R768" s="115">
        <f t="shared" ca="1" si="592"/>
        <v>0</v>
      </c>
      <c r="S768" s="115">
        <f t="shared" ca="1" si="592"/>
        <v>0</v>
      </c>
      <c r="T768" s="115">
        <f t="shared" ca="1" si="592"/>
        <v>0</v>
      </c>
      <c r="U768" s="115">
        <f t="shared" ca="1" si="592"/>
        <v>0</v>
      </c>
      <c r="V768" s="115">
        <f t="shared" ca="1" si="592"/>
        <v>0</v>
      </c>
      <c r="W768" s="115">
        <f t="shared" ca="1" si="592"/>
        <v>0</v>
      </c>
      <c r="X768" s="115">
        <f t="shared" ca="1" si="592"/>
        <v>0</v>
      </c>
      <c r="Y768" s="115"/>
      <c r="Z768" s="115"/>
      <c r="AA768" s="115"/>
      <c r="AB768" s="115"/>
      <c r="AC768" s="115"/>
    </row>
    <row r="769" spans="1:29">
      <c r="C769" s="90"/>
      <c r="D769" s="90"/>
      <c r="E769" s="90"/>
      <c r="F769" s="90" t="s">
        <v>999</v>
      </c>
      <c r="G769"/>
      <c r="H769" s="90"/>
      <c r="I769" s="115">
        <f t="shared" ref="I769:X769" ca="1" si="593">IF(I254&lt;1,I765-I768,0)</f>
        <v>0</v>
      </c>
      <c r="J769" s="115">
        <f t="shared" ca="1" si="593"/>
        <v>0</v>
      </c>
      <c r="K769" s="115">
        <f t="shared" ca="1" si="593"/>
        <v>0</v>
      </c>
      <c r="L769" s="115">
        <f t="shared" ca="1" si="593"/>
        <v>0</v>
      </c>
      <c r="M769" s="115">
        <f t="shared" ca="1" si="593"/>
        <v>0</v>
      </c>
      <c r="N769" s="115">
        <f t="shared" ca="1" si="593"/>
        <v>0</v>
      </c>
      <c r="O769" s="115">
        <f t="shared" ca="1" si="593"/>
        <v>0</v>
      </c>
      <c r="P769" s="115">
        <f t="shared" ca="1" si="593"/>
        <v>0</v>
      </c>
      <c r="Q769" s="115">
        <f t="shared" ca="1" si="593"/>
        <v>0</v>
      </c>
      <c r="R769" s="115">
        <f t="shared" ca="1" si="593"/>
        <v>0</v>
      </c>
      <c r="S769" s="115">
        <f t="shared" ca="1" si="593"/>
        <v>0</v>
      </c>
      <c r="T769" s="115">
        <f t="shared" ca="1" si="593"/>
        <v>0</v>
      </c>
      <c r="U769" s="115">
        <f t="shared" ca="1" si="593"/>
        <v>0</v>
      </c>
      <c r="V769" s="115">
        <f t="shared" ca="1" si="593"/>
        <v>0</v>
      </c>
      <c r="W769" s="115">
        <f t="shared" ca="1" si="593"/>
        <v>0</v>
      </c>
      <c r="X769" s="115">
        <f t="shared" ca="1" si="593"/>
        <v>0</v>
      </c>
      <c r="Y769" s="115"/>
      <c r="Z769" s="115"/>
      <c r="AA769" s="115"/>
      <c r="AB769" s="115"/>
      <c r="AC769" s="115"/>
    </row>
    <row r="770" spans="1:29">
      <c r="C770" s="90"/>
      <c r="D770" s="90"/>
      <c r="E770" s="90"/>
      <c r="F770" s="90" t="s">
        <v>709</v>
      </c>
      <c r="G770"/>
      <c r="H770" s="90"/>
      <c r="I770" s="179">
        <f t="shared" ref="I770:X770" ca="1" si="594">+I765-I768-I769</f>
        <v>0</v>
      </c>
      <c r="J770" s="179">
        <f t="shared" ca="1" si="594"/>
        <v>0</v>
      </c>
      <c r="K770" s="179">
        <f t="shared" ca="1" si="594"/>
        <v>0</v>
      </c>
      <c r="L770" s="179">
        <f t="shared" ca="1" si="594"/>
        <v>0</v>
      </c>
      <c r="M770" s="179">
        <f t="shared" ca="1" si="594"/>
        <v>0</v>
      </c>
      <c r="N770" s="179">
        <f t="shared" ca="1" si="594"/>
        <v>0</v>
      </c>
      <c r="O770" s="179">
        <f t="shared" ca="1" si="594"/>
        <v>0</v>
      </c>
      <c r="P770" s="179">
        <f t="shared" ca="1" si="594"/>
        <v>0</v>
      </c>
      <c r="Q770" s="179">
        <f t="shared" ca="1" si="594"/>
        <v>0</v>
      </c>
      <c r="R770" s="179">
        <f t="shared" ca="1" si="594"/>
        <v>0</v>
      </c>
      <c r="S770" s="179">
        <f t="shared" ca="1" si="594"/>
        <v>0</v>
      </c>
      <c r="T770" s="179">
        <f t="shared" ca="1" si="594"/>
        <v>0</v>
      </c>
      <c r="U770" s="179">
        <f t="shared" ca="1" si="594"/>
        <v>0</v>
      </c>
      <c r="V770" s="179">
        <f t="shared" ca="1" si="594"/>
        <v>0</v>
      </c>
      <c r="W770" s="179">
        <f t="shared" ca="1" si="594"/>
        <v>0</v>
      </c>
      <c r="X770" s="179">
        <f t="shared" ca="1" si="594"/>
        <v>0</v>
      </c>
      <c r="Y770" s="115"/>
      <c r="Z770" s="115"/>
      <c r="AA770" s="115"/>
      <c r="AB770" s="115"/>
      <c r="AC770" s="115"/>
    </row>
    <row r="771" spans="1:29">
      <c r="C771" s="90"/>
      <c r="D771" s="90"/>
      <c r="E771" s="90"/>
      <c r="F771" s="90"/>
      <c r="G771" s="90"/>
      <c r="H771" s="90"/>
      <c r="I771" s="115"/>
      <c r="J771" s="115"/>
      <c r="K771" s="115"/>
      <c r="L771" s="115"/>
      <c r="M771" s="115"/>
      <c r="N771" s="115"/>
      <c r="O771" s="115"/>
      <c r="P771" s="115"/>
      <c r="Q771" s="115"/>
      <c r="R771" s="115"/>
      <c r="S771" s="115"/>
      <c r="T771" s="115"/>
      <c r="U771" s="115"/>
      <c r="V771" s="115"/>
      <c r="W771" s="115"/>
      <c r="X771" s="115"/>
      <c r="Y771" s="115"/>
      <c r="Z771" s="115"/>
      <c r="AA771" s="115"/>
      <c r="AB771" s="115"/>
      <c r="AC771" s="115"/>
    </row>
    <row r="772" spans="1:29">
      <c r="C772" s="90"/>
      <c r="D772" s="90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s="115"/>
      <c r="Z772" s="115"/>
      <c r="AA772" s="115"/>
      <c r="AB772" s="115"/>
      <c r="AC772" s="115"/>
    </row>
    <row r="773" spans="1:29">
      <c r="B773" s="775" t="s">
        <v>1000</v>
      </c>
      <c r="C773"/>
      <c r="D773" s="90"/>
      <c r="E773" s="90"/>
      <c r="F773" s="180" t="s">
        <v>1001</v>
      </c>
      <c r="G773" s="222">
        <v>0.10587451272485396</v>
      </c>
      <c r="H773" s="232">
        <f ca="1">NPV(G773,IF(C325=1,J773:X773,I773:X773))*(1+G773)^(IF(C325=1,0,C325))-I775</f>
        <v>0</v>
      </c>
      <c r="I773" s="233">
        <f t="shared" ref="I773:X773" si="595">I759</f>
        <v>0</v>
      </c>
      <c r="J773" s="233">
        <f t="shared" ca="1" si="595"/>
        <v>0</v>
      </c>
      <c r="K773" s="233">
        <f t="shared" ca="1" si="595"/>
        <v>0</v>
      </c>
      <c r="L773" s="233">
        <f t="shared" ca="1" si="595"/>
        <v>0</v>
      </c>
      <c r="M773" s="233">
        <f t="shared" ca="1" si="595"/>
        <v>0</v>
      </c>
      <c r="N773" s="233">
        <f t="shared" ca="1" si="595"/>
        <v>0</v>
      </c>
      <c r="O773" s="233">
        <f t="shared" ca="1" si="595"/>
        <v>0</v>
      </c>
      <c r="P773" s="233">
        <f t="shared" ca="1" si="595"/>
        <v>0</v>
      </c>
      <c r="Q773" s="233">
        <f t="shared" ca="1" si="595"/>
        <v>0</v>
      </c>
      <c r="R773" s="233">
        <f t="shared" ca="1" si="595"/>
        <v>0</v>
      </c>
      <c r="S773" s="233">
        <f t="shared" ca="1" si="595"/>
        <v>0</v>
      </c>
      <c r="T773" s="181">
        <f t="shared" ca="1" si="595"/>
        <v>0</v>
      </c>
      <c r="U773" s="181">
        <f t="shared" ca="1" si="595"/>
        <v>0</v>
      </c>
      <c r="V773" s="181">
        <f t="shared" ca="1" si="595"/>
        <v>0</v>
      </c>
      <c r="W773" s="181">
        <f t="shared" ca="1" si="595"/>
        <v>0</v>
      </c>
      <c r="X773" s="181">
        <f t="shared" ca="1" si="595"/>
        <v>0</v>
      </c>
      <c r="Y773" s="115"/>
      <c r="Z773" s="115"/>
      <c r="AA773" s="115"/>
      <c r="AB773" s="115"/>
      <c r="AC773" s="115"/>
    </row>
    <row r="774" spans="1:29">
      <c r="C774" s="90"/>
      <c r="D774" s="90"/>
      <c r="E774" s="90"/>
      <c r="F774" s="180"/>
      <c r="G774" s="774"/>
      <c r="H774"/>
      <c r="I774" s="233"/>
      <c r="J774" s="233"/>
      <c r="K774" s="233"/>
      <c r="L774" s="233"/>
      <c r="M774" s="233"/>
      <c r="N774" s="233"/>
      <c r="O774" s="233"/>
      <c r="P774" s="233"/>
      <c r="Q774" s="233"/>
      <c r="R774" s="233"/>
      <c r="S774" s="233"/>
      <c r="T774" s="181"/>
      <c r="U774" s="181"/>
      <c r="V774" s="181"/>
      <c r="W774" s="181"/>
      <c r="X774" s="181"/>
      <c r="Y774" s="115"/>
      <c r="Z774" s="115"/>
      <c r="AA774" s="115"/>
      <c r="AB774" s="115"/>
      <c r="AC774" s="115"/>
    </row>
    <row r="775" spans="1:29">
      <c r="C775" s="90"/>
      <c r="D775" s="90"/>
      <c r="E775" s="90"/>
      <c r="F775" s="2" t="s">
        <v>706</v>
      </c>
      <c r="G775"/>
      <c r="H775" s="2"/>
      <c r="I775" s="115">
        <f>I251</f>
        <v>0</v>
      </c>
      <c r="J775">
        <f t="shared" ref="J775:X775" ca="1" si="596">I779</f>
        <v>0</v>
      </c>
      <c r="K775">
        <f t="shared" ca="1" si="596"/>
        <v>0</v>
      </c>
      <c r="L775">
        <f t="shared" ca="1" si="596"/>
        <v>0</v>
      </c>
      <c r="M775">
        <f t="shared" ca="1" si="596"/>
        <v>0</v>
      </c>
      <c r="N775">
        <f t="shared" ca="1" si="596"/>
        <v>0</v>
      </c>
      <c r="O775">
        <f t="shared" ca="1" si="596"/>
        <v>0</v>
      </c>
      <c r="P775">
        <f t="shared" ca="1" si="596"/>
        <v>0</v>
      </c>
      <c r="Q775">
        <f t="shared" ca="1" si="596"/>
        <v>0</v>
      </c>
      <c r="R775">
        <f t="shared" ca="1" si="596"/>
        <v>0</v>
      </c>
      <c r="S775">
        <f t="shared" ca="1" si="596"/>
        <v>0</v>
      </c>
      <c r="T775">
        <f t="shared" ca="1" si="596"/>
        <v>0</v>
      </c>
      <c r="U775">
        <f t="shared" ca="1" si="596"/>
        <v>0</v>
      </c>
      <c r="V775">
        <f t="shared" ca="1" si="596"/>
        <v>0</v>
      </c>
      <c r="W775">
        <f t="shared" ca="1" si="596"/>
        <v>0</v>
      </c>
      <c r="X775">
        <f t="shared" ca="1" si="596"/>
        <v>0</v>
      </c>
      <c r="Y775" s="115"/>
      <c r="Z775" s="115"/>
      <c r="AA775" s="115"/>
      <c r="AB775" s="115"/>
      <c r="AC775" s="115"/>
    </row>
    <row r="776" spans="1:29">
      <c r="C776" s="90"/>
      <c r="D776" s="90"/>
      <c r="E776" s="90"/>
      <c r="F776" s="90" t="s">
        <v>996</v>
      </c>
      <c r="G776"/>
      <c r="H776" s="232"/>
      <c r="I776">
        <f t="shared" ref="I776:X776" si="597">+I759</f>
        <v>0</v>
      </c>
      <c r="J776">
        <f t="shared" ca="1" si="597"/>
        <v>0</v>
      </c>
      <c r="K776">
        <f t="shared" ca="1" si="597"/>
        <v>0</v>
      </c>
      <c r="L776">
        <f t="shared" ca="1" si="597"/>
        <v>0</v>
      </c>
      <c r="M776">
        <f t="shared" ca="1" si="597"/>
        <v>0</v>
      </c>
      <c r="N776">
        <f t="shared" ca="1" si="597"/>
        <v>0</v>
      </c>
      <c r="O776">
        <f t="shared" ca="1" si="597"/>
        <v>0</v>
      </c>
      <c r="P776">
        <f t="shared" ca="1" si="597"/>
        <v>0</v>
      </c>
      <c r="Q776">
        <f t="shared" ca="1" si="597"/>
        <v>0</v>
      </c>
      <c r="R776">
        <f t="shared" ca="1" si="597"/>
        <v>0</v>
      </c>
      <c r="S776">
        <f t="shared" ca="1" si="597"/>
        <v>0</v>
      </c>
      <c r="T776">
        <f t="shared" ca="1" si="597"/>
        <v>0</v>
      </c>
      <c r="U776">
        <f t="shared" ca="1" si="597"/>
        <v>0</v>
      </c>
      <c r="V776">
        <f t="shared" ca="1" si="597"/>
        <v>0</v>
      </c>
      <c r="W776">
        <f t="shared" ca="1" si="597"/>
        <v>0</v>
      </c>
      <c r="X776">
        <f t="shared" ca="1" si="597"/>
        <v>0</v>
      </c>
      <c r="Y776" s="115"/>
      <c r="Z776" s="115"/>
      <c r="AA776" s="115"/>
      <c r="AB776" s="115"/>
      <c r="AC776" s="115"/>
    </row>
    <row r="777" spans="1:29">
      <c r="C777" s="90"/>
      <c r="D777" s="90"/>
      <c r="E777"/>
      <c r="F777" s="115" t="s">
        <v>997</v>
      </c>
      <c r="G777"/>
      <c r="H777" s="115"/>
      <c r="I777" s="115">
        <f ca="1">I775*((1+G773)^(C328)-1)</f>
        <v>0</v>
      </c>
      <c r="J777">
        <f t="shared" ref="J777:X777" ca="1" si="598">$G$773*J775</f>
        <v>0</v>
      </c>
      <c r="K777">
        <f t="shared" ca="1" si="598"/>
        <v>0</v>
      </c>
      <c r="L777">
        <f t="shared" ca="1" si="598"/>
        <v>0</v>
      </c>
      <c r="M777">
        <f t="shared" ca="1" si="598"/>
        <v>0</v>
      </c>
      <c r="N777">
        <f t="shared" ca="1" si="598"/>
        <v>0</v>
      </c>
      <c r="O777">
        <f t="shared" ca="1" si="598"/>
        <v>0</v>
      </c>
      <c r="P777">
        <f t="shared" ca="1" si="598"/>
        <v>0</v>
      </c>
      <c r="Q777">
        <f t="shared" ca="1" si="598"/>
        <v>0</v>
      </c>
      <c r="R777">
        <f t="shared" ca="1" si="598"/>
        <v>0</v>
      </c>
      <c r="S777">
        <f t="shared" ca="1" si="598"/>
        <v>0</v>
      </c>
      <c r="T777">
        <f t="shared" ca="1" si="598"/>
        <v>0</v>
      </c>
      <c r="U777">
        <f t="shared" ca="1" si="598"/>
        <v>0</v>
      </c>
      <c r="V777">
        <f t="shared" ca="1" si="598"/>
        <v>0</v>
      </c>
      <c r="W777">
        <f t="shared" ca="1" si="598"/>
        <v>0</v>
      </c>
      <c r="X777">
        <f t="shared" ca="1" si="598"/>
        <v>0</v>
      </c>
      <c r="Y777" s="115"/>
      <c r="Z777" s="115"/>
      <c r="AA777" s="115"/>
      <c r="AB777" s="115"/>
      <c r="AC777" s="115"/>
    </row>
    <row r="778" spans="1:29">
      <c r="C778" s="90"/>
      <c r="D778" s="90"/>
      <c r="E778"/>
      <c r="F778" s="90" t="s">
        <v>998</v>
      </c>
      <c r="G778"/>
      <c r="H778" s="90"/>
      <c r="I778" s="115">
        <f t="shared" ref="I778:X778" ca="1" si="599">I776-I777</f>
        <v>0</v>
      </c>
      <c r="J778" s="115">
        <f t="shared" ca="1" si="599"/>
        <v>0</v>
      </c>
      <c r="K778" s="115">
        <f t="shared" ca="1" si="599"/>
        <v>0</v>
      </c>
      <c r="L778" s="115">
        <f t="shared" ca="1" si="599"/>
        <v>0</v>
      </c>
      <c r="M778" s="115">
        <f t="shared" ca="1" si="599"/>
        <v>0</v>
      </c>
      <c r="N778" s="115">
        <f t="shared" ca="1" si="599"/>
        <v>0</v>
      </c>
      <c r="O778" s="115">
        <f t="shared" ca="1" si="599"/>
        <v>0</v>
      </c>
      <c r="P778" s="115">
        <f t="shared" ca="1" si="599"/>
        <v>0</v>
      </c>
      <c r="Q778" s="115">
        <f t="shared" ca="1" si="599"/>
        <v>0</v>
      </c>
      <c r="R778" s="115">
        <f t="shared" ca="1" si="599"/>
        <v>0</v>
      </c>
      <c r="S778" s="115">
        <f t="shared" ca="1" si="599"/>
        <v>0</v>
      </c>
      <c r="T778" s="115">
        <f t="shared" ca="1" si="599"/>
        <v>0</v>
      </c>
      <c r="U778" s="115">
        <f t="shared" ca="1" si="599"/>
        <v>0</v>
      </c>
      <c r="V778" s="115">
        <f t="shared" ca="1" si="599"/>
        <v>0</v>
      </c>
      <c r="W778" s="115">
        <f t="shared" ca="1" si="599"/>
        <v>0</v>
      </c>
      <c r="X778" s="115">
        <f t="shared" ca="1" si="599"/>
        <v>0</v>
      </c>
      <c r="Y778" s="115"/>
      <c r="Z778" s="115"/>
      <c r="AA778" s="115"/>
      <c r="AB778" s="115"/>
      <c r="AC778" s="115"/>
    </row>
    <row r="779" spans="1:29">
      <c r="C779" s="90"/>
      <c r="D779" s="90"/>
      <c r="E779"/>
      <c r="F779" s="90" t="s">
        <v>709</v>
      </c>
      <c r="G779"/>
      <c r="H779" s="90"/>
      <c r="I779" s="179">
        <f t="shared" ref="I779:X779" ca="1" si="600">I775-I778</f>
        <v>0</v>
      </c>
      <c r="J779" s="179">
        <f t="shared" ca="1" si="600"/>
        <v>0</v>
      </c>
      <c r="K779" s="179">
        <f t="shared" ca="1" si="600"/>
        <v>0</v>
      </c>
      <c r="L779" s="179">
        <f t="shared" ca="1" si="600"/>
        <v>0</v>
      </c>
      <c r="M779" s="179">
        <f t="shared" ca="1" si="600"/>
        <v>0</v>
      </c>
      <c r="N779" s="179">
        <f t="shared" ca="1" si="600"/>
        <v>0</v>
      </c>
      <c r="O779" s="179">
        <f t="shared" ca="1" si="600"/>
        <v>0</v>
      </c>
      <c r="P779" s="179">
        <f t="shared" ca="1" si="600"/>
        <v>0</v>
      </c>
      <c r="Q779" s="179">
        <f t="shared" ca="1" si="600"/>
        <v>0</v>
      </c>
      <c r="R779" s="179">
        <f t="shared" ca="1" si="600"/>
        <v>0</v>
      </c>
      <c r="S779" s="179">
        <f t="shared" ca="1" si="600"/>
        <v>0</v>
      </c>
      <c r="T779" s="179">
        <f t="shared" ca="1" si="600"/>
        <v>0</v>
      </c>
      <c r="U779" s="179">
        <f t="shared" ca="1" si="600"/>
        <v>0</v>
      </c>
      <c r="V779" s="179">
        <f t="shared" ca="1" si="600"/>
        <v>0</v>
      </c>
      <c r="W779" s="179">
        <f t="shared" ca="1" si="600"/>
        <v>0</v>
      </c>
      <c r="X779" s="179">
        <f t="shared" ca="1" si="600"/>
        <v>0</v>
      </c>
      <c r="Y779" s="115"/>
      <c r="Z779" s="115"/>
      <c r="AA779" s="115"/>
      <c r="AB779" s="115"/>
      <c r="AC779" s="115"/>
    </row>
    <row r="780" spans="1:29">
      <c r="C780" s="90"/>
      <c r="D780" s="90"/>
      <c r="E780" s="90"/>
      <c r="F780" s="90"/>
      <c r="G780" s="90"/>
      <c r="H780" s="115"/>
      <c r="I780" s="115"/>
      <c r="J780" s="115"/>
      <c r="K780" s="115"/>
      <c r="L780" s="115"/>
      <c r="M780" s="115"/>
      <c r="N780" s="115"/>
      <c r="O780" s="115"/>
      <c r="P780" s="115"/>
      <c r="Q780" s="115"/>
      <c r="R780" s="115"/>
      <c r="S780" s="115"/>
      <c r="T780" s="115"/>
      <c r="U780" s="115"/>
      <c r="V780" s="115"/>
      <c r="W780" s="115"/>
      <c r="X780" s="115"/>
      <c r="Y780" s="115"/>
      <c r="Z780" s="115"/>
      <c r="AA780" s="115"/>
      <c r="AB780" s="115"/>
      <c r="AC780" s="115"/>
    </row>
    <row r="781" spans="1:29" ht="12" thickBot="1">
      <c r="A781" s="302"/>
      <c r="B781" s="302"/>
      <c r="C781" s="302"/>
      <c r="D781" s="302"/>
      <c r="E781" s="302"/>
      <c r="F781" s="302"/>
      <c r="G781" s="302"/>
      <c r="H781" s="302"/>
      <c r="I781" s="302"/>
      <c r="J781" s="302"/>
      <c r="K781" s="302"/>
      <c r="L781" s="302"/>
      <c r="M781" s="302"/>
      <c r="N781" s="302"/>
      <c r="O781" s="302"/>
      <c r="P781" s="302"/>
      <c r="Q781" s="302"/>
      <c r="R781" s="302"/>
      <c r="S781" s="302"/>
      <c r="T781" s="303"/>
      <c r="U781" s="303"/>
      <c r="V781" s="303"/>
      <c r="W781" s="303"/>
      <c r="X781" s="303"/>
      <c r="Y781" s="303"/>
      <c r="Z781" s="303"/>
      <c r="AA781" s="303"/>
      <c r="AB781" s="303"/>
      <c r="AC781" s="303"/>
    </row>
    <row r="782" spans="1:29" ht="12" thickTop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29">
      <c r="A783" s="19" t="s">
        <v>1002</v>
      </c>
      <c r="J783"/>
      <c r="K783"/>
    </row>
    <row r="784" spans="1:29">
      <c r="A784" s="74"/>
      <c r="J784"/>
      <c r="K784"/>
    </row>
    <row r="785" spans="1:24" ht="12" thickBot="1">
      <c r="A785" s="74"/>
      <c r="J785"/>
      <c r="K785"/>
    </row>
    <row r="786" spans="1:24" ht="12.75" thickTop="1" thickBot="1">
      <c r="A786" s="224" t="s">
        <v>1003</v>
      </c>
      <c r="C786" s="184" t="s">
        <v>374</v>
      </c>
      <c r="E786" s="184" t="s">
        <v>264</v>
      </c>
      <c r="F786" s="184" t="s">
        <v>264</v>
      </c>
      <c r="G786" s="184" t="s">
        <v>264</v>
      </c>
      <c r="I786" s="224" t="s">
        <v>1004</v>
      </c>
      <c r="K786"/>
      <c r="L786" s="188" t="s">
        <v>1005</v>
      </c>
      <c r="M786" s="632" t="s">
        <v>1006</v>
      </c>
      <c r="N786" s="188" t="s">
        <v>1007</v>
      </c>
      <c r="O786"/>
      <c r="P786" s="669" t="s">
        <v>1008</v>
      </c>
      <c r="Q786"/>
      <c r="R786"/>
      <c r="S786" s="188" t="s">
        <v>1005</v>
      </c>
      <c r="T786" s="632" t="s">
        <v>1006</v>
      </c>
      <c r="U786" s="188" t="s">
        <v>1007</v>
      </c>
      <c r="W786"/>
      <c r="X786"/>
    </row>
    <row r="787" spans="1:24" ht="12.75" thickTop="1" thickBot="1">
      <c r="A787"/>
      <c r="C787" s="185" t="s">
        <v>1009</v>
      </c>
      <c r="E787" s="186" t="str">
        <f>G845</f>
        <v>Year 3</v>
      </c>
      <c r="F787" s="186" t="str">
        <f>M786</f>
        <v>Year 4</v>
      </c>
      <c r="G787" s="186" t="str">
        <f>N786</f>
        <v>Year 5</v>
      </c>
      <c r="I787" s="74" t="s">
        <v>1010</v>
      </c>
      <c r="K787"/>
      <c r="L787" s="734">
        <f ca="1">L29</f>
        <v>4482.4191769391346</v>
      </c>
      <c r="M787" s="734">
        <f ca="1">M29</f>
        <v>4159.3653845045455</v>
      </c>
      <c r="N787" s="734">
        <f ca="1">N29</f>
        <v>3750.0394139646587</v>
      </c>
      <c r="O787"/>
      <c r="P787" s="83" t="s">
        <v>159</v>
      </c>
      <c r="Q787"/>
      <c r="R787"/>
      <c r="S787">
        <f ca="1">+L962</f>
        <v>75265.079780108295</v>
      </c>
      <c r="T787">
        <f ca="1">+M962</f>
        <v>83970.944292470071</v>
      </c>
      <c r="U787">
        <f ca="1">+N962</f>
        <v>90705.300222777703</v>
      </c>
      <c r="W787"/>
      <c r="X787"/>
    </row>
    <row r="788" spans="1:24" ht="12" thickTop="1">
      <c r="A788" s="74" t="str">
        <f>B338</f>
        <v>Term Loan</v>
      </c>
      <c r="C788" s="574">
        <v>0</v>
      </c>
      <c r="D788" s="69"/>
      <c r="E788" s="244" t="str">
        <f ca="1">IF(J795="YES","NA",IF(ISERR(XIRR(H847:S847,$H$846:$S$846))=TRUE,"NA",XIRR(H847:S847,$H$846:$S$846)))</f>
        <v>NA</v>
      </c>
      <c r="F788" s="633" t="str">
        <f ca="1">IF(J795="YES","NA",IF(ISERR(XIRR(H855:S855,$H$854:$S$854))=TRUE,"NA",XIRR(H855:S855,$H$854:$S$854)))</f>
        <v>NA</v>
      </c>
      <c r="G788" s="244" t="str">
        <f ca="1">IF(ISERR(XIRR(H863:S863,$H$862:$S$862))=TRUE,"NA",XIRR(H863:S863,$H$862:$S$862))</f>
        <v>NA</v>
      </c>
      <c r="I788" s="74" t="s">
        <v>1011</v>
      </c>
      <c r="K788" s="476"/>
      <c r="L788" s="717">
        <v>6.1768644957870062</v>
      </c>
      <c r="M788" s="717">
        <v>6.0179487501703441</v>
      </c>
      <c r="N788" s="717">
        <v>5.9258878671658266</v>
      </c>
      <c r="O788"/>
      <c r="P788" s="74" t="s">
        <v>1011</v>
      </c>
      <c r="Q788"/>
      <c r="R788"/>
      <c r="S788" s="577">
        <v>1.25</v>
      </c>
      <c r="T788" s="577">
        <v>1.25</v>
      </c>
      <c r="U788" s="577">
        <v>1.25</v>
      </c>
      <c r="W788"/>
      <c r="X788"/>
    </row>
    <row r="789" spans="1:24">
      <c r="A789" s="74" t="str">
        <f>B343</f>
        <v>Sr Sub Notes</v>
      </c>
      <c r="C789" s="574">
        <v>0</v>
      </c>
      <c r="D789" s="69"/>
      <c r="E789" s="243" t="str">
        <f ca="1">IF(J795="YES","NA",IF(ISERR(XIRR(H848:S848,$H$846:$S$846))=TRUE,"NA",XIRR(H848:S848,$H$846:$S$846)))</f>
        <v>NA</v>
      </c>
      <c r="F789" s="633" t="str">
        <f ca="1">IF(J795="YES","NA",IF(ISERR(XIRR(H856:S856,$H$854:$S$854))=TRUE,"NA",XIRR(H856:S856,$H$854:$S$854)))</f>
        <v>NA</v>
      </c>
      <c r="G789" s="243" t="str">
        <f ca="1">IF(ISERR(XIRR(H864:S864,$H$862:$S$862))=TRUE,"NA",XIRR(H864:S864,$H$862:$S$862))</f>
        <v>NA</v>
      </c>
      <c r="H789"/>
      <c r="I789" s="74" t="s">
        <v>1012</v>
      </c>
      <c r="K789"/>
      <c r="L789" s="92">
        <f ca="1">IF(L801&gt;10,0.9*EP!L820,L787*L788)</f>
        <v>27687.295869270154</v>
      </c>
      <c r="M789" s="92">
        <f ca="1">IF(M801&gt;10,0.9*EP!M820,M787*M788)</f>
        <v>25030.847717180925</v>
      </c>
      <c r="N789" s="92">
        <f ca="1">IF(N801&gt;10,0.9*EP!N820,N787*N788)</f>
        <v>22222.313064606817</v>
      </c>
      <c r="O789"/>
      <c r="P789" s="74" t="s">
        <v>1012</v>
      </c>
      <c r="Q789"/>
      <c r="R789"/>
      <c r="S789">
        <f ca="1">S787*S788</f>
        <v>94081.349725135369</v>
      </c>
      <c r="T789">
        <f ca="1">T787*T788</f>
        <v>104963.68036558758</v>
      </c>
      <c r="U789">
        <f ca="1">U787*U788</f>
        <v>113381.62527847213</v>
      </c>
      <c r="W789"/>
      <c r="X789"/>
    </row>
    <row r="790" spans="1:24">
      <c r="A790" s="74" t="str">
        <f>B344</f>
        <v>Jr. Sub Notes</v>
      </c>
      <c r="C790" s="574">
        <v>0</v>
      </c>
      <c r="D790" s="69"/>
      <c r="E790" s="243" t="str">
        <f ca="1">IF(J795="YES","NA",IF(ISERR(XIRR(H849:S849,$H$846:$S$846))=TRUE,"NA",XIRR(H849:S849,$H$846:$S$846)))</f>
        <v>NA</v>
      </c>
      <c r="F790" s="633" t="str">
        <f ca="1">IF(J795="YES","NA",IF(ISERR(XIRR(H857:S857,$H$854:$S$854))=TRUE,"NA",XIRR(H857:S857,$H$854:$S$854)))</f>
        <v>NA</v>
      </c>
      <c r="G790" s="243" t="str">
        <f ca="1">IF(ISERR(XIRR(H865:S865,$H$862:$S$862))=TRUE,"NA",XIRR(H865:S865,$H$862:$S$862))</f>
        <v>NA</v>
      </c>
      <c r="I790" s="74" t="s">
        <v>1013</v>
      </c>
      <c r="K790"/>
      <c r="O790"/>
      <c r="P790" s="74" t="s">
        <v>1013</v>
      </c>
      <c r="Q790"/>
      <c r="R790"/>
      <c r="S790"/>
      <c r="T790"/>
      <c r="W790"/>
      <c r="X790"/>
    </row>
    <row r="791" spans="1:24">
      <c r="A791" s="74" t="str">
        <f>B345</f>
        <v>Preferred Stock</v>
      </c>
      <c r="C791" s="574">
        <v>0</v>
      </c>
      <c r="D791" s="69"/>
      <c r="E791" s="243" t="str">
        <f ca="1">IF(J795="YES","NA",IF(ISERR(XIRR(H850:S850,$H$846:$S$846))=TRUE,"NA",XIRR(H850:S850,$H$846:$S$846)))</f>
        <v>NA</v>
      </c>
      <c r="F791" s="633" t="str">
        <f ca="1">IF(J795="YES","NA",IF(ISERR(XIRR(H858:S858,$H$854:$S$854))=TRUE,"NA",XIRR(H858:S858,$H$854:$S$854)))</f>
        <v>NA</v>
      </c>
      <c r="G791" s="243" t="str">
        <f ca="1">IF(ISERR(XIRR(H866:S866,$H$862:$S$862))=TRUE,"NA",XIRR(H866:S866,$H$862:$S$862))</f>
        <v>NA</v>
      </c>
      <c r="I791" s="74" t="s">
        <v>1014</v>
      </c>
      <c r="K791"/>
      <c r="L791" s="734">
        <f ca="1">L195+L196+L199+L200+L202+L208</f>
        <v>0</v>
      </c>
      <c r="M791" s="734">
        <f ca="1">M195+M196+M199+M200+M202+M208</f>
        <v>0</v>
      </c>
      <c r="N791" s="734">
        <f ca="1">N195+N196+N199+N200+N202+N208</f>
        <v>0</v>
      </c>
      <c r="P791" s="74" t="s">
        <v>1014</v>
      </c>
      <c r="S791" s="5">
        <f ca="1">L791</f>
        <v>0</v>
      </c>
      <c r="T791" s="5">
        <f ca="1">M791</f>
        <v>0</v>
      </c>
      <c r="U791" s="5">
        <f ca="1">N791</f>
        <v>0</v>
      </c>
    </row>
    <row r="792" spans="1:24">
      <c r="A792" s="74" t="str">
        <f>B346</f>
        <v>Common Stock</v>
      </c>
      <c r="C792" s="352">
        <f>1-SUM(C788:C791)</f>
        <v>1</v>
      </c>
      <c r="D792" s="69"/>
      <c r="E792" s="245" t="str">
        <f ca="1">IF(J795="YES","NA",IF(ISERR(XIRR(H851:S851,$H$846:$S$846))=TRUE,"NA",XIRR(H851:S851,$H$846:$S$846)))</f>
        <v>NA</v>
      </c>
      <c r="F792" s="634" t="str">
        <f ca="1">IF(J795="YES","NA",IF(ISERR(XIRR(H859:S859,$H$854:$S$854))=TRUE,"NA",XIRR(H859:S859,$H$854:$S$854)))</f>
        <v>NA</v>
      </c>
      <c r="G792" s="245" t="str">
        <f ca="1">IF(ISERR(XIRR(H867:S867,$H$862:$S$862))=TRUE,"NA",XIRR(H867:S867,$H$862:$S$862))</f>
        <v>NA</v>
      </c>
      <c r="H792"/>
      <c r="I792" s="74" t="s">
        <v>1015</v>
      </c>
      <c r="K792"/>
      <c r="L792" s="90"/>
      <c r="M792" s="90"/>
      <c r="N792" s="90"/>
      <c r="O792"/>
      <c r="P792" s="74" t="s">
        <v>1015</v>
      </c>
      <c r="Q792"/>
      <c r="R792"/>
      <c r="S792"/>
      <c r="T792"/>
      <c r="U792"/>
    </row>
    <row r="793" spans="1:24">
      <c r="A793" s="74"/>
      <c r="C793" s="187">
        <f>SUM(C789:C792)</f>
        <v>1</v>
      </c>
      <c r="E793"/>
      <c r="F793"/>
      <c r="G793"/>
      <c r="H793"/>
      <c r="I793" s="74" t="s">
        <v>1016</v>
      </c>
      <c r="K793"/>
      <c r="L793" s="90">
        <f ca="1">L168-L450</f>
        <v>14227.925486116394</v>
      </c>
      <c r="M793" s="90">
        <f ca="1">M168-M450</f>
        <v>18178.888674765869</v>
      </c>
      <c r="N793" s="90">
        <f ca="1">N168-N450</f>
        <v>21937.941700404466</v>
      </c>
      <c r="O793"/>
      <c r="P793" s="74" t="s">
        <v>758</v>
      </c>
      <c r="Q793"/>
      <c r="R793"/>
      <c r="S793">
        <f ca="1">+L457</f>
        <v>0</v>
      </c>
      <c r="T793">
        <f ca="1">+M457</f>
        <v>0</v>
      </c>
      <c r="U793">
        <f ca="1">+N457</f>
        <v>0</v>
      </c>
    </row>
    <row r="794" spans="1:24">
      <c r="A794" s="74"/>
      <c r="C794" s="276"/>
      <c r="E794"/>
      <c r="F794"/>
      <c r="G794"/>
      <c r="H794"/>
      <c r="I794" s="83" t="s">
        <v>1017</v>
      </c>
      <c r="K794"/>
      <c r="L794" s="92">
        <f ca="1">L789-L791+L793</f>
        <v>41915.221355386544</v>
      </c>
      <c r="M794" s="92">
        <f ca="1">M789-M791+M793</f>
        <v>43209.73639194679</v>
      </c>
      <c r="N794" s="92">
        <f ca="1">N789-N791+N793</f>
        <v>44160.254765011283</v>
      </c>
      <c r="O794"/>
      <c r="P794" s="83" t="s">
        <v>1017</v>
      </c>
      <c r="Q794"/>
      <c r="R794"/>
      <c r="S794" s="205">
        <f ca="1">S789-S791+S793</f>
        <v>94081.349725135369</v>
      </c>
      <c r="T794" s="205">
        <f ca="1">T789-T791+T793</f>
        <v>104963.68036558758</v>
      </c>
      <c r="U794" s="205">
        <f ca="1">U789-U791+U793</f>
        <v>113381.62527847213</v>
      </c>
    </row>
    <row r="795" spans="1:24">
      <c r="A795" s="74"/>
      <c r="C795" s="276"/>
      <c r="E795"/>
      <c r="F795"/>
      <c r="G795"/>
      <c r="H795"/>
      <c r="I795" t="s">
        <v>1018</v>
      </c>
      <c r="J795" s="676" t="s">
        <v>1019</v>
      </c>
      <c r="K795" s="341" t="s">
        <v>1020</v>
      </c>
      <c r="L795" s="635">
        <v>1</v>
      </c>
      <c r="M795" s="635">
        <v>1</v>
      </c>
      <c r="N795" s="635">
        <v>1</v>
      </c>
      <c r="O795" t="str">
        <f>IF(J795="NO","",IF(SUM(L795:N795)=1,"","Stages do not sum to 100%"))</f>
        <v/>
      </c>
      <c r="P795" s="339" t="s">
        <v>1021</v>
      </c>
      <c r="Q795"/>
      <c r="R795"/>
      <c r="S795" s="635">
        <v>1</v>
      </c>
      <c r="T795" s="635">
        <v>1</v>
      </c>
      <c r="U795" s="635">
        <v>1</v>
      </c>
    </row>
    <row r="796" spans="1:24" ht="12" thickBot="1">
      <c r="A796" s="74"/>
      <c r="C796" s="276"/>
      <c r="E796"/>
      <c r="F796"/>
      <c r="G796"/>
      <c r="H796"/>
      <c r="I796" s="83" t="s">
        <v>1022</v>
      </c>
      <c r="K796"/>
      <c r="L796" s="735">
        <f ca="1">MAX(0,+L794*L795)</f>
        <v>41915.221355386544</v>
      </c>
      <c r="M796" s="735">
        <f ca="1">MAX(0,+M794*M795)</f>
        <v>43209.73639194679</v>
      </c>
      <c r="N796" s="735">
        <f ca="1">MAX(0,+N794*N795)</f>
        <v>44160.254765011283</v>
      </c>
      <c r="O796"/>
      <c r="P796" s="83" t="s">
        <v>1022</v>
      </c>
      <c r="Q796"/>
      <c r="R796"/>
      <c r="S796" s="101">
        <f ca="1">+S794*S795</f>
        <v>94081.349725135369</v>
      </c>
      <c r="T796" s="101">
        <f ca="1">+T794*T795</f>
        <v>104963.68036558758</v>
      </c>
      <c r="U796" s="101">
        <f ca="1">+U794*U795</f>
        <v>113381.62527847213</v>
      </c>
    </row>
    <row r="797" spans="1:24" ht="12" thickTop="1">
      <c r="A797" s="74"/>
      <c r="C797" s="276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24">
      <c r="A798"/>
      <c r="C798" s="276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24">
      <c r="A799" s="738" t="s">
        <v>1023</v>
      </c>
      <c r="B799" s="739"/>
      <c r="C799" s="740"/>
      <c r="D799" s="739"/>
      <c r="E799" s="741"/>
      <c r="F799" s="741"/>
      <c r="G799" s="741"/>
      <c r="H799" s="741"/>
      <c r="I799"/>
      <c r="J799"/>
      <c r="K799"/>
      <c r="L799"/>
      <c r="M799"/>
      <c r="N799"/>
      <c r="O799"/>
      <c r="P799"/>
      <c r="Q799"/>
      <c r="R799"/>
      <c r="S799"/>
    </row>
    <row r="800" spans="1:24">
      <c r="A800"/>
      <c r="B800"/>
      <c r="C800"/>
      <c r="D800"/>
      <c r="E800"/>
      <c r="F800"/>
      <c r="G800"/>
      <c r="H800"/>
      <c r="I800"/>
      <c r="J800" s="742" t="s">
        <v>1024</v>
      </c>
      <c r="K800" s="743" t="s">
        <v>1025</v>
      </c>
      <c r="L800" s="742" t="s">
        <v>1005</v>
      </c>
      <c r="M800" s="743" t="s">
        <v>1006</v>
      </c>
      <c r="N800" s="742" t="s">
        <v>1007</v>
      </c>
      <c r="O800" s="743" t="s">
        <v>1026</v>
      </c>
      <c r="P800" s="742" t="s">
        <v>1027</v>
      </c>
      <c r="Q800" s="742" t="s">
        <v>1028</v>
      </c>
      <c r="R800" s="743" t="s">
        <v>1029</v>
      </c>
      <c r="S800" s="742" t="s">
        <v>592</v>
      </c>
    </row>
    <row r="801" spans="1:20">
      <c r="A801"/>
      <c r="C801" s="276"/>
      <c r="E801"/>
      <c r="F801"/>
      <c r="G801" s="6" t="s">
        <v>1030</v>
      </c>
      <c r="H801"/>
      <c r="I801">
        <f t="shared" ref="I801:S801" ca="1" si="601">I227</f>
        <v>0</v>
      </c>
      <c r="J801">
        <f t="shared" ca="1" si="601"/>
        <v>0</v>
      </c>
      <c r="K801">
        <f t="shared" ca="1" si="601"/>
        <v>0</v>
      </c>
      <c r="L801">
        <f t="shared" ca="1" si="601"/>
        <v>0</v>
      </c>
      <c r="M801">
        <f t="shared" ca="1" si="601"/>
        <v>0</v>
      </c>
      <c r="N801">
        <f t="shared" ca="1" si="601"/>
        <v>0</v>
      </c>
      <c r="O801">
        <f t="shared" ca="1" si="601"/>
        <v>0</v>
      </c>
      <c r="P801">
        <f t="shared" ca="1" si="601"/>
        <v>0</v>
      </c>
      <c r="Q801">
        <f t="shared" ca="1" si="601"/>
        <v>0</v>
      </c>
      <c r="R801">
        <f t="shared" ca="1" si="601"/>
        <v>0</v>
      </c>
      <c r="S801">
        <f t="shared" ca="1" si="601"/>
        <v>0</v>
      </c>
      <c r="T801"/>
    </row>
    <row r="802" spans="1:20">
      <c r="A802" s="74"/>
      <c r="C802" s="276"/>
      <c r="E802"/>
      <c r="F802"/>
      <c r="G802" s="341" t="s">
        <v>1031</v>
      </c>
      <c r="H802"/>
      <c r="I802">
        <f t="shared" ref="I802:S802" ca="1" si="602">IF(I801&gt;5,I962,0)</f>
        <v>0</v>
      </c>
      <c r="J802">
        <f t="shared" ca="1" si="602"/>
        <v>0</v>
      </c>
      <c r="K802">
        <f t="shared" ca="1" si="602"/>
        <v>0</v>
      </c>
      <c r="L802">
        <f t="shared" ca="1" si="602"/>
        <v>0</v>
      </c>
      <c r="M802">
        <f t="shared" ca="1" si="602"/>
        <v>0</v>
      </c>
      <c r="N802">
        <f t="shared" ca="1" si="602"/>
        <v>0</v>
      </c>
      <c r="O802">
        <f t="shared" ca="1" si="602"/>
        <v>0</v>
      </c>
      <c r="P802">
        <f t="shared" ca="1" si="602"/>
        <v>0</v>
      </c>
      <c r="Q802">
        <f t="shared" ca="1" si="602"/>
        <v>0</v>
      </c>
      <c r="R802">
        <f t="shared" ca="1" si="602"/>
        <v>0</v>
      </c>
      <c r="S802">
        <f t="shared" ca="1" si="602"/>
        <v>0</v>
      </c>
      <c r="T802"/>
    </row>
    <row r="803" spans="1:20">
      <c r="A803" s="74"/>
      <c r="C803" s="276"/>
      <c r="E803"/>
      <c r="F803"/>
      <c r="G803" s="6" t="s">
        <v>1032</v>
      </c>
      <c r="H803"/>
      <c r="I803" s="744">
        <v>0.95</v>
      </c>
      <c r="J803" s="744">
        <v>0.95</v>
      </c>
      <c r="K803" s="744">
        <v>0.95</v>
      </c>
      <c r="L803" s="744">
        <v>0.95</v>
      </c>
      <c r="M803" s="744">
        <v>0.95</v>
      </c>
      <c r="N803" s="744">
        <v>0.95</v>
      </c>
      <c r="O803" s="744">
        <v>0.95</v>
      </c>
      <c r="P803" s="744">
        <v>0.95</v>
      </c>
      <c r="Q803" s="744">
        <v>0.95</v>
      </c>
      <c r="R803" s="744">
        <v>0.95</v>
      </c>
      <c r="S803" s="744">
        <v>0.95</v>
      </c>
      <c r="T803"/>
    </row>
    <row r="804" spans="1:20">
      <c r="A804" s="74"/>
      <c r="C804" s="276"/>
      <c r="E804"/>
      <c r="F804"/>
      <c r="G804" s="341" t="s">
        <v>1033</v>
      </c>
      <c r="H804"/>
      <c r="I804">
        <f ca="1">+I803*I802</f>
        <v>0</v>
      </c>
      <c r="J804">
        <f t="shared" ref="J804:S804" ca="1" si="603">+J803*J802</f>
        <v>0</v>
      </c>
      <c r="K804">
        <f t="shared" ca="1" si="603"/>
        <v>0</v>
      </c>
      <c r="L804">
        <f t="shared" ca="1" si="603"/>
        <v>0</v>
      </c>
      <c r="M804">
        <f t="shared" ca="1" si="603"/>
        <v>0</v>
      </c>
      <c r="N804">
        <f t="shared" ca="1" si="603"/>
        <v>0</v>
      </c>
      <c r="O804">
        <f t="shared" ca="1" si="603"/>
        <v>0</v>
      </c>
      <c r="P804">
        <f t="shared" ca="1" si="603"/>
        <v>0</v>
      </c>
      <c r="Q804">
        <f t="shared" ca="1" si="603"/>
        <v>0</v>
      </c>
      <c r="R804">
        <f t="shared" ca="1" si="603"/>
        <v>0</v>
      </c>
      <c r="S804">
        <f t="shared" ca="1" si="603"/>
        <v>0</v>
      </c>
      <c r="T804"/>
    </row>
    <row r="805" spans="1:20">
      <c r="A805" s="74"/>
      <c r="C805" s="276"/>
      <c r="E805"/>
      <c r="F805"/>
      <c r="G805" s="6" t="s">
        <v>1034</v>
      </c>
      <c r="H805"/>
      <c r="I805">
        <f ca="1">-(+I195+I196+I199+I200+I202+I208)</f>
        <v>-504.85591119790752</v>
      </c>
      <c r="J805">
        <f t="shared" ref="J805:S805" ca="1" si="604">-(+J195+J196+J199+J200+J202+J208)</f>
        <v>0</v>
      </c>
      <c r="K805">
        <f t="shared" ca="1" si="604"/>
        <v>0</v>
      </c>
      <c r="L805">
        <f t="shared" ca="1" si="604"/>
        <v>0</v>
      </c>
      <c r="M805">
        <f t="shared" ca="1" si="604"/>
        <v>0</v>
      </c>
      <c r="N805">
        <f t="shared" ca="1" si="604"/>
        <v>0</v>
      </c>
      <c r="O805">
        <f t="shared" ca="1" si="604"/>
        <v>0</v>
      </c>
      <c r="P805">
        <f t="shared" ca="1" si="604"/>
        <v>0</v>
      </c>
      <c r="Q805">
        <f t="shared" ca="1" si="604"/>
        <v>0</v>
      </c>
      <c r="R805">
        <f t="shared" ca="1" si="604"/>
        <v>0</v>
      </c>
      <c r="S805">
        <f t="shared" ca="1" si="604"/>
        <v>0</v>
      </c>
      <c r="T805"/>
    </row>
    <row r="806" spans="1:20">
      <c r="A806" s="74"/>
      <c r="B806"/>
      <c r="C806" s="276"/>
      <c r="E806"/>
      <c r="F806"/>
      <c r="G806" s="341" t="s">
        <v>1035</v>
      </c>
      <c r="H806"/>
      <c r="I806">
        <f ca="1">+L457</f>
        <v>0</v>
      </c>
      <c r="J806">
        <f t="shared" ref="J806:S806" ca="1" si="605">+M457</f>
        <v>0</v>
      </c>
      <c r="K806">
        <f t="shared" ca="1" si="605"/>
        <v>0</v>
      </c>
      <c r="L806">
        <f t="shared" ca="1" si="605"/>
        <v>0</v>
      </c>
      <c r="M806">
        <f t="shared" ca="1" si="605"/>
        <v>0</v>
      </c>
      <c r="N806">
        <f t="shared" ca="1" si="605"/>
        <v>0</v>
      </c>
      <c r="O806">
        <f t="shared" ca="1" si="605"/>
        <v>0</v>
      </c>
      <c r="P806">
        <f t="shared" ca="1" si="605"/>
        <v>0</v>
      </c>
      <c r="Q806">
        <f t="shared" ca="1" si="605"/>
        <v>0</v>
      </c>
      <c r="R806">
        <f t="shared" ca="1" si="605"/>
        <v>0</v>
      </c>
      <c r="S806">
        <f t="shared" ca="1" si="605"/>
        <v>0</v>
      </c>
      <c r="T806" s="341" t="s">
        <v>345</v>
      </c>
    </row>
    <row r="807" spans="1:20">
      <c r="A807" s="74"/>
      <c r="B807"/>
      <c r="C807" s="276"/>
      <c r="E807"/>
      <c r="F807"/>
      <c r="G807" s="6" t="s">
        <v>1036</v>
      </c>
      <c r="H807"/>
      <c r="I807" s="705">
        <f>+C792</f>
        <v>1</v>
      </c>
      <c r="J807" s="705">
        <f t="shared" ref="J807:S807" si="606">I807</f>
        <v>1</v>
      </c>
      <c r="K807" s="705">
        <f t="shared" si="606"/>
        <v>1</v>
      </c>
      <c r="L807" s="705">
        <f t="shared" si="606"/>
        <v>1</v>
      </c>
      <c r="M807" s="705">
        <f t="shared" si="606"/>
        <v>1</v>
      </c>
      <c r="N807" s="705">
        <f t="shared" si="606"/>
        <v>1</v>
      </c>
      <c r="O807" s="705">
        <f t="shared" si="606"/>
        <v>1</v>
      </c>
      <c r="P807" s="705">
        <f t="shared" si="606"/>
        <v>1</v>
      </c>
      <c r="Q807" s="705">
        <f t="shared" si="606"/>
        <v>1</v>
      </c>
      <c r="R807" s="705">
        <f t="shared" si="606"/>
        <v>1</v>
      </c>
      <c r="S807" s="705">
        <f t="shared" si="606"/>
        <v>1</v>
      </c>
      <c r="T807" s="341"/>
    </row>
    <row r="808" spans="1:20">
      <c r="A808" s="5" t="s">
        <v>1037</v>
      </c>
      <c r="B808"/>
      <c r="C808" s="276"/>
      <c r="D808" s="677" t="s">
        <v>1038</v>
      </c>
      <c r="E808"/>
      <c r="F808"/>
      <c r="G808" s="341" t="s">
        <v>1039</v>
      </c>
      <c r="H808"/>
      <c r="I808" s="205">
        <f ca="1">MAX(0,IF($D$808="Y",SUM(I804:I806)*I807,0))</f>
        <v>0</v>
      </c>
      <c r="J808" s="205">
        <f t="shared" ref="J808:S808" ca="1" si="607">MAX(0,IF($D$808="Y",SUM(J804:J806)*J807,0))</f>
        <v>0</v>
      </c>
      <c r="K808" s="205">
        <f t="shared" ca="1" si="607"/>
        <v>0</v>
      </c>
      <c r="L808" s="205">
        <f t="shared" ca="1" si="607"/>
        <v>0</v>
      </c>
      <c r="M808" s="205">
        <f t="shared" ca="1" si="607"/>
        <v>0</v>
      </c>
      <c r="N808" s="205">
        <f t="shared" ca="1" si="607"/>
        <v>0</v>
      </c>
      <c r="O808" s="205">
        <f t="shared" ca="1" si="607"/>
        <v>0</v>
      </c>
      <c r="P808" s="205">
        <f t="shared" ca="1" si="607"/>
        <v>0</v>
      </c>
      <c r="Q808" s="205">
        <f t="shared" ca="1" si="607"/>
        <v>0</v>
      </c>
      <c r="R808" s="205">
        <f t="shared" ca="1" si="607"/>
        <v>0</v>
      </c>
      <c r="S808" s="205">
        <f t="shared" ca="1" si="607"/>
        <v>0</v>
      </c>
      <c r="T808">
        <f ca="1">SUM(I808:S808)</f>
        <v>0</v>
      </c>
    </row>
    <row r="809" spans="1:20">
      <c r="B809"/>
      <c r="C809" s="276"/>
      <c r="D809"/>
      <c r="E809" t="s">
        <v>1040</v>
      </c>
      <c r="F809"/>
      <c r="G809"/>
      <c r="H809"/>
      <c r="I809"/>
      <c r="J809" s="745">
        <v>5.0999999999999997E-2</v>
      </c>
      <c r="K809" s="745">
        <v>5.2299999999999999E-2</v>
      </c>
      <c r="L809" s="745">
        <v>5.9400000000000001E-2</v>
      </c>
      <c r="M809" s="745">
        <v>6.3600000000000004E-2</v>
      </c>
      <c r="N809" s="745">
        <v>6.4699999999999994E-2</v>
      </c>
      <c r="O809" s="745">
        <v>6.5000000000000002E-2</v>
      </c>
      <c r="P809" s="745">
        <v>6.547E-2</v>
      </c>
      <c r="Q809" s="208"/>
      <c r="R809" s="208"/>
      <c r="S809" s="208"/>
      <c r="T809"/>
    </row>
    <row r="810" spans="1:20">
      <c r="B810"/>
      <c r="C810" s="276"/>
      <c r="D810"/>
      <c r="E810" s="339" t="s">
        <v>1041</v>
      </c>
      <c r="F810"/>
      <c r="G810"/>
      <c r="H810"/>
      <c r="I810" s="746" t="s">
        <v>1042</v>
      </c>
      <c r="J810">
        <f ca="1">+$J$808</f>
        <v>0</v>
      </c>
      <c r="K810">
        <f ca="1">+$J808*(1+K809)</f>
        <v>0</v>
      </c>
      <c r="L810">
        <f ca="1">+J808*((1+L809)*(1+K809))</f>
        <v>0</v>
      </c>
      <c r="M810">
        <f ca="1">+J808*((1+M809)*(1+L809)*(1+K809))</f>
        <v>0</v>
      </c>
      <c r="N810">
        <f ca="1">+J808*((1+N809)*(1+M809)*(1+L809)*(1+K809))</f>
        <v>0</v>
      </c>
      <c r="O810">
        <f ca="1">+J808*((1+O809)*(1+N809)*(1+M809)*(1+L809)*(1+K809))</f>
        <v>0</v>
      </c>
      <c r="P810">
        <f ca="1">+J808*((1+P$811)*(1+O$811)*(1+N$811)*(1+M$811)*(1+L$811)*(1+K$811))</f>
        <v>0</v>
      </c>
      <c r="Q810" s="208"/>
      <c r="R810" s="208"/>
      <c r="S810" s="208"/>
      <c r="T810"/>
    </row>
    <row r="811" spans="1:20">
      <c r="B811"/>
      <c r="C811" s="276"/>
      <c r="D811"/>
      <c r="E811" s="339"/>
      <c r="F811"/>
      <c r="G811"/>
      <c r="H811"/>
      <c r="I811" s="746" t="s">
        <v>1043</v>
      </c>
      <c r="J811"/>
      <c r="K811">
        <f ca="1">+K$808</f>
        <v>0</v>
      </c>
      <c r="L811">
        <f ca="1">+K808*(1+L809)</f>
        <v>0</v>
      </c>
      <c r="M811">
        <f ca="1">+K808*((1+M809)*(1+L809))</f>
        <v>0</v>
      </c>
      <c r="N811">
        <f ca="1">+K808*((1+N809)*(1+M809)*(1+L809))</f>
        <v>0</v>
      </c>
      <c r="O811">
        <f ca="1">+K808*((1+O809)*(1+N809)*(1+M809)*(1+L809))</f>
        <v>0</v>
      </c>
      <c r="P811">
        <f ca="1">+K808*((1+P809)*(1+O809)*(1+N809)*(1+M809)*(1+L809))</f>
        <v>0</v>
      </c>
      <c r="Q811" s="208"/>
      <c r="R811" s="208"/>
      <c r="S811" s="208"/>
      <c r="T811"/>
    </row>
    <row r="812" spans="1:20">
      <c r="B812"/>
      <c r="C812" s="276"/>
      <c r="D812"/>
      <c r="E812" s="339"/>
      <c r="F812"/>
      <c r="G812"/>
      <c r="H812"/>
      <c r="I812" s="746" t="s">
        <v>1044</v>
      </c>
      <c r="J812"/>
      <c r="K812"/>
      <c r="L812">
        <f ca="1">+L$808</f>
        <v>0</v>
      </c>
      <c r="M812">
        <f ca="1">+L808*(1+M809)</f>
        <v>0</v>
      </c>
      <c r="N812">
        <f ca="1">+L808*((1+N809)*(1+M809))</f>
        <v>0</v>
      </c>
      <c r="O812">
        <f ca="1">+L808*((1+O809)*(1+N809)*(1+M809))</f>
        <v>0</v>
      </c>
      <c r="P812">
        <f ca="1">+L808*((1+P809)*(1+O809)*(1+N809)*(1+M809))</f>
        <v>0</v>
      </c>
      <c r="Q812" s="208"/>
      <c r="R812" s="208"/>
      <c r="S812" s="208"/>
      <c r="T812"/>
    </row>
    <row r="813" spans="1:20">
      <c r="B813"/>
      <c r="C813" s="276"/>
      <c r="D813"/>
      <c r="E813" s="339"/>
      <c r="F813"/>
      <c r="G813"/>
      <c r="H813"/>
      <c r="I813" s="746" t="s">
        <v>1045</v>
      </c>
      <c r="J813"/>
      <c r="K813"/>
      <c r="L813"/>
      <c r="M813">
        <f ca="1">+M$808</f>
        <v>0</v>
      </c>
      <c r="N813">
        <f ca="1">+M808*(1+N809)</f>
        <v>0</v>
      </c>
      <c r="O813">
        <f ca="1">+M808*((1+O809)*(1+N809))</f>
        <v>0</v>
      </c>
      <c r="P813">
        <f ca="1">+M808*((1+P809)*(1+O809)*(1+N809))</f>
        <v>0</v>
      </c>
      <c r="Q813" s="208"/>
      <c r="R813" s="208"/>
      <c r="S813" s="208"/>
      <c r="T813"/>
    </row>
    <row r="814" spans="1:20">
      <c r="B814"/>
      <c r="C814" s="276"/>
      <c r="D814"/>
      <c r="E814" s="339"/>
      <c r="F814"/>
      <c r="G814"/>
      <c r="H814"/>
      <c r="I814" s="746" t="s">
        <v>1046</v>
      </c>
      <c r="J814"/>
      <c r="K814"/>
      <c r="L814"/>
      <c r="M814"/>
      <c r="N814">
        <f ca="1">+N$808</f>
        <v>0</v>
      </c>
      <c r="O814">
        <f ca="1">+N808*(1+O809)</f>
        <v>0</v>
      </c>
      <c r="P814">
        <f ca="1">+N808*((1+P809)*(1+O809))</f>
        <v>0</v>
      </c>
      <c r="Q814" s="208"/>
      <c r="R814" s="208"/>
      <c r="S814" s="208"/>
      <c r="T814"/>
    </row>
    <row r="815" spans="1:20">
      <c r="B815"/>
      <c r="C815" s="276"/>
      <c r="D815"/>
      <c r="E815"/>
      <c r="F815"/>
      <c r="G815"/>
      <c r="H815"/>
      <c r="I815" s="746" t="s">
        <v>1047</v>
      </c>
      <c r="J815"/>
      <c r="K815"/>
      <c r="L815"/>
      <c r="M815"/>
      <c r="N815"/>
      <c r="O815">
        <f ca="1">+O$808</f>
        <v>0</v>
      </c>
      <c r="P815">
        <f ca="1">+O808*(1+P809)</f>
        <v>0</v>
      </c>
      <c r="Q815" s="208"/>
      <c r="R815" s="208"/>
      <c r="S815" s="208"/>
      <c r="T815"/>
    </row>
    <row r="816" spans="1:20">
      <c r="B816"/>
      <c r="C816" s="276"/>
      <c r="D816"/>
      <c r="E816"/>
      <c r="F816"/>
      <c r="G816"/>
      <c r="H816"/>
      <c r="I816" s="746" t="s">
        <v>1048</v>
      </c>
      <c r="J816"/>
      <c r="K816"/>
      <c r="L816"/>
      <c r="M816"/>
      <c r="N816"/>
      <c r="O816"/>
      <c r="P816">
        <f ca="1">+P$808</f>
        <v>0</v>
      </c>
      <c r="Q816" s="208"/>
      <c r="R816" s="208"/>
      <c r="S816" s="208"/>
      <c r="T816"/>
    </row>
    <row r="817" spans="1:20">
      <c r="B817"/>
      <c r="C817" s="276"/>
      <c r="D817"/>
      <c r="E817" s="339" t="s">
        <v>1049</v>
      </c>
      <c r="F817"/>
      <c r="G817"/>
      <c r="H817"/>
      <c r="I817"/>
      <c r="J817" s="205">
        <f t="shared" ref="J817:P817" ca="1" si="608">SUM(J810:J816)</f>
        <v>0</v>
      </c>
      <c r="K817" s="205">
        <f t="shared" ca="1" si="608"/>
        <v>0</v>
      </c>
      <c r="L817" s="205">
        <f t="shared" ca="1" si="608"/>
        <v>0</v>
      </c>
      <c r="M817" s="205">
        <f t="shared" ca="1" si="608"/>
        <v>0</v>
      </c>
      <c r="N817" s="205">
        <f t="shared" ca="1" si="608"/>
        <v>0</v>
      </c>
      <c r="O817" s="205">
        <f t="shared" ca="1" si="608"/>
        <v>0</v>
      </c>
      <c r="P817" s="205">
        <f t="shared" ca="1" si="608"/>
        <v>0</v>
      </c>
      <c r="Q817" s="208"/>
      <c r="R817" s="208"/>
      <c r="S817" s="208"/>
      <c r="T817"/>
    </row>
    <row r="818" spans="1:20">
      <c r="B818"/>
      <c r="C818" s="276"/>
      <c r="D818"/>
      <c r="E818" t="s">
        <v>1050</v>
      </c>
      <c r="F818"/>
      <c r="G818"/>
      <c r="H818"/>
      <c r="I818"/>
      <c r="J818" s="705">
        <f>+C792</f>
        <v>1</v>
      </c>
      <c r="K818" s="705">
        <f t="shared" ref="K818:P818" si="609">J818</f>
        <v>1</v>
      </c>
      <c r="L818" s="705">
        <f t="shared" si="609"/>
        <v>1</v>
      </c>
      <c r="M818" s="705">
        <f t="shared" si="609"/>
        <v>1</v>
      </c>
      <c r="N818" s="705">
        <f t="shared" si="609"/>
        <v>1</v>
      </c>
      <c r="O818" s="705">
        <f t="shared" si="609"/>
        <v>1</v>
      </c>
      <c r="P818" s="705">
        <f t="shared" si="609"/>
        <v>1</v>
      </c>
      <c r="Q818" s="208"/>
      <c r="R818" s="208"/>
      <c r="S818" s="208"/>
      <c r="T818"/>
    </row>
    <row r="819" spans="1:20">
      <c r="B819"/>
      <c r="C819" s="276"/>
      <c r="D819"/>
      <c r="E819" s="339" t="s">
        <v>1051</v>
      </c>
      <c r="F819"/>
      <c r="G819"/>
      <c r="H819"/>
      <c r="I819"/>
      <c r="J819" s="620">
        <f t="shared" ref="J819:P819" ca="1" si="610">+J817*J818</f>
        <v>0</v>
      </c>
      <c r="K819" s="620">
        <f t="shared" ca="1" si="610"/>
        <v>0</v>
      </c>
      <c r="L819" s="620">
        <f t="shared" ca="1" si="610"/>
        <v>0</v>
      </c>
      <c r="M819" s="620">
        <f t="shared" ca="1" si="610"/>
        <v>0</v>
      </c>
      <c r="N819" s="620">
        <f t="shared" ca="1" si="610"/>
        <v>0</v>
      </c>
      <c r="O819" s="620">
        <f t="shared" ca="1" si="610"/>
        <v>0</v>
      </c>
      <c r="P819" s="620">
        <f t="shared" ca="1" si="610"/>
        <v>0</v>
      </c>
      <c r="Q819" s="208"/>
      <c r="R819" s="208"/>
      <c r="S819" s="208"/>
      <c r="T819"/>
    </row>
    <row r="820" spans="1:20">
      <c r="B820"/>
      <c r="C820" s="276"/>
      <c r="D820"/>
      <c r="E820"/>
      <c r="F820"/>
      <c r="G820" s="341"/>
      <c r="H820"/>
      <c r="I820" s="208"/>
      <c r="J820" s="208"/>
      <c r="K820" s="208"/>
      <c r="L820" s="208"/>
      <c r="M820" s="208"/>
      <c r="N820" s="208"/>
      <c r="O820" s="208"/>
      <c r="P820" s="208"/>
      <c r="Q820" s="208"/>
      <c r="R820" s="208"/>
      <c r="S820" s="208"/>
      <c r="T820"/>
    </row>
    <row r="821" spans="1:20">
      <c r="B821"/>
      <c r="C821" s="276"/>
      <c r="D821"/>
      <c r="E821"/>
      <c r="F821"/>
      <c r="G821" s="341"/>
      <c r="H821"/>
      <c r="I821" s="208"/>
      <c r="J821" s="208"/>
      <c r="K821" s="208"/>
      <c r="L821" s="208"/>
      <c r="M821" s="208"/>
      <c r="N821" s="208"/>
      <c r="O821" s="208"/>
      <c r="P821" s="208"/>
      <c r="Q821" s="208"/>
      <c r="R821" s="208"/>
      <c r="S821" s="208"/>
      <c r="T821"/>
    </row>
    <row r="822" spans="1:20">
      <c r="A822" s="747" t="s">
        <v>1052</v>
      </c>
      <c r="B822" s="747"/>
      <c r="C822" s="747"/>
      <c r="D822" s="739"/>
      <c r="E822" s="741"/>
      <c r="F822" s="741"/>
      <c r="G822" s="741"/>
      <c r="H822" s="741"/>
      <c r="I822" s="208"/>
      <c r="J822" s="208"/>
      <c r="K822" s="208"/>
      <c r="L822" s="208"/>
      <c r="M822" s="208"/>
      <c r="N822" s="208"/>
      <c r="O822" s="208"/>
      <c r="P822" s="208"/>
      <c r="Q822" s="208"/>
      <c r="R822" s="208"/>
      <c r="S822" s="208"/>
      <c r="T822"/>
    </row>
    <row r="823" spans="1:20" ht="12" thickBot="1">
      <c r="B823"/>
      <c r="C823" s="276"/>
      <c r="D823"/>
      <c r="E823"/>
      <c r="F823"/>
      <c r="G823" s="341"/>
      <c r="H823"/>
      <c r="I823" s="208"/>
      <c r="J823" s="208"/>
      <c r="K823" s="208"/>
      <c r="L823" s="208"/>
      <c r="M823" s="208"/>
      <c r="N823" s="208"/>
      <c r="O823" s="208"/>
      <c r="P823" s="208"/>
      <c r="Q823" s="208"/>
      <c r="R823" s="208"/>
      <c r="S823" s="208"/>
      <c r="T823"/>
    </row>
    <row r="824" spans="1:20" ht="12.75" thickTop="1" thickBot="1">
      <c r="B824"/>
      <c r="C824" s="276"/>
      <c r="D824"/>
      <c r="E824"/>
      <c r="F824" s="224" t="s">
        <v>1004</v>
      </c>
      <c r="H824"/>
      <c r="I824"/>
      <c r="J824" s="632" t="s">
        <v>1024</v>
      </c>
      <c r="K824" s="632" t="s">
        <v>1025</v>
      </c>
      <c r="L824" s="188" t="s">
        <v>1005</v>
      </c>
      <c r="M824" s="632" t="s">
        <v>1006</v>
      </c>
      <c r="N824" s="188" t="s">
        <v>1007</v>
      </c>
      <c r="O824" s="632" t="s">
        <v>1026</v>
      </c>
      <c r="P824" s="632" t="s">
        <v>1027</v>
      </c>
      <c r="Q824" s="208"/>
      <c r="R824" s="208"/>
      <c r="S824" s="208"/>
      <c r="T824"/>
    </row>
    <row r="825" spans="1:20" ht="12" thickTop="1">
      <c r="B825"/>
      <c r="C825" s="276"/>
      <c r="D825"/>
      <c r="E825"/>
      <c r="F825" s="74" t="s">
        <v>1010</v>
      </c>
      <c r="H825"/>
      <c r="I825"/>
      <c r="J825" s="90">
        <f t="shared" ref="J825:P825" ca="1" si="611">J29</f>
        <v>14380.390849646319</v>
      </c>
      <c r="K825" s="90">
        <f t="shared" ca="1" si="611"/>
        <v>7859.9905038043653</v>
      </c>
      <c r="L825" s="90">
        <f t="shared" ca="1" si="611"/>
        <v>4482.4191769391346</v>
      </c>
      <c r="M825" s="90">
        <f t="shared" ca="1" si="611"/>
        <v>4159.3653845045455</v>
      </c>
      <c r="N825" s="90">
        <f t="shared" ca="1" si="611"/>
        <v>3750.0394139646587</v>
      </c>
      <c r="O825" s="90">
        <f t="shared" ca="1" si="611"/>
        <v>3260.9577212852155</v>
      </c>
      <c r="P825" s="90">
        <f t="shared" ca="1" si="611"/>
        <v>2792.0396363084305</v>
      </c>
      <c r="Q825" s="208"/>
      <c r="R825" s="208"/>
      <c r="S825" s="208"/>
      <c r="T825"/>
    </row>
    <row r="826" spans="1:20">
      <c r="B826"/>
      <c r="C826" s="276"/>
      <c r="D826"/>
      <c r="E826"/>
      <c r="F826" s="83" t="s">
        <v>1053</v>
      </c>
      <c r="H826"/>
      <c r="I826"/>
      <c r="J826" s="717">
        <v>6.4691840111464609</v>
      </c>
      <c r="K826" s="717">
        <v>6.3309591384755244</v>
      </c>
      <c r="L826" s="717">
        <v>6.1768644957870062</v>
      </c>
      <c r="M826" s="717">
        <v>6.0179487501703441</v>
      </c>
      <c r="N826" s="717">
        <v>5.9258878671658266</v>
      </c>
      <c r="O826" s="717">
        <v>5.8780295055558138</v>
      </c>
      <c r="P826" s="717">
        <v>5.8676873752603589</v>
      </c>
      <c r="Q826" s="208"/>
      <c r="R826" s="208"/>
      <c r="S826" s="208"/>
      <c r="T826"/>
    </row>
    <row r="827" spans="1:20">
      <c r="B827"/>
      <c r="C827" s="276"/>
      <c r="D827"/>
      <c r="E827"/>
      <c r="F827" s="74" t="s">
        <v>1012</v>
      </c>
      <c r="H827"/>
      <c r="I827"/>
      <c r="J827" s="92">
        <f t="shared" ref="J827:P827" ca="1" si="612">J825*J826</f>
        <v>93029.394558568834</v>
      </c>
      <c r="K827" s="92">
        <f t="shared" ca="1" si="612"/>
        <v>49761.278708391088</v>
      </c>
      <c r="L827" s="92">
        <f t="shared" ca="1" si="612"/>
        <v>27687.295869270154</v>
      </c>
      <c r="M827" s="92">
        <f t="shared" ca="1" si="612"/>
        <v>25030.847717180925</v>
      </c>
      <c r="N827" s="92">
        <f t="shared" ca="1" si="612"/>
        <v>22222.313064606817</v>
      </c>
      <c r="O827" s="92">
        <f t="shared" ca="1" si="612"/>
        <v>19168.005702084549</v>
      </c>
      <c r="P827" s="92">
        <f t="shared" ca="1" si="612"/>
        <v>16382.815725193503</v>
      </c>
      <c r="Q827" s="208"/>
      <c r="R827" s="208"/>
      <c r="S827" s="208"/>
      <c r="T827"/>
    </row>
    <row r="828" spans="1:20">
      <c r="B828"/>
      <c r="C828" s="276"/>
      <c r="D828"/>
      <c r="E828"/>
      <c r="F828" s="74" t="s">
        <v>1013</v>
      </c>
      <c r="H828"/>
      <c r="I828"/>
      <c r="Q828" s="208"/>
      <c r="R828" s="208"/>
      <c r="S828" s="208"/>
      <c r="T828"/>
    </row>
    <row r="829" spans="1:20">
      <c r="B829"/>
      <c r="C829" s="276"/>
      <c r="D829"/>
      <c r="E829"/>
      <c r="F829" s="74" t="s">
        <v>1014</v>
      </c>
      <c r="H829"/>
      <c r="I829"/>
      <c r="J829" s="90">
        <f t="shared" ref="J829:P829" ca="1" si="613">J195+J196+J199+J200+J202+J208</f>
        <v>0</v>
      </c>
      <c r="K829" s="90">
        <f t="shared" ca="1" si="613"/>
        <v>0</v>
      </c>
      <c r="L829" s="90">
        <f t="shared" ca="1" si="613"/>
        <v>0</v>
      </c>
      <c r="M829" s="90">
        <f t="shared" ca="1" si="613"/>
        <v>0</v>
      </c>
      <c r="N829" s="90">
        <f t="shared" ca="1" si="613"/>
        <v>0</v>
      </c>
      <c r="O829" s="90">
        <f t="shared" ca="1" si="613"/>
        <v>0</v>
      </c>
      <c r="P829" s="90">
        <f t="shared" ca="1" si="613"/>
        <v>0</v>
      </c>
      <c r="Q829" s="208"/>
      <c r="R829" s="208"/>
      <c r="S829" s="208"/>
      <c r="T829"/>
    </row>
    <row r="830" spans="1:20">
      <c r="B830"/>
      <c r="C830" s="276"/>
      <c r="D830"/>
      <c r="E830"/>
      <c r="F830" s="74" t="s">
        <v>1015</v>
      </c>
      <c r="H830"/>
      <c r="I830"/>
      <c r="J830" s="90"/>
      <c r="K830" s="90"/>
      <c r="L830" s="90"/>
      <c r="M830" s="90"/>
      <c r="N830" s="90"/>
      <c r="O830" s="90"/>
      <c r="P830" s="90"/>
      <c r="Q830" s="208"/>
      <c r="R830" s="208"/>
      <c r="S830" s="208"/>
      <c r="T830"/>
    </row>
    <row r="831" spans="1:20">
      <c r="B831"/>
      <c r="C831" s="276"/>
      <c r="D831"/>
      <c r="E831"/>
      <c r="F831" s="74" t="s">
        <v>1016</v>
      </c>
      <c r="H831"/>
      <c r="I831"/>
      <c r="J831" s="90">
        <f t="shared" ref="J831:P831" ca="1" si="614">J168-J450</f>
        <v>5738.0804833465427</v>
      </c>
      <c r="K831" s="90">
        <f t="shared" ca="1" si="614"/>
        <v>10189.817411743868</v>
      </c>
      <c r="L831" s="90">
        <f t="shared" ca="1" si="614"/>
        <v>14227.925486116394</v>
      </c>
      <c r="M831" s="90">
        <f t="shared" ca="1" si="614"/>
        <v>18178.888674765869</v>
      </c>
      <c r="N831" s="90">
        <f t="shared" ca="1" si="614"/>
        <v>21937.941700404466</v>
      </c>
      <c r="O831" s="90">
        <f t="shared" ca="1" si="614"/>
        <v>25406.097363621549</v>
      </c>
      <c r="P831" s="90">
        <f t="shared" ca="1" si="614"/>
        <v>28656.145205809979</v>
      </c>
      <c r="Q831" s="208"/>
      <c r="R831" s="208"/>
      <c r="S831" s="208"/>
      <c r="T831"/>
    </row>
    <row r="832" spans="1:20">
      <c r="B832"/>
      <c r="C832" s="276"/>
      <c r="D832"/>
      <c r="E832"/>
      <c r="F832" s="83" t="s">
        <v>1017</v>
      </c>
      <c r="H832"/>
      <c r="I832"/>
      <c r="J832" s="92">
        <f t="shared" ref="J832:P832" ca="1" si="615">MAX(J827-J829+J831,0)</f>
        <v>98767.475041915372</v>
      </c>
      <c r="K832" s="92">
        <f t="shared" ca="1" si="615"/>
        <v>59951.096120134956</v>
      </c>
      <c r="L832" s="92">
        <f t="shared" ca="1" si="615"/>
        <v>41915.221355386544</v>
      </c>
      <c r="M832" s="92">
        <f t="shared" ca="1" si="615"/>
        <v>43209.73639194679</v>
      </c>
      <c r="N832" s="92">
        <f t="shared" ca="1" si="615"/>
        <v>44160.254765011283</v>
      </c>
      <c r="O832" s="92">
        <f t="shared" ca="1" si="615"/>
        <v>44574.103065706098</v>
      </c>
      <c r="P832" s="92">
        <f t="shared" ca="1" si="615"/>
        <v>45038.960931003479</v>
      </c>
      <c r="Q832" s="208"/>
      <c r="R832" s="208"/>
      <c r="S832" s="208"/>
      <c r="T832"/>
    </row>
    <row r="833" spans="1:25">
      <c r="B833"/>
      <c r="C833" s="276"/>
      <c r="D833"/>
      <c r="E833"/>
      <c r="F833" s="308" t="s">
        <v>1054</v>
      </c>
      <c r="G833"/>
      <c r="H833"/>
      <c r="I833" s="341"/>
      <c r="J833" s="635">
        <f t="shared" ref="J833:P833" si="616">J818</f>
        <v>1</v>
      </c>
      <c r="K833" s="635">
        <f t="shared" si="616"/>
        <v>1</v>
      </c>
      <c r="L833" s="635">
        <f t="shared" si="616"/>
        <v>1</v>
      </c>
      <c r="M833" s="635">
        <f t="shared" si="616"/>
        <v>1</v>
      </c>
      <c r="N833" s="635">
        <f t="shared" si="616"/>
        <v>1</v>
      </c>
      <c r="O833" s="635">
        <f t="shared" si="616"/>
        <v>1</v>
      </c>
      <c r="P833" s="635">
        <f t="shared" si="616"/>
        <v>1</v>
      </c>
      <c r="Q833" s="208"/>
      <c r="R833" s="208"/>
      <c r="S833" s="208"/>
      <c r="T833"/>
    </row>
    <row r="834" spans="1:25" ht="12" thickBot="1">
      <c r="B834"/>
      <c r="C834" s="276"/>
      <c r="D834"/>
      <c r="E834"/>
      <c r="F834" s="83" t="s">
        <v>1022</v>
      </c>
      <c r="H834"/>
      <c r="I834"/>
      <c r="J834" s="101">
        <f t="shared" ref="J834:P834" ca="1" si="617">+J832*J833</f>
        <v>98767.475041915372</v>
      </c>
      <c r="K834" s="101">
        <f t="shared" ca="1" si="617"/>
        <v>59951.096120134956</v>
      </c>
      <c r="L834" s="101">
        <f t="shared" ca="1" si="617"/>
        <v>41915.221355386544</v>
      </c>
      <c r="M834" s="101">
        <f t="shared" ca="1" si="617"/>
        <v>43209.73639194679</v>
      </c>
      <c r="N834" s="101">
        <f t="shared" ca="1" si="617"/>
        <v>44160.254765011283</v>
      </c>
      <c r="O834" s="101">
        <f t="shared" ca="1" si="617"/>
        <v>44574.103065706098</v>
      </c>
      <c r="P834" s="101">
        <f t="shared" ca="1" si="617"/>
        <v>45038.960931003479</v>
      </c>
      <c r="Q834" s="208"/>
      <c r="R834" s="208"/>
      <c r="S834" s="208"/>
      <c r="T834"/>
    </row>
    <row r="835" spans="1:25" ht="12" thickTop="1">
      <c r="B835"/>
      <c r="C835" s="276"/>
      <c r="D835"/>
      <c r="E835"/>
      <c r="F835"/>
      <c r="G835"/>
      <c r="H835"/>
      <c r="I835" s="83"/>
      <c r="K835"/>
      <c r="L835" s="115"/>
      <c r="M835" s="115"/>
      <c r="N835" s="115"/>
      <c r="O835" s="115"/>
      <c r="P835" s="115"/>
      <c r="Q835" s="208"/>
      <c r="R835" s="208"/>
      <c r="S835" s="208"/>
      <c r="T835"/>
    </row>
    <row r="836" spans="1:25" ht="12" thickBot="1">
      <c r="B836"/>
      <c r="C836" s="276"/>
      <c r="D836"/>
      <c r="E836"/>
      <c r="F836"/>
      <c r="G836"/>
      <c r="H836"/>
      <c r="I836" s="83"/>
      <c r="K836"/>
      <c r="L836" s="115"/>
      <c r="M836" s="115"/>
      <c r="N836" s="115"/>
      <c r="O836" s="115"/>
      <c r="P836" s="115"/>
      <c r="Q836" s="208"/>
      <c r="R836" s="208"/>
      <c r="S836" s="208"/>
      <c r="T836"/>
    </row>
    <row r="837" spans="1:25" ht="12.75" thickTop="1" thickBot="1">
      <c r="B837"/>
      <c r="C837" s="276"/>
      <c r="D837"/>
      <c r="E837"/>
      <c r="F837" t="s">
        <v>1055</v>
      </c>
      <c r="G837"/>
      <c r="H837"/>
      <c r="I837" s="239">
        <f t="shared" ref="I837:P837" ca="1" si="618">I172</f>
        <v>0</v>
      </c>
      <c r="J837" s="239">
        <f t="shared" ca="1" si="618"/>
        <v>5738.0804833465427</v>
      </c>
      <c r="K837" s="239">
        <f t="shared" ca="1" si="618"/>
        <v>10189.817411743868</v>
      </c>
      <c r="L837" s="239">
        <f t="shared" ca="1" si="618"/>
        <v>14227.925486116394</v>
      </c>
      <c r="M837" s="239">
        <f t="shared" ca="1" si="618"/>
        <v>18178.888674765869</v>
      </c>
      <c r="N837" s="239">
        <f t="shared" ca="1" si="618"/>
        <v>21937.941700404466</v>
      </c>
      <c r="O837" s="239">
        <f t="shared" ca="1" si="618"/>
        <v>25406.097363621549</v>
      </c>
      <c r="P837" s="239">
        <f t="shared" ca="1" si="618"/>
        <v>28656.145205809979</v>
      </c>
      <c r="Q837" s="208"/>
      <c r="R837" s="208"/>
      <c r="S837" s="208"/>
      <c r="T837"/>
    </row>
    <row r="838" spans="1:25" ht="12" thickTop="1">
      <c r="B838"/>
      <c r="C838" s="276"/>
      <c r="D838"/>
      <c r="E838"/>
      <c r="F838" t="s">
        <v>1056</v>
      </c>
      <c r="G838"/>
      <c r="H838"/>
      <c r="I838" s="748">
        <v>-95000</v>
      </c>
      <c r="J838" s="749">
        <f ca="1">IF(J819&gt;1,J819,J834)</f>
        <v>98767.475041915372</v>
      </c>
      <c r="K838" s="749">
        <f ca="1">IF(SUM($J819:K819)&gt;1,K819,K834)</f>
        <v>59951.096120134956</v>
      </c>
      <c r="L838" s="749">
        <f ca="1">IF(SUM($J819:L819)&gt;1,L819,L834)</f>
        <v>41915.221355386544</v>
      </c>
      <c r="M838" s="749">
        <f ca="1">IF(SUM($J819:N819)&gt;1,M819,M834)</f>
        <v>43209.73639194679</v>
      </c>
      <c r="N838" s="749">
        <f ca="1">IF(SUM($J819:N819)&gt;1,N819,N834)</f>
        <v>44160.254765011283</v>
      </c>
      <c r="O838" s="749">
        <f ca="1">IF(SUM($J819:O819)&gt;1,O819,O834)</f>
        <v>44574.103065706098</v>
      </c>
      <c r="P838" s="749">
        <f ca="1">IF(SUM($J819:P819)&gt;1,P819,P834)</f>
        <v>45038.960931003479</v>
      </c>
      <c r="Q838" s="208"/>
      <c r="R838" s="208"/>
      <c r="S838" s="208"/>
      <c r="T838"/>
    </row>
    <row r="839" spans="1:25">
      <c r="B839"/>
      <c r="C839" s="276"/>
      <c r="D839"/>
      <c r="E839"/>
      <c r="F839"/>
      <c r="G839" s="341"/>
      <c r="H839"/>
      <c r="I839" s="208"/>
      <c r="J839" s="208"/>
      <c r="K839" s="208"/>
      <c r="L839" s="208"/>
      <c r="M839" s="208"/>
      <c r="N839" s="208"/>
      <c r="O839" s="208"/>
      <c r="P839" s="208"/>
      <c r="Q839" s="208"/>
      <c r="R839" s="208"/>
      <c r="S839" s="208"/>
      <c r="T839"/>
    </row>
    <row r="840" spans="1:25">
      <c r="B840"/>
      <c r="C840" s="276"/>
      <c r="D840"/>
      <c r="E840"/>
      <c r="F840"/>
      <c r="G840" s="341"/>
      <c r="H840"/>
      <c r="I840" s="208"/>
      <c r="J840" s="208"/>
      <c r="K840" s="208"/>
      <c r="L840" s="208"/>
      <c r="M840" s="208"/>
      <c r="N840" s="208"/>
      <c r="O840" s="208"/>
      <c r="P840" s="208"/>
      <c r="Q840" s="208"/>
      <c r="R840" s="208"/>
      <c r="S840" s="208"/>
      <c r="T840"/>
    </row>
    <row r="841" spans="1:25">
      <c r="B841"/>
      <c r="C841" s="276"/>
      <c r="D841"/>
      <c r="E841"/>
      <c r="F841"/>
      <c r="G841" s="341"/>
      <c r="H841"/>
      <c r="I841" s="208"/>
      <c r="J841" s="208"/>
      <c r="K841" s="208"/>
      <c r="L841" s="208"/>
      <c r="M841" s="208"/>
      <c r="N841" s="208"/>
      <c r="O841" s="208"/>
      <c r="P841" s="208"/>
      <c r="Q841" s="208"/>
      <c r="R841" s="208"/>
      <c r="S841" s="208"/>
      <c r="T841"/>
    </row>
    <row r="842" spans="1:25">
      <c r="A842" s="738" t="s">
        <v>1057</v>
      </c>
      <c r="B842" s="747"/>
      <c r="C842" s="747"/>
      <c r="D842" s="739"/>
      <c r="E842" s="741"/>
      <c r="F842" s="741"/>
      <c r="G842" s="741"/>
      <c r="H842" s="741"/>
      <c r="I842" s="208"/>
      <c r="J842" s="208"/>
      <c r="K842" s="208"/>
      <c r="L842" s="208"/>
      <c r="M842" s="208"/>
      <c r="N842" s="208"/>
      <c r="O842" s="208"/>
      <c r="P842" s="208"/>
      <c r="Q842" s="208"/>
      <c r="R842" s="208"/>
      <c r="S842" s="208"/>
      <c r="T842"/>
    </row>
    <row r="843" spans="1:25">
      <c r="A843" s="74"/>
      <c r="C843" s="276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25" ht="12" thickBot="1">
      <c r="A844"/>
      <c r="C844" s="276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25" ht="12.75" thickTop="1" thickBot="1">
      <c r="A845"/>
      <c r="E845" s="55"/>
      <c r="G845" s="284" t="str">
        <f>L786</f>
        <v>Year 3</v>
      </c>
      <c r="H845" s="215"/>
      <c r="I845" s="237" t="s">
        <v>1058</v>
      </c>
      <c r="J845" s="237"/>
      <c r="K845" s="237"/>
      <c r="L845" s="237"/>
      <c r="M845" s="237"/>
      <c r="N845" s="237"/>
      <c r="O845" s="237"/>
      <c r="P845" s="237"/>
      <c r="Q845" s="237"/>
      <c r="R845" s="237"/>
      <c r="S845" s="237"/>
    </row>
    <row r="846" spans="1:25" ht="12.75" thickTop="1" thickBot="1">
      <c r="A846"/>
      <c r="B846"/>
      <c r="C846"/>
      <c r="D846"/>
      <c r="E846"/>
      <c r="G846" s="285" t="s">
        <v>1059</v>
      </c>
      <c r="H846" s="239">
        <f t="shared" ref="H846:S846" ca="1" si="619">H170</f>
        <v>36341</v>
      </c>
      <c r="I846" s="239">
        <f t="shared" si="619"/>
        <v>36525</v>
      </c>
      <c r="J846" s="239">
        <f t="shared" si="619"/>
        <v>36891</v>
      </c>
      <c r="K846" s="239">
        <f t="shared" si="619"/>
        <v>37256</v>
      </c>
      <c r="L846" s="239">
        <f t="shared" si="619"/>
        <v>37621</v>
      </c>
      <c r="M846" s="239">
        <f t="shared" si="619"/>
        <v>37986</v>
      </c>
      <c r="N846" s="239">
        <f t="shared" si="619"/>
        <v>38352</v>
      </c>
      <c r="O846" s="239">
        <f t="shared" si="619"/>
        <v>38717</v>
      </c>
      <c r="P846" s="239">
        <f t="shared" si="619"/>
        <v>39082</v>
      </c>
      <c r="Q846" s="239">
        <f t="shared" si="619"/>
        <v>39447</v>
      </c>
      <c r="R846" s="239">
        <f t="shared" si="619"/>
        <v>39813</v>
      </c>
      <c r="S846" s="239">
        <f t="shared" si="619"/>
        <v>40178</v>
      </c>
      <c r="T846"/>
      <c r="U846"/>
      <c r="V846"/>
      <c r="W846"/>
      <c r="X846"/>
      <c r="Y846"/>
    </row>
    <row r="847" spans="1:25" ht="12" thickTop="1">
      <c r="A847"/>
      <c r="B847"/>
      <c r="C847"/>
      <c r="D847"/>
      <c r="E847"/>
      <c r="G847" s="240" t="str">
        <f>A788</f>
        <v>Term Loan</v>
      </c>
      <c r="H847" s="183">
        <f>-H338</f>
        <v>0</v>
      </c>
      <c r="I847" s="135">
        <f ca="1">I243+I244+I242+I246*I241*$C$328</f>
        <v>0</v>
      </c>
      <c r="J847" s="135">
        <f ca="1">J243+J244+J242+J246*J241</f>
        <v>0</v>
      </c>
      <c r="K847" s="135">
        <f ca="1">K243+K244+K242+K246*K241</f>
        <v>0</v>
      </c>
      <c r="L847" s="135">
        <f ca="1">L243+L244+L242+L246*L241+L796*C788</f>
        <v>0</v>
      </c>
      <c r="M847" s="135">
        <f t="shared" ref="M847:R847" ca="1" si="620">M243+M244+M242+M246*M241</f>
        <v>0</v>
      </c>
      <c r="N847" s="135">
        <f t="shared" ca="1" si="620"/>
        <v>0</v>
      </c>
      <c r="O847" s="135">
        <f t="shared" ca="1" si="620"/>
        <v>0</v>
      </c>
      <c r="P847" s="135">
        <f t="shared" ca="1" si="620"/>
        <v>0</v>
      </c>
      <c r="Q847" s="135">
        <f t="shared" ca="1" si="620"/>
        <v>0</v>
      </c>
      <c r="R847" s="135">
        <f t="shared" ca="1" si="620"/>
        <v>0</v>
      </c>
      <c r="S847" s="135">
        <f ca="1">S243+S244+S242+S246*S241+S245</f>
        <v>0</v>
      </c>
    </row>
    <row r="848" spans="1:25">
      <c r="A848"/>
      <c r="B848"/>
      <c r="C848"/>
      <c r="D848"/>
      <c r="E848"/>
      <c r="G848" s="240" t="str">
        <f>A789</f>
        <v>Sr Sub Notes</v>
      </c>
      <c r="H848" s="91">
        <f>-H343</f>
        <v>0</v>
      </c>
      <c r="I848" s="90">
        <f ca="1">I278+I279+I97+I519</f>
        <v>0</v>
      </c>
      <c r="J848" s="90">
        <f t="shared" ref="J848:R848" ca="1" si="621">J278+J279+J97+J519</f>
        <v>0</v>
      </c>
      <c r="K848" s="90">
        <f t="shared" ca="1" si="621"/>
        <v>0</v>
      </c>
      <c r="L848" s="90">
        <f ca="1">L278+L279+L97+L519+L796*C789</f>
        <v>0</v>
      </c>
      <c r="M848" s="90">
        <f t="shared" ca="1" si="621"/>
        <v>0</v>
      </c>
      <c r="N848" s="90">
        <f t="shared" ca="1" si="621"/>
        <v>0</v>
      </c>
      <c r="O848" s="90">
        <f t="shared" ca="1" si="621"/>
        <v>0</v>
      </c>
      <c r="P848" s="90">
        <f t="shared" ca="1" si="621"/>
        <v>0</v>
      </c>
      <c r="Q848" s="90">
        <f t="shared" ca="1" si="621"/>
        <v>0</v>
      </c>
      <c r="R848" s="90">
        <f t="shared" ca="1" si="621"/>
        <v>0</v>
      </c>
      <c r="S848" s="90">
        <f ca="1">S278+S279+S97+S519+S280</f>
        <v>0</v>
      </c>
    </row>
    <row r="849" spans="1:25">
      <c r="A849"/>
      <c r="B849"/>
      <c r="C849"/>
      <c r="D849"/>
      <c r="E849"/>
      <c r="G849" s="240" t="str">
        <f>A790</f>
        <v>Jr. Sub Notes</v>
      </c>
      <c r="H849" s="91">
        <f>-H344</f>
        <v>0</v>
      </c>
      <c r="I849" s="90">
        <f ca="1">I98+I522+I527</f>
        <v>0</v>
      </c>
      <c r="J849" s="90">
        <f ca="1">J98+J522+J527</f>
        <v>0</v>
      </c>
      <c r="K849" s="90">
        <f ca="1">K98+K522+K527</f>
        <v>0</v>
      </c>
      <c r="L849" s="90">
        <f ca="1">L98+L522+L527+L796*C790</f>
        <v>0</v>
      </c>
      <c r="M849" s="90">
        <f t="shared" ref="M849:R849" ca="1" si="622">M98+M522+M527</f>
        <v>0</v>
      </c>
      <c r="N849" s="90">
        <f t="shared" ca="1" si="622"/>
        <v>0</v>
      </c>
      <c r="O849" s="90">
        <f t="shared" ca="1" si="622"/>
        <v>0</v>
      </c>
      <c r="P849" s="90">
        <f t="shared" ca="1" si="622"/>
        <v>0</v>
      </c>
      <c r="Q849" s="90">
        <f t="shared" ca="1" si="622"/>
        <v>0</v>
      </c>
      <c r="R849" s="90">
        <f t="shared" ca="1" si="622"/>
        <v>0</v>
      </c>
      <c r="S849" s="90">
        <f ca="1">S98+S522+S527+S286</f>
        <v>0</v>
      </c>
    </row>
    <row r="850" spans="1:25">
      <c r="A850"/>
      <c r="B850"/>
      <c r="C850"/>
      <c r="D850"/>
      <c r="E850"/>
      <c r="G850" s="240" t="str">
        <f>A791</f>
        <v>Preferred Stock</v>
      </c>
      <c r="H850" s="91">
        <f>-H345</f>
        <v>0</v>
      </c>
      <c r="I850" s="5">
        <f ca="1">I109-I533+I529</f>
        <v>0</v>
      </c>
      <c r="J850" s="5">
        <f ca="1">J109-J533+J529</f>
        <v>0</v>
      </c>
      <c r="K850" s="5">
        <f ca="1">K109-K533+K529</f>
        <v>0</v>
      </c>
      <c r="L850" s="5">
        <f ca="1">L109-L533+L529+L796*C791+L292</f>
        <v>0</v>
      </c>
    </row>
    <row r="851" spans="1:25">
      <c r="A851"/>
      <c r="B851"/>
      <c r="C851"/>
      <c r="D851"/>
      <c r="E851" s="704" t="e">
        <f ca="1">XIRR(H851:L851,H846:L846)</f>
        <v>#NUM!</v>
      </c>
      <c r="G851" s="240" t="str">
        <f>A792</f>
        <v>Common Stock</v>
      </c>
      <c r="H851" s="736">
        <f>-H346</f>
        <v>0</v>
      </c>
      <c r="I851" s="737">
        <f ca="1">IF($I$808&gt;0,I808,(I112+I536)*C792)</f>
        <v>0</v>
      </c>
      <c r="J851" s="737">
        <f ca="1">IF(I808&gt;0,0,IF(J808&gt;0,J808,(J112+J536)*C792))</f>
        <v>0</v>
      </c>
      <c r="K851" s="737">
        <f ca="1">IF(SUM(I808:J808)&gt;0,0,IF(K808&gt;0,K808,(K112+K536)*C792))</f>
        <v>0</v>
      </c>
      <c r="L851" s="737">
        <f ca="1">IF(SUM(I808:K808)&gt;0,0,(IF(L808&gt;0,L808,(L112+L536+L796*C792))))</f>
        <v>41915.221355386544</v>
      </c>
      <c r="M851" s="90"/>
      <c r="N851" s="90"/>
      <c r="O851" s="90"/>
      <c r="P851" s="90"/>
      <c r="Q851" s="90"/>
      <c r="R851" s="90"/>
      <c r="S851" s="90"/>
    </row>
    <row r="852" spans="1:25" ht="12" thickBot="1">
      <c r="A852"/>
      <c r="B852"/>
      <c r="C852"/>
      <c r="D852"/>
      <c r="E852"/>
      <c r="G852" s="240"/>
      <c r="H852" s="115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</row>
    <row r="853" spans="1:25" ht="12.75" thickTop="1" thickBot="1">
      <c r="A853"/>
      <c r="B853"/>
      <c r="C853"/>
      <c r="D853"/>
      <c r="E853"/>
      <c r="G853" s="284" t="str">
        <f>F787</f>
        <v>Year 4</v>
      </c>
      <c r="H853" s="215"/>
      <c r="I853" s="237" t="s">
        <v>1058</v>
      </c>
      <c r="J853" s="237"/>
      <c r="K853" s="237"/>
      <c r="L853" s="237"/>
      <c r="M853" s="237">
        <v>0</v>
      </c>
      <c r="N853" s="237"/>
      <c r="O853" s="237"/>
      <c r="P853" s="237"/>
      <c r="Q853" s="237"/>
      <c r="R853" s="237"/>
      <c r="S853" s="237"/>
    </row>
    <row r="854" spans="1:25" ht="12.75" thickTop="1" thickBot="1">
      <c r="A854"/>
      <c r="B854"/>
      <c r="C854"/>
      <c r="D854"/>
      <c r="E854"/>
      <c r="G854" s="285" t="s">
        <v>1059</v>
      </c>
      <c r="H854" s="239">
        <f t="shared" ref="H854:S854" ca="1" si="623">H170</f>
        <v>36341</v>
      </c>
      <c r="I854" s="239">
        <f t="shared" si="623"/>
        <v>36525</v>
      </c>
      <c r="J854" s="239">
        <f t="shared" si="623"/>
        <v>36891</v>
      </c>
      <c r="K854" s="239">
        <f t="shared" si="623"/>
        <v>37256</v>
      </c>
      <c r="L854" s="239">
        <f t="shared" si="623"/>
        <v>37621</v>
      </c>
      <c r="M854" s="239">
        <f t="shared" si="623"/>
        <v>37986</v>
      </c>
      <c r="N854" s="239">
        <f t="shared" si="623"/>
        <v>38352</v>
      </c>
      <c r="O854" s="239">
        <f t="shared" si="623"/>
        <v>38717</v>
      </c>
      <c r="P854" s="239">
        <f t="shared" si="623"/>
        <v>39082</v>
      </c>
      <c r="Q854" s="239">
        <f t="shared" si="623"/>
        <v>39447</v>
      </c>
      <c r="R854" s="239">
        <f t="shared" si="623"/>
        <v>39813</v>
      </c>
      <c r="S854" s="239">
        <f t="shared" si="623"/>
        <v>40178</v>
      </c>
    </row>
    <row r="855" spans="1:25" ht="12" thickTop="1">
      <c r="A855"/>
      <c r="B855"/>
      <c r="C855"/>
      <c r="D855"/>
      <c r="E855"/>
      <c r="G855" s="240" t="str">
        <f>A788</f>
        <v>Term Loan</v>
      </c>
      <c r="H855" s="183">
        <f>-H338</f>
        <v>0</v>
      </c>
      <c r="I855" s="135">
        <f ca="1">I243+I244+I242+I246*I241*$C$328</f>
        <v>0</v>
      </c>
      <c r="J855" s="135">
        <f ca="1">J243+J244+J242+J246*J241</f>
        <v>0</v>
      </c>
      <c r="K855" s="135">
        <f t="shared" ref="K855:R855" ca="1" si="624">K243+K244+K242+K246*K241</f>
        <v>0</v>
      </c>
      <c r="L855" s="135">
        <f t="shared" ca="1" si="624"/>
        <v>0</v>
      </c>
      <c r="M855" s="135">
        <f ca="1">M243+M244+M242+M246*M241+$M$796*$C$788</f>
        <v>0</v>
      </c>
      <c r="N855" s="135">
        <f t="shared" ca="1" si="624"/>
        <v>0</v>
      </c>
      <c r="O855" s="135">
        <f t="shared" ca="1" si="624"/>
        <v>0</v>
      </c>
      <c r="P855" s="135">
        <f t="shared" ca="1" si="624"/>
        <v>0</v>
      </c>
      <c r="Q855" s="135">
        <f t="shared" ca="1" si="624"/>
        <v>0</v>
      </c>
      <c r="R855" s="135">
        <f t="shared" ca="1" si="624"/>
        <v>0</v>
      </c>
      <c r="S855" s="135">
        <f ca="1">S243+S244+S242+S246*S241+S245</f>
        <v>0</v>
      </c>
    </row>
    <row r="856" spans="1:25">
      <c r="A856"/>
      <c r="B856"/>
      <c r="C856"/>
      <c r="D856"/>
      <c r="E856"/>
      <c r="G856" s="240" t="str">
        <f>A789</f>
        <v>Sr Sub Notes</v>
      </c>
      <c r="H856" s="91">
        <f>-H343</f>
        <v>0</v>
      </c>
      <c r="I856" s="90">
        <f ca="1">I278+I279+I97+I519</f>
        <v>0</v>
      </c>
      <c r="J856" s="90">
        <f t="shared" ref="J856:R856" ca="1" si="625">J278+J279+J97+J519</f>
        <v>0</v>
      </c>
      <c r="K856" s="90">
        <f t="shared" ca="1" si="625"/>
        <v>0</v>
      </c>
      <c r="L856" s="90">
        <f t="shared" ca="1" si="625"/>
        <v>0</v>
      </c>
      <c r="M856" s="90">
        <f ca="1">M278+M279+M97+M519+M796*C789</f>
        <v>0</v>
      </c>
      <c r="N856" s="90">
        <f t="shared" ca="1" si="625"/>
        <v>0</v>
      </c>
      <c r="O856" s="90">
        <f t="shared" ca="1" si="625"/>
        <v>0</v>
      </c>
      <c r="P856" s="90">
        <f t="shared" ca="1" si="625"/>
        <v>0</v>
      </c>
      <c r="Q856" s="90">
        <f t="shared" ca="1" si="625"/>
        <v>0</v>
      </c>
      <c r="R856" s="90">
        <f t="shared" ca="1" si="625"/>
        <v>0</v>
      </c>
      <c r="S856" s="90">
        <f ca="1">S278+S279+S97+S519+S280</f>
        <v>0</v>
      </c>
    </row>
    <row r="857" spans="1:25">
      <c r="A857"/>
      <c r="B857"/>
      <c r="C857"/>
      <c r="D857"/>
      <c r="E857"/>
      <c r="G857" s="240" t="str">
        <f>A790</f>
        <v>Jr. Sub Notes</v>
      </c>
      <c r="H857" s="91">
        <f>-H344</f>
        <v>0</v>
      </c>
      <c r="I857" s="90">
        <f ca="1">I98+I522+I527</f>
        <v>0</v>
      </c>
      <c r="J857" s="90">
        <f t="shared" ref="J857:R857" ca="1" si="626">J98+J522+J527</f>
        <v>0</v>
      </c>
      <c r="K857" s="90">
        <f t="shared" ca="1" si="626"/>
        <v>0</v>
      </c>
      <c r="L857" s="90">
        <f t="shared" ca="1" si="626"/>
        <v>0</v>
      </c>
      <c r="M857" s="90">
        <f ca="1">M98+M522+M527+M796*C790</f>
        <v>0</v>
      </c>
      <c r="N857" s="90">
        <f t="shared" ca="1" si="626"/>
        <v>0</v>
      </c>
      <c r="O857" s="90">
        <f t="shared" ca="1" si="626"/>
        <v>0</v>
      </c>
      <c r="P857" s="90">
        <f t="shared" ca="1" si="626"/>
        <v>0</v>
      </c>
      <c r="Q857" s="90">
        <f t="shared" ca="1" si="626"/>
        <v>0</v>
      </c>
      <c r="R857" s="90">
        <f t="shared" ca="1" si="626"/>
        <v>0</v>
      </c>
      <c r="S857" s="90">
        <f ca="1">S98+S522+S527+S286</f>
        <v>0</v>
      </c>
    </row>
    <row r="858" spans="1:25">
      <c r="A858"/>
      <c r="B858"/>
      <c r="C858"/>
      <c r="D858"/>
      <c r="E858"/>
      <c r="G858" s="240" t="str">
        <f>A791</f>
        <v>Preferred Stock</v>
      </c>
      <c r="H858" s="91">
        <f>-H345</f>
        <v>0</v>
      </c>
      <c r="I858" s="5">
        <f ca="1">I109-I533+I529</f>
        <v>0</v>
      </c>
      <c r="J858" s="5">
        <f ca="1">J109-J533+J529</f>
        <v>0</v>
      </c>
      <c r="K858" s="5">
        <f ca="1">K109-K533+K529</f>
        <v>0</v>
      </c>
      <c r="L858" s="5">
        <f ca="1">L109-L533+L529</f>
        <v>0</v>
      </c>
      <c r="M858" s="5">
        <f ca="1">M109-M533+M529+M796*C791+M292</f>
        <v>0</v>
      </c>
    </row>
    <row r="859" spans="1:25">
      <c r="A859"/>
      <c r="B859"/>
      <c r="C859"/>
      <c r="D859"/>
      <c r="E859"/>
      <c r="G859" s="240" t="str">
        <f>A792</f>
        <v>Common Stock</v>
      </c>
      <c r="H859" s="736">
        <f>-H346</f>
        <v>0</v>
      </c>
      <c r="I859" s="737">
        <f ca="1">IF(I808&gt;0,I808,(I112+I536)*C792)</f>
        <v>0</v>
      </c>
      <c r="J859" s="737">
        <f ca="1">IF(I808&gt;0,0,IF(J808&gt;0,+J808,(J112+J536)*C792))</f>
        <v>0</v>
      </c>
      <c r="K859" s="737">
        <f ca="1">IF(SUM(I808:J808)&gt;0,0,IF(K808&gt;0,+K808,(K112+K536)*C792))</f>
        <v>0</v>
      </c>
      <c r="L859" s="737">
        <f ca="1">IF(SUM(I808:K808)&gt;0,0,IF(L808&gt;0,+L808,(L112+L536)*C792))</f>
        <v>0</v>
      </c>
      <c r="M859" s="737">
        <f ca="1">IF(SUM(I808:L808)&gt;0,0,(IF(M808&gt;0,+M808,(M112+M536+M796*C792))))</f>
        <v>43209.73639194679</v>
      </c>
      <c r="N859" s="90"/>
      <c r="O859" s="90"/>
      <c r="P859" s="90"/>
      <c r="Q859" s="90"/>
      <c r="R859" s="90"/>
      <c r="S859" s="90"/>
    </row>
    <row r="860" spans="1:25" ht="12" thickBot="1">
      <c r="A860"/>
      <c r="B860"/>
      <c r="C860"/>
      <c r="D860"/>
      <c r="E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25" ht="12.75" thickTop="1" thickBot="1">
      <c r="A861"/>
      <c r="B861"/>
      <c r="C861"/>
      <c r="D861"/>
      <c r="E861"/>
      <c r="G861" s="284" t="str">
        <f>N786</f>
        <v>Year 5</v>
      </c>
      <c r="H861" s="215"/>
      <c r="I861" s="237" t="s">
        <v>1058</v>
      </c>
      <c r="J861" s="237"/>
      <c r="K861" s="237"/>
      <c r="L861" s="237"/>
      <c r="M861" s="237"/>
      <c r="N861" s="237"/>
      <c r="O861" s="237"/>
      <c r="P861" s="237"/>
      <c r="Q861" s="237"/>
      <c r="R861" s="237"/>
      <c r="S861" s="237"/>
      <c r="T861"/>
      <c r="U861"/>
      <c r="V861"/>
    </row>
    <row r="862" spans="1:25" ht="12.75" thickTop="1" thickBot="1">
      <c r="A862"/>
      <c r="B862"/>
      <c r="C862"/>
      <c r="D862"/>
      <c r="E862"/>
      <c r="G862" s="285" t="s">
        <v>1059</v>
      </c>
      <c r="H862" s="239">
        <f t="shared" ref="H862:S862" ca="1" si="627">H170</f>
        <v>36341</v>
      </c>
      <c r="I862" s="239">
        <f t="shared" si="627"/>
        <v>36525</v>
      </c>
      <c r="J862" s="239">
        <f t="shared" si="627"/>
        <v>36891</v>
      </c>
      <c r="K862" s="239">
        <f t="shared" si="627"/>
        <v>37256</v>
      </c>
      <c r="L862" s="239">
        <f t="shared" si="627"/>
        <v>37621</v>
      </c>
      <c r="M862" s="239">
        <f t="shared" si="627"/>
        <v>37986</v>
      </c>
      <c r="N862" s="239">
        <f t="shared" si="627"/>
        <v>38352</v>
      </c>
      <c r="O862" s="239">
        <f t="shared" si="627"/>
        <v>38717</v>
      </c>
      <c r="P862" s="239">
        <f t="shared" si="627"/>
        <v>39082</v>
      </c>
      <c r="Q862" s="239">
        <f t="shared" si="627"/>
        <v>39447</v>
      </c>
      <c r="R862" s="239">
        <f t="shared" si="627"/>
        <v>39813</v>
      </c>
      <c r="S862" s="239">
        <f t="shared" si="627"/>
        <v>40178</v>
      </c>
      <c r="T862"/>
      <c r="U862"/>
      <c r="V862"/>
      <c r="W862"/>
      <c r="X862"/>
      <c r="Y862"/>
    </row>
    <row r="863" spans="1:25" ht="12" thickTop="1">
      <c r="A863" s="74"/>
      <c r="C863"/>
      <c r="G863" s="71" t="str">
        <f>A788</f>
        <v>Term Loan</v>
      </c>
      <c r="H863" s="183">
        <f>-H338</f>
        <v>0</v>
      </c>
      <c r="I863" s="135">
        <f ca="1">I243+I244+I242+I246*I241*$C$328</f>
        <v>0</v>
      </c>
      <c r="J863" s="135">
        <f ca="1">J243+J244+J242+J246*J241</f>
        <v>0</v>
      </c>
      <c r="K863" s="135">
        <f ca="1">K243+K244+K242+K246*K241</f>
        <v>0</v>
      </c>
      <c r="L863" s="135">
        <f ca="1">L243+L244+L242+L246*L241+IF($J$795="NO",0,+L796*$C788)</f>
        <v>0</v>
      </c>
      <c r="M863" s="135">
        <f ca="1">M243+M244+M242+M246*M241+IF($J$795="NO",0,+M796*$C788)</f>
        <v>0</v>
      </c>
      <c r="N863" s="135">
        <f ca="1">N243+N244+N242+N246*N241+$N$796*$C$788</f>
        <v>0</v>
      </c>
      <c r="O863" s="135">
        <f ca="1">O243+O244+O242+O246*O241</f>
        <v>0</v>
      </c>
      <c r="P863" s="135">
        <f ca="1">P243+P244+P242+P246*P241</f>
        <v>0</v>
      </c>
      <c r="Q863" s="135">
        <f ca="1">Q243+Q244+Q242+Q246*Q241</f>
        <v>0</v>
      </c>
      <c r="R863" s="135">
        <f ca="1">R243+R244+R242+R246*R241</f>
        <v>0</v>
      </c>
      <c r="S863" s="135">
        <f ca="1">S243+S244+S242+S246*S241+S245</f>
        <v>0</v>
      </c>
    </row>
    <row r="864" spans="1:25">
      <c r="A864" s="74"/>
      <c r="E864"/>
      <c r="G864" s="71" t="str">
        <f>A789</f>
        <v>Sr Sub Notes</v>
      </c>
      <c r="H864" s="91">
        <f>-H343</f>
        <v>0</v>
      </c>
      <c r="I864" s="90">
        <f ca="1">I278+I279+I97+I519</f>
        <v>0</v>
      </c>
      <c r="J864" s="90">
        <f t="shared" ref="J864:R864" ca="1" si="628">J278+J279+J97+J519</f>
        <v>0</v>
      </c>
      <c r="K864" s="90">
        <f t="shared" ca="1" si="628"/>
        <v>0</v>
      </c>
      <c r="L864" s="90">
        <f ca="1">L278+L279+L97+L519+IF(J795="NO",0,+L796*$C$789)</f>
        <v>0</v>
      </c>
      <c r="M864" s="90">
        <f ca="1">M278+M279+M97+M519+IF(J795="NO",0,+M796*$C$789)</f>
        <v>0</v>
      </c>
      <c r="N864" s="90">
        <f ca="1">N278+N279+N97+N519+$N$796*$C$789</f>
        <v>0</v>
      </c>
      <c r="O864" s="90">
        <f t="shared" ca="1" si="628"/>
        <v>0</v>
      </c>
      <c r="P864" s="90">
        <f t="shared" ca="1" si="628"/>
        <v>0</v>
      </c>
      <c r="Q864" s="90">
        <f t="shared" ca="1" si="628"/>
        <v>0</v>
      </c>
      <c r="R864" s="90">
        <f t="shared" ca="1" si="628"/>
        <v>0</v>
      </c>
      <c r="S864" s="90">
        <f ca="1">S278+S279+S97+S519+S280</f>
        <v>0</v>
      </c>
    </row>
    <row r="865" spans="1:19">
      <c r="A865" s="74"/>
      <c r="G865" s="71" t="str">
        <f>A790</f>
        <v>Jr. Sub Notes</v>
      </c>
      <c r="H865" s="91">
        <f>-H344</f>
        <v>0</v>
      </c>
      <c r="I865" s="90">
        <f ca="1">I98+I522+I527</f>
        <v>0</v>
      </c>
      <c r="J865" s="90">
        <f ca="1">J98+J522+J527</f>
        <v>0</v>
      </c>
      <c r="K865" s="90">
        <f ca="1">K98+K522+K527</f>
        <v>0</v>
      </c>
      <c r="L865" s="90">
        <f ca="1">L98+L522+L527+IF($J$795="NO",0,L796*$C$790)</f>
        <v>0</v>
      </c>
      <c r="M865" s="90">
        <f ca="1">M98+M522+M527+IF($J$795="NO",0,M796*$C$790)</f>
        <v>0</v>
      </c>
      <c r="N865" s="90">
        <f ca="1">N98+N522+N527+$N$796*$C$790</f>
        <v>0</v>
      </c>
      <c r="O865" s="90">
        <f ca="1">O98+O522+O527</f>
        <v>0</v>
      </c>
      <c r="P865" s="90">
        <f ca="1">P98+P522+P527</f>
        <v>0</v>
      </c>
      <c r="Q865" s="90">
        <f ca="1">Q98+Q522+Q527</f>
        <v>0</v>
      </c>
      <c r="R865" s="90">
        <f ca="1">R98+R522+R527</f>
        <v>0</v>
      </c>
      <c r="S865" s="90">
        <f ca="1">S98+S522+S527+S286</f>
        <v>0</v>
      </c>
    </row>
    <row r="866" spans="1:19">
      <c r="A866" s="74"/>
      <c r="C866" s="90"/>
      <c r="G866" s="71" t="str">
        <f>A791</f>
        <v>Preferred Stock</v>
      </c>
      <c r="H866" s="91">
        <f>-H345</f>
        <v>0</v>
      </c>
      <c r="I866" s="5">
        <f ca="1">I109-I533+I529</f>
        <v>0</v>
      </c>
      <c r="J866" s="5">
        <f ca="1">J109-J533+J529</f>
        <v>0</v>
      </c>
      <c r="K866" s="5">
        <f ca="1">K109-K533+K529</f>
        <v>0</v>
      </c>
      <c r="L866" s="5">
        <f ca="1">L109-L533+L529+IF($J$795="NO",0,(+L796*$C$791)+(L292*L795))</f>
        <v>0</v>
      </c>
      <c r="M866" s="5">
        <f ca="1">M109-M533+M529+IF($J$795="NO",0,(+M796*$C$791)+(M292*M795))</f>
        <v>0</v>
      </c>
      <c r="N866" s="5">
        <f ca="1">N109-N533+N529+($N$796*$C$791)+(N292*N795)</f>
        <v>0</v>
      </c>
    </row>
    <row r="867" spans="1:19">
      <c r="A867" s="74"/>
      <c r="G867" s="71" t="str">
        <f>A792</f>
        <v>Common Stock</v>
      </c>
      <c r="H867" s="736">
        <f>-H346</f>
        <v>0</v>
      </c>
      <c r="I867" s="737">
        <f ca="1">IF(I808&gt;0,+I808,(I112+I536)*C792)</f>
        <v>0</v>
      </c>
      <c r="J867" s="737">
        <f ca="1">IF(I808&gt;0,0,IF(J808&gt;0,+J808,(J112+J536)*C792))</f>
        <v>0</v>
      </c>
      <c r="K867" s="737">
        <f ca="1">IF(SUM(I808:J808)&gt;0,0,IF(K808&gt;0,+K808,(K112+K536)*C792))</f>
        <v>0</v>
      </c>
      <c r="L867" s="737">
        <f ca="1">IF(SUM(I808:K808)&gt;0,0,IF(L808&gt;0,+L808,(L112+L536)*C792+IF($J$795="NO",0,+L796*$C$792)))</f>
        <v>0</v>
      </c>
      <c r="M867" s="737">
        <f ca="1">IF(SUM(I808:L808)&gt;0,0,IF(M808&gt;0,+M808,(M112+M536)*C792+IF($J$795="NO",0,+M796*$C$792)))</f>
        <v>0</v>
      </c>
      <c r="N867" s="737">
        <f ca="1">IF(SUM(I808:M808)&gt;0,0,(IF(N808&gt;0,+N808,N112+(N536+N796*C792))))</f>
        <v>44160.254765011283</v>
      </c>
      <c r="O867" s="90"/>
      <c r="P867" s="90"/>
      <c r="Q867" s="90"/>
      <c r="R867" s="90"/>
      <c r="S867" s="90"/>
    </row>
    <row r="868" spans="1:19">
      <c r="A868" s="74"/>
      <c r="H868" s="189"/>
    </row>
    <row r="869" spans="1:19">
      <c r="A869" s="74"/>
      <c r="H869" s="189"/>
    </row>
    <row r="870" spans="1:19">
      <c r="A870" s="74"/>
      <c r="H870" s="189"/>
    </row>
    <row r="871" spans="1:19">
      <c r="A871" s="74"/>
      <c r="H871" s="189"/>
    </row>
    <row r="872" spans="1:19">
      <c r="A872" s="74"/>
      <c r="H872" s="189"/>
    </row>
    <row r="873" spans="1:19">
      <c r="A873" s="74"/>
      <c r="G873"/>
      <c r="H873" s="189"/>
    </row>
    <row r="874" spans="1:19">
      <c r="A874" s="74"/>
      <c r="H874" s="189"/>
      <c r="S874"/>
    </row>
    <row r="875" spans="1:19">
      <c r="A875" s="224" t="s">
        <v>1060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>
      <c r="A876" s="74"/>
      <c r="E876" s="15" t="s">
        <v>1061</v>
      </c>
      <c r="G876" s="270" t="str">
        <f>A792</f>
        <v>Common Stock</v>
      </c>
      <c r="H876" s="19" t="s">
        <v>1062</v>
      </c>
      <c r="M876" s="15" t="s">
        <v>1063</v>
      </c>
      <c r="O876" s="270" t="str">
        <f>PREFNAME</f>
        <v>Preferred Stock</v>
      </c>
      <c r="P876" s="19" t="s">
        <v>1062</v>
      </c>
      <c r="S876"/>
    </row>
    <row r="877" spans="1:19">
      <c r="A877" s="70"/>
      <c r="F877" s="190" t="s">
        <v>1011</v>
      </c>
      <c r="G877" s="69"/>
      <c r="H877" s="69"/>
      <c r="I877" s="69"/>
      <c r="J877" s="69"/>
      <c r="N877" s="190" t="s">
        <v>1011</v>
      </c>
      <c r="O877" s="69"/>
      <c r="P877" s="69"/>
      <c r="Q877" s="69"/>
      <c r="R877" s="69"/>
      <c r="S877"/>
    </row>
    <row r="878" spans="1:19">
      <c r="A878" s="74"/>
      <c r="E878" s="268" t="str">
        <f ca="1">E792</f>
        <v>NA</v>
      </c>
      <c r="F878" s="271">
        <f>G878-1</f>
        <v>4</v>
      </c>
      <c r="G878" s="271">
        <f>H878-1</f>
        <v>5</v>
      </c>
      <c r="H878" s="271">
        <v>6</v>
      </c>
      <c r="I878" s="271">
        <f>H878+1</f>
        <v>7</v>
      </c>
      <c r="J878" s="271">
        <f>I878+1</f>
        <v>8</v>
      </c>
      <c r="M878" s="273" t="str">
        <f ca="1">PREF5</f>
        <v>NA</v>
      </c>
      <c r="N878" s="274">
        <f>O878-1</f>
        <v>4</v>
      </c>
      <c r="O878" s="274">
        <f>P878-1</f>
        <v>5</v>
      </c>
      <c r="P878" s="274">
        <v>6</v>
      </c>
      <c r="Q878" s="274">
        <f>P878+1</f>
        <v>7</v>
      </c>
      <c r="R878" s="274">
        <f>Q878+1</f>
        <v>8</v>
      </c>
      <c r="S878"/>
    </row>
    <row r="879" spans="1:19">
      <c r="C879"/>
      <c r="D879" s="48" t="s">
        <v>374</v>
      </c>
      <c r="E879" s="272">
        <v>0.8</v>
      </c>
      <c r="F879" s="267">
        <v>-0.34684511553496133</v>
      </c>
      <c r="G879" s="267">
        <v>-0.34684512056410322</v>
      </c>
      <c r="H879" s="267">
        <v>-0.34684512056410322</v>
      </c>
      <c r="I879" s="267">
        <v>-0.34684512056410322</v>
      </c>
      <c r="J879" s="267">
        <v>-0.34684512056410322</v>
      </c>
      <c r="L879" s="48" t="s">
        <v>374</v>
      </c>
      <c r="M879" s="275">
        <v>0.32700000000000001</v>
      </c>
      <c r="N879" s="267">
        <v>7.8570631146430994E-2</v>
      </c>
      <c r="O879" s="267">
        <v>6.7129501700401314E-2</v>
      </c>
      <c r="P879" s="267">
        <v>7.8570631146430994E-2</v>
      </c>
      <c r="Q879" s="267">
        <v>8.940688073635103E-2</v>
      </c>
      <c r="R879" s="267">
        <v>9.9705022573471053E-2</v>
      </c>
      <c r="S879"/>
    </row>
    <row r="880" spans="1:19">
      <c r="C880"/>
      <c r="D880" s="48" t="s">
        <v>1064</v>
      </c>
      <c r="E880" s="272">
        <f>MIN(E879+0.05,1)</f>
        <v>0.85000000000000009</v>
      </c>
      <c r="F880" s="267">
        <v>-0.33299976550042631</v>
      </c>
      <c r="G880" s="267">
        <v>-0.33299976550042631</v>
      </c>
      <c r="H880" s="267">
        <v>-0.33299976550042631</v>
      </c>
      <c r="I880" s="267">
        <v>-0.33299976550042631</v>
      </c>
      <c r="J880" s="267">
        <v>-0.33299976550042631</v>
      </c>
      <c r="L880" s="48" t="s">
        <v>1064</v>
      </c>
      <c r="M880" s="272">
        <f>MIN(M879+0.05,1)</f>
        <v>0.377</v>
      </c>
      <c r="N880" s="267">
        <v>5.5945178866386419E-2</v>
      </c>
      <c r="O880" s="267">
        <v>6.9800630211830139E-2</v>
      </c>
      <c r="P880" s="267">
        <v>8.2770696282386799E-2</v>
      </c>
      <c r="Q880" s="267">
        <v>9.4972071051597579E-2</v>
      </c>
      <c r="R880" s="267">
        <v>0.10649917721748353</v>
      </c>
      <c r="S880"/>
    </row>
    <row r="881" spans="1:29">
      <c r="C881" s="69"/>
      <c r="D881" s="69"/>
      <c r="E881" s="272">
        <f>MIN(E880+0.05,1)</f>
        <v>0.90000000000000013</v>
      </c>
      <c r="F881" s="267">
        <v>-0.31976998411118984</v>
      </c>
      <c r="G881" s="267">
        <v>-0.31976998411118984</v>
      </c>
      <c r="H881" s="267">
        <v>-0.31976998411118984</v>
      </c>
      <c r="I881" s="267">
        <v>-0.31976998411118984</v>
      </c>
      <c r="J881" s="267">
        <v>-0.31976998411118984</v>
      </c>
      <c r="L881" s="69"/>
      <c r="M881" s="272">
        <f>MIN(M880+0.05,1)</f>
        <v>0.42699999999999999</v>
      </c>
      <c r="N881" s="267">
        <v>5.6883046030998224E-2</v>
      </c>
      <c r="O881" s="267">
        <v>7.2437080740928667E-2</v>
      </c>
      <c r="P881" s="267">
        <v>8.6886826157569916E-2</v>
      </c>
      <c r="Q881" s="267">
        <v>0.1003926932811737</v>
      </c>
      <c r="R881" s="267">
        <v>0.11308159232139586</v>
      </c>
      <c r="S881"/>
    </row>
    <row r="882" spans="1:29">
      <c r="C882" s="69"/>
      <c r="D882" s="69"/>
      <c r="E882" s="272">
        <f>MIN(E881+0.05,1)</f>
        <v>0.95000000000000018</v>
      </c>
      <c r="F882" s="267">
        <v>-0.3070971969515085</v>
      </c>
      <c r="G882" s="267">
        <v>-0.3070971969515085</v>
      </c>
      <c r="H882" s="267">
        <v>-0.3070971969515085</v>
      </c>
      <c r="I882" s="267">
        <v>-0.3070971969515085</v>
      </c>
      <c r="J882" s="267">
        <v>-0.3070971969515085</v>
      </c>
      <c r="L882" s="69"/>
      <c r="M882" s="272">
        <f>MIN(M881+0.05,1)</f>
        <v>0.47699999999999998</v>
      </c>
      <c r="N882" s="267">
        <v>5.7816538214683535E-2</v>
      </c>
      <c r="O882" s="267">
        <v>7.5039848685264587E-2</v>
      </c>
      <c r="P882" s="267">
        <v>9.092266261577607E-2</v>
      </c>
      <c r="Q882" s="267">
        <v>0.1056768357753754</v>
      </c>
      <c r="R882" s="267">
        <v>0.11946635842323303</v>
      </c>
      <c r="S882"/>
    </row>
    <row r="883" spans="1:29">
      <c r="C883" s="69"/>
      <c r="D883" s="69"/>
      <c r="E883" s="272">
        <f>MIN(E882+0.05,1)</f>
        <v>1</v>
      </c>
      <c r="F883" s="267">
        <v>-0.29493104889988897</v>
      </c>
      <c r="G883" s="267">
        <v>-0.29493104889988897</v>
      </c>
      <c r="H883" s="267">
        <v>-0.29493104889988897</v>
      </c>
      <c r="I883" s="267">
        <v>-0.29493104889988897</v>
      </c>
      <c r="J883" s="267">
        <v>-0.29493104889988897</v>
      </c>
      <c r="L883" s="69"/>
      <c r="M883" s="272">
        <f>MIN(M882+0.05,1)</f>
        <v>0.52700000000000002</v>
      </c>
      <c r="N883" s="267">
        <v>5.8745703101158148E-2</v>
      </c>
      <c r="O883" s="267">
        <v>7.7609863877296487E-2</v>
      </c>
      <c r="P883" s="267">
        <v>9.4881603121757488E-2</v>
      </c>
      <c r="Q883" s="267">
        <v>0.11083188652992249</v>
      </c>
      <c r="R883" s="267">
        <v>0.12566621899604802</v>
      </c>
      <c r="S883"/>
    </row>
    <row r="884" spans="1:29">
      <c r="E884" s="143"/>
      <c r="F884" s="55"/>
      <c r="G884" s="55"/>
      <c r="H884" s="55"/>
      <c r="I884" s="55"/>
      <c r="J884" s="55"/>
    </row>
    <row r="885" spans="1:29">
      <c r="E885" s="143"/>
      <c r="F885" s="55"/>
      <c r="G885" s="55"/>
      <c r="H885" s="55"/>
      <c r="I885" s="55"/>
      <c r="J885" s="55"/>
    </row>
    <row r="886" spans="1:29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29" ht="12" thickBot="1">
      <c r="A887" s="74"/>
      <c r="E887" s="143"/>
      <c r="F887" s="55"/>
      <c r="G887" s="55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9" ht="12.75" thickTop="1" thickBot="1">
      <c r="A888" s="19" t="s">
        <v>1065</v>
      </c>
      <c r="H888" s="278">
        <f t="shared" ref="H888:AC888" ca="1" si="629">H170</f>
        <v>36341</v>
      </c>
      <c r="I888" s="278">
        <f t="shared" si="629"/>
        <v>36525</v>
      </c>
      <c r="J888" s="278">
        <f t="shared" si="629"/>
        <v>36891</v>
      </c>
      <c r="K888" s="278">
        <f t="shared" si="629"/>
        <v>37256</v>
      </c>
      <c r="L888" s="278">
        <f t="shared" si="629"/>
        <v>37621</v>
      </c>
      <c r="M888" s="278">
        <f t="shared" si="629"/>
        <v>37986</v>
      </c>
      <c r="N888" s="278">
        <f t="shared" si="629"/>
        <v>38352</v>
      </c>
      <c r="O888" s="278">
        <f t="shared" si="629"/>
        <v>38717</v>
      </c>
      <c r="P888" s="278">
        <f t="shared" si="629"/>
        <v>39082</v>
      </c>
      <c r="Q888" s="278">
        <f t="shared" si="629"/>
        <v>39447</v>
      </c>
      <c r="R888" s="278">
        <f t="shared" si="629"/>
        <v>39813</v>
      </c>
      <c r="S888" s="278">
        <f t="shared" si="629"/>
        <v>40178</v>
      </c>
      <c r="T888" s="278">
        <f t="shared" si="629"/>
        <v>40543</v>
      </c>
      <c r="U888" s="278">
        <f t="shared" si="629"/>
        <v>40908</v>
      </c>
      <c r="V888" s="278">
        <f t="shared" si="629"/>
        <v>41274</v>
      </c>
      <c r="W888" s="278">
        <f t="shared" si="629"/>
        <v>41639</v>
      </c>
      <c r="X888" s="278">
        <f t="shared" si="629"/>
        <v>42004</v>
      </c>
      <c r="Y888" s="278">
        <f t="shared" si="629"/>
        <v>42369</v>
      </c>
      <c r="Z888" s="278">
        <f t="shared" si="629"/>
        <v>42735</v>
      </c>
      <c r="AA888" s="278">
        <f t="shared" si="629"/>
        <v>43100</v>
      </c>
      <c r="AB888" s="278">
        <f t="shared" si="629"/>
        <v>43465</v>
      </c>
      <c r="AC888" s="278">
        <f t="shared" si="629"/>
        <v>43830</v>
      </c>
    </row>
    <row r="889" spans="1:29" ht="12" thickTop="1">
      <c r="A889" s="70" t="s">
        <v>1066</v>
      </c>
      <c r="H889" s="22"/>
      <c r="I889" s="88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 spans="1:29">
      <c r="A890" s="277" t="s">
        <v>1067</v>
      </c>
      <c r="I890" s="99">
        <f t="shared" ref="I890:AC890" ca="1" si="630">I83</f>
        <v>-478.40582972216873</v>
      </c>
      <c r="J890" s="5">
        <f t="shared" ca="1" si="630"/>
        <v>6122.2028984646931</v>
      </c>
      <c r="K890" s="5">
        <f t="shared" ca="1" si="630"/>
        <v>4875.5759276883218</v>
      </c>
      <c r="L890" s="5">
        <f t="shared" ca="1" si="630"/>
        <v>4482.4191769391346</v>
      </c>
      <c r="M890" s="5">
        <f t="shared" ca="1" si="630"/>
        <v>4159.3653845045455</v>
      </c>
      <c r="N890" s="5">
        <f t="shared" ca="1" si="630"/>
        <v>3750.0394139646587</v>
      </c>
      <c r="O890" s="5">
        <f t="shared" ca="1" si="630"/>
        <v>3256.5783151782944</v>
      </c>
      <c r="P890" s="5">
        <f t="shared" ca="1" si="630"/>
        <v>2787.3048450071051</v>
      </c>
      <c r="Q890" s="5">
        <f t="shared" ca="1" si="630"/>
        <v>2418.0160318305366</v>
      </c>
      <c r="R890" s="5">
        <f t="shared" ca="1" si="630"/>
        <v>2091.411487879373</v>
      </c>
      <c r="S890" s="5">
        <f t="shared" ca="1" si="630"/>
        <v>1834.0815988219317</v>
      </c>
      <c r="T890" s="5">
        <f t="shared" ca="1" si="630"/>
        <v>1595.4188357404355</v>
      </c>
      <c r="U890" s="5">
        <f t="shared" ca="1" si="630"/>
        <v>1395.7675484349588</v>
      </c>
      <c r="V890" s="5">
        <f t="shared" ca="1" si="630"/>
        <v>1201.0002727152746</v>
      </c>
      <c r="W890" s="5">
        <f t="shared" ca="1" si="630"/>
        <v>1053.7122748844217</v>
      </c>
      <c r="X890" s="5">
        <f t="shared" ca="1" si="630"/>
        <v>901.51024369318623</v>
      </c>
      <c r="Y890" s="5">
        <f t="shared" ca="1" si="630"/>
        <v>764.01746093342479</v>
      </c>
      <c r="Z890" s="5">
        <f t="shared" ca="1" si="630"/>
        <v>597.86108012877241</v>
      </c>
      <c r="AA890" s="5">
        <f t="shared" ca="1" si="630"/>
        <v>484.27667042900197</v>
      </c>
      <c r="AB890" s="5">
        <f t="shared" ca="1" si="630"/>
        <v>394.53153198441407</v>
      </c>
      <c r="AC890" s="5">
        <f t="shared" ca="1" si="630"/>
        <v>345.03927768276378</v>
      </c>
    </row>
    <row r="891" spans="1:29">
      <c r="A891" s="74"/>
      <c r="I891" s="99"/>
    </row>
    <row r="892" spans="1:29">
      <c r="A892" s="74" t="s">
        <v>1068</v>
      </c>
      <c r="I892" s="99">
        <f t="shared" ref="I892:R892" ca="1" si="631">I890*$Q$919</f>
        <v>-167.44204040275903</v>
      </c>
      <c r="J892" s="5">
        <f t="shared" ca="1" si="631"/>
        <v>2142.7710144626426</v>
      </c>
      <c r="K892" s="5">
        <f t="shared" ca="1" si="631"/>
        <v>1706.4515746909126</v>
      </c>
      <c r="L892" s="5">
        <f t="shared" ca="1" si="631"/>
        <v>1568.846711928697</v>
      </c>
      <c r="M892" s="5">
        <f t="shared" ca="1" si="631"/>
        <v>1455.7778845765908</v>
      </c>
      <c r="N892" s="5">
        <f t="shared" ca="1" si="631"/>
        <v>1312.5137948876304</v>
      </c>
      <c r="O892" s="5">
        <f t="shared" ca="1" si="631"/>
        <v>1139.802410312403</v>
      </c>
      <c r="P892" s="5">
        <f t="shared" ca="1" si="631"/>
        <v>975.55669575248669</v>
      </c>
      <c r="Q892" s="5">
        <f t="shared" ca="1" si="631"/>
        <v>846.3056111406878</v>
      </c>
      <c r="R892" s="5">
        <f t="shared" ca="1" si="631"/>
        <v>731.9940207577805</v>
      </c>
      <c r="S892" s="5">
        <f t="shared" ref="S892:AC892" ca="1" si="632">S890*$Q$919</f>
        <v>641.92855958767609</v>
      </c>
      <c r="T892" s="5">
        <f t="shared" ca="1" si="632"/>
        <v>558.39659250915236</v>
      </c>
      <c r="U892" s="5">
        <f t="shared" ca="1" si="632"/>
        <v>488.51864195223555</v>
      </c>
      <c r="V892" s="5">
        <f t="shared" ca="1" si="632"/>
        <v>420.35009545034609</v>
      </c>
      <c r="W892" s="5">
        <f t="shared" ca="1" si="632"/>
        <v>368.79929620954761</v>
      </c>
      <c r="X892" s="5">
        <f t="shared" ca="1" si="632"/>
        <v>315.52858529261516</v>
      </c>
      <c r="Y892" s="5">
        <f t="shared" ca="1" si="632"/>
        <v>267.40611132669864</v>
      </c>
      <c r="Z892" s="5">
        <f t="shared" ca="1" si="632"/>
        <v>209.25137804507034</v>
      </c>
      <c r="AA892" s="5">
        <f t="shared" ca="1" si="632"/>
        <v>169.49683465015067</v>
      </c>
      <c r="AB892" s="5">
        <f t="shared" ca="1" si="632"/>
        <v>138.0860361945449</v>
      </c>
      <c r="AC892" s="5">
        <f t="shared" ca="1" si="632"/>
        <v>120.76374718896732</v>
      </c>
    </row>
    <row r="893" spans="1:29">
      <c r="A893" s="70" t="s">
        <v>1069</v>
      </c>
      <c r="I893" s="100">
        <f t="shared" ref="I893:R893" ca="1" si="633">I890-I892</f>
        <v>-310.96378931940967</v>
      </c>
      <c r="J893" s="50">
        <f t="shared" ca="1" si="633"/>
        <v>3979.4318840020505</v>
      </c>
      <c r="K893" s="50">
        <f t="shared" ca="1" si="633"/>
        <v>3169.124352997409</v>
      </c>
      <c r="L893" s="50">
        <f t="shared" ca="1" si="633"/>
        <v>2913.5724650104376</v>
      </c>
      <c r="M893" s="50">
        <f t="shared" ca="1" si="633"/>
        <v>2703.5874999279549</v>
      </c>
      <c r="N893" s="50">
        <f t="shared" ca="1" si="633"/>
        <v>2437.5256190770283</v>
      </c>
      <c r="O893" s="50">
        <f t="shared" ca="1" si="633"/>
        <v>2116.7759048658913</v>
      </c>
      <c r="P893" s="50">
        <f t="shared" ca="1" si="633"/>
        <v>1811.7481492546185</v>
      </c>
      <c r="Q893" s="50">
        <f t="shared" ca="1" si="633"/>
        <v>1571.7104206898489</v>
      </c>
      <c r="R893" s="50">
        <f t="shared" ca="1" si="633"/>
        <v>1359.4174671215924</v>
      </c>
      <c r="S893" s="50">
        <f t="shared" ref="S893:AC893" ca="1" si="634">S890-S892</f>
        <v>1192.1530392342556</v>
      </c>
      <c r="T893" s="50">
        <f t="shared" ca="1" si="634"/>
        <v>1037.022243231283</v>
      </c>
      <c r="U893" s="50">
        <f t="shared" ca="1" si="634"/>
        <v>907.24890648272321</v>
      </c>
      <c r="V893" s="50">
        <f t="shared" ca="1" si="634"/>
        <v>780.65017726492852</v>
      </c>
      <c r="W893" s="50">
        <f t="shared" ca="1" si="634"/>
        <v>684.91297867487413</v>
      </c>
      <c r="X893" s="50">
        <f t="shared" ca="1" si="634"/>
        <v>585.98165840057106</v>
      </c>
      <c r="Y893" s="50">
        <f t="shared" ca="1" si="634"/>
        <v>496.61134960672615</v>
      </c>
      <c r="Z893" s="50">
        <f t="shared" ca="1" si="634"/>
        <v>388.60970208370208</v>
      </c>
      <c r="AA893" s="50">
        <f t="shared" ca="1" si="634"/>
        <v>314.77983577885129</v>
      </c>
      <c r="AB893" s="50">
        <f t="shared" ca="1" si="634"/>
        <v>256.44549578986914</v>
      </c>
      <c r="AC893" s="50">
        <f t="shared" ca="1" si="634"/>
        <v>224.27553049379645</v>
      </c>
    </row>
    <row r="894" spans="1:29">
      <c r="A894" s="74"/>
      <c r="I894" s="99"/>
    </row>
    <row r="895" spans="1:29">
      <c r="A895" s="74" t="s">
        <v>1015</v>
      </c>
      <c r="B895" s="74" t="s">
        <v>1070</v>
      </c>
      <c r="I895" s="99">
        <f t="shared" ref="I895:AC895" si="635">I76</f>
        <v>0</v>
      </c>
      <c r="J895" s="5">
        <f t="shared" si="635"/>
        <v>0</v>
      </c>
      <c r="K895" s="5">
        <f t="shared" si="635"/>
        <v>0</v>
      </c>
      <c r="L895" s="5">
        <f t="shared" si="635"/>
        <v>0</v>
      </c>
      <c r="M895" s="5">
        <f t="shared" si="635"/>
        <v>0</v>
      </c>
      <c r="N895" s="5">
        <f t="shared" si="635"/>
        <v>0</v>
      </c>
      <c r="O895" s="5">
        <f t="shared" si="635"/>
        <v>4.3794061069212393</v>
      </c>
      <c r="P895" s="5">
        <f t="shared" si="635"/>
        <v>4.7347913013252478</v>
      </c>
      <c r="Q895" s="5">
        <f t="shared" si="635"/>
        <v>7.1018340606587129</v>
      </c>
      <c r="R895" s="5">
        <f t="shared" si="635"/>
        <v>6.0602935036541092</v>
      </c>
      <c r="S895" s="5">
        <f t="shared" si="635"/>
        <v>5.134621601663329</v>
      </c>
      <c r="T895" s="5">
        <f t="shared" si="635"/>
        <v>4.3136934004570406</v>
      </c>
      <c r="U895" s="5">
        <f t="shared" si="635"/>
        <v>3.6160470859451221</v>
      </c>
      <c r="V895" s="5">
        <f t="shared" si="635"/>
        <v>2.9690276563928304</v>
      </c>
      <c r="W895" s="5">
        <f t="shared" si="635"/>
        <v>2.4348443565521936</v>
      </c>
      <c r="X895" s="5">
        <f t="shared" si="635"/>
        <v>1.9752031273747968</v>
      </c>
      <c r="Y895" s="5">
        <f t="shared" si="635"/>
        <v>1.556639308963266</v>
      </c>
      <c r="Z895" s="5">
        <f t="shared" si="635"/>
        <v>1.1435136510314272</v>
      </c>
      <c r="AA895" s="5">
        <f t="shared" si="635"/>
        <v>0.87442728015961602</v>
      </c>
      <c r="AB895" s="5">
        <f t="shared" si="635"/>
        <v>0.67267199847163439</v>
      </c>
      <c r="AC895" s="5">
        <f t="shared" si="635"/>
        <v>0.5559855604294327</v>
      </c>
    </row>
    <row r="896" spans="1:29">
      <c r="A896"/>
      <c r="B896" s="74" t="s">
        <v>1071</v>
      </c>
      <c r="I896" s="99">
        <f t="shared" ref="I896:R896" ca="1" si="636">I80+I77+I78+I79</f>
        <v>0</v>
      </c>
      <c r="J896" s="5">
        <f t="shared" ca="1" si="636"/>
        <v>0</v>
      </c>
      <c r="K896" s="5">
        <f t="shared" si="636"/>
        <v>0</v>
      </c>
      <c r="L896" s="5">
        <f t="shared" si="636"/>
        <v>0</v>
      </c>
      <c r="M896" s="5">
        <f t="shared" si="636"/>
        <v>0</v>
      </c>
      <c r="N896" s="5">
        <f t="shared" si="636"/>
        <v>0</v>
      </c>
      <c r="O896" s="5">
        <f t="shared" si="636"/>
        <v>0</v>
      </c>
      <c r="P896" s="5">
        <f t="shared" ca="1" si="636"/>
        <v>0</v>
      </c>
      <c r="Q896" s="5">
        <f t="shared" ca="1" si="636"/>
        <v>0</v>
      </c>
      <c r="R896" s="5">
        <f t="shared" si="636"/>
        <v>0</v>
      </c>
      <c r="S896" s="5">
        <f t="shared" ref="S896:AC896" ca="1" si="637">S80+S77+S78+S79</f>
        <v>0</v>
      </c>
      <c r="T896" s="5">
        <f t="shared" si="637"/>
        <v>0</v>
      </c>
      <c r="U896" s="5">
        <f t="shared" si="637"/>
        <v>0</v>
      </c>
      <c r="V896" s="5">
        <f t="shared" si="637"/>
        <v>0</v>
      </c>
      <c r="W896" s="5">
        <f t="shared" si="637"/>
        <v>0</v>
      </c>
      <c r="X896" s="5">
        <f t="shared" si="637"/>
        <v>0</v>
      </c>
      <c r="Y896" s="5">
        <f t="shared" si="637"/>
        <v>0</v>
      </c>
      <c r="Z896" s="5">
        <f t="shared" si="637"/>
        <v>0</v>
      </c>
      <c r="AA896" s="5">
        <f t="shared" si="637"/>
        <v>0</v>
      </c>
      <c r="AB896" s="5">
        <f t="shared" si="637"/>
        <v>0</v>
      </c>
      <c r="AC896" s="5">
        <f t="shared" si="637"/>
        <v>0</v>
      </c>
    </row>
    <row r="897" spans="1:29">
      <c r="A897"/>
      <c r="B897" s="74" t="s">
        <v>1072</v>
      </c>
      <c r="I897" s="99">
        <f t="shared" ref="I897:AC897" ca="1" si="638">I692</f>
        <v>0</v>
      </c>
      <c r="J897" s="5">
        <f t="shared" ca="1" si="638"/>
        <v>0</v>
      </c>
      <c r="K897" s="5">
        <f t="shared" ca="1" si="638"/>
        <v>0</v>
      </c>
      <c r="L897" s="5">
        <f t="shared" ca="1" si="638"/>
        <v>0</v>
      </c>
      <c r="M897" s="5">
        <f t="shared" ca="1" si="638"/>
        <v>0</v>
      </c>
      <c r="N897" s="5">
        <f t="shared" ca="1" si="638"/>
        <v>0</v>
      </c>
      <c r="O897" s="5">
        <f t="shared" ca="1" si="638"/>
        <v>0</v>
      </c>
      <c r="P897" s="5">
        <f t="shared" ca="1" si="638"/>
        <v>0</v>
      </c>
      <c r="Q897" s="5">
        <f t="shared" ca="1" si="638"/>
        <v>0</v>
      </c>
      <c r="R897" s="5">
        <f t="shared" ca="1" si="638"/>
        <v>0</v>
      </c>
      <c r="S897" s="5">
        <f t="shared" ca="1" si="638"/>
        <v>0</v>
      </c>
      <c r="T897" s="5">
        <f t="shared" ca="1" si="638"/>
        <v>0</v>
      </c>
      <c r="U897" s="5">
        <f t="shared" ca="1" si="638"/>
        <v>0</v>
      </c>
      <c r="V897" s="5">
        <f t="shared" ca="1" si="638"/>
        <v>0</v>
      </c>
      <c r="W897" s="5">
        <f t="shared" ca="1" si="638"/>
        <v>0</v>
      </c>
      <c r="X897" s="5">
        <f t="shared" ca="1" si="638"/>
        <v>0</v>
      </c>
      <c r="Y897" s="5">
        <f t="shared" ca="1" si="638"/>
        <v>0</v>
      </c>
      <c r="Z897" s="5">
        <f t="shared" ca="1" si="638"/>
        <v>0</v>
      </c>
      <c r="AA897" s="5">
        <f t="shared" ca="1" si="638"/>
        <v>0</v>
      </c>
      <c r="AB897" s="5">
        <f t="shared" ca="1" si="638"/>
        <v>0</v>
      </c>
      <c r="AC897" s="5">
        <f t="shared" ca="1" si="638"/>
        <v>0</v>
      </c>
    </row>
    <row r="898" spans="1:29">
      <c r="A898" s="74" t="s">
        <v>1013</v>
      </c>
      <c r="B898" s="74" t="s">
        <v>1073</v>
      </c>
      <c r="I898" s="99">
        <f t="shared" ref="I898:AC898" ca="1" si="639">I130</f>
        <v>0</v>
      </c>
      <c r="J898" s="5">
        <f t="shared" ca="1" si="639"/>
        <v>0</v>
      </c>
      <c r="K898" s="5">
        <f t="shared" ca="1" si="639"/>
        <v>0</v>
      </c>
      <c r="L898" s="5">
        <f t="shared" ca="1" si="639"/>
        <v>0</v>
      </c>
      <c r="M898" s="5">
        <f t="shared" ca="1" si="639"/>
        <v>0</v>
      </c>
      <c r="N898" s="5">
        <f t="shared" ca="1" si="639"/>
        <v>0</v>
      </c>
      <c r="O898" s="5">
        <f t="shared" ca="1" si="639"/>
        <v>0</v>
      </c>
      <c r="P898" s="5">
        <f t="shared" ca="1" si="639"/>
        <v>0</v>
      </c>
      <c r="Q898" s="5">
        <f t="shared" ca="1" si="639"/>
        <v>0</v>
      </c>
      <c r="R898" s="5">
        <f t="shared" ca="1" si="639"/>
        <v>0</v>
      </c>
      <c r="S898" s="5">
        <f t="shared" ca="1" si="639"/>
        <v>0</v>
      </c>
      <c r="T898" s="5">
        <f t="shared" ca="1" si="639"/>
        <v>0</v>
      </c>
      <c r="U898" s="5">
        <f t="shared" ca="1" si="639"/>
        <v>0</v>
      </c>
      <c r="V898" s="5">
        <f t="shared" ca="1" si="639"/>
        <v>0</v>
      </c>
      <c r="W898" s="5">
        <f t="shared" ca="1" si="639"/>
        <v>0</v>
      </c>
      <c r="X898" s="5">
        <f t="shared" ca="1" si="639"/>
        <v>0</v>
      </c>
      <c r="Y898" s="5">
        <f t="shared" ca="1" si="639"/>
        <v>0</v>
      </c>
      <c r="Z898" s="5">
        <f t="shared" ca="1" si="639"/>
        <v>0</v>
      </c>
      <c r="AA898" s="5">
        <f t="shared" ca="1" si="639"/>
        <v>0</v>
      </c>
      <c r="AB898" s="5">
        <f t="shared" ca="1" si="639"/>
        <v>0</v>
      </c>
      <c r="AC898" s="5">
        <f t="shared" ca="1" si="639"/>
        <v>0</v>
      </c>
    </row>
    <row r="899" spans="1:29">
      <c r="A899" s="74"/>
      <c r="B899" s="74" t="s">
        <v>621</v>
      </c>
      <c r="I899" s="99">
        <f t="shared" ref="I899:AC899" si="640">I128</f>
        <v>0</v>
      </c>
      <c r="J899" s="5">
        <f t="shared" si="640"/>
        <v>0</v>
      </c>
      <c r="K899" s="5">
        <f t="shared" si="640"/>
        <v>0</v>
      </c>
      <c r="L899" s="5">
        <f t="shared" si="640"/>
        <v>0</v>
      </c>
      <c r="M899" s="5">
        <f t="shared" si="640"/>
        <v>0</v>
      </c>
      <c r="N899" s="5">
        <f t="shared" si="640"/>
        <v>0</v>
      </c>
      <c r="O899" s="5">
        <f t="shared" si="640"/>
        <v>25.811</v>
      </c>
      <c r="P899" s="5">
        <f t="shared" si="640"/>
        <v>5.5119999999999996</v>
      </c>
      <c r="Q899" s="5">
        <f t="shared" si="640"/>
        <v>16.2</v>
      </c>
      <c r="R899" s="5">
        <f t="shared" si="640"/>
        <v>0</v>
      </c>
      <c r="S899" s="5">
        <f t="shared" si="640"/>
        <v>0</v>
      </c>
      <c r="T899" s="5">
        <f t="shared" si="640"/>
        <v>0</v>
      </c>
      <c r="U899" s="5">
        <f t="shared" si="640"/>
        <v>0</v>
      </c>
      <c r="V899" s="5">
        <f t="shared" si="640"/>
        <v>0</v>
      </c>
      <c r="W899" s="5">
        <f t="shared" si="640"/>
        <v>0</v>
      </c>
      <c r="X899" s="5">
        <f t="shared" si="640"/>
        <v>0</v>
      </c>
      <c r="Y899" s="5">
        <f t="shared" si="640"/>
        <v>0</v>
      </c>
      <c r="Z899" s="5">
        <f t="shared" si="640"/>
        <v>0</v>
      </c>
      <c r="AA899" s="5">
        <f t="shared" si="640"/>
        <v>0</v>
      </c>
      <c r="AB899" s="5">
        <f t="shared" si="640"/>
        <v>0</v>
      </c>
      <c r="AC899" s="5">
        <f t="shared" si="640"/>
        <v>0</v>
      </c>
    </row>
    <row r="900" spans="1:29" ht="12" thickBot="1">
      <c r="A900" s="70" t="s">
        <v>1074</v>
      </c>
      <c r="H900" s="232">
        <v>0</v>
      </c>
      <c r="I900" s="178">
        <f t="shared" ref="I900:R900" ca="1" si="641">I893+I895+I896-I898-I899</f>
        <v>-310.96378931940967</v>
      </c>
      <c r="J900" s="61">
        <f t="shared" ca="1" si="641"/>
        <v>3979.4318840020505</v>
      </c>
      <c r="K900" s="61">
        <f t="shared" ca="1" si="641"/>
        <v>3169.124352997409</v>
      </c>
      <c r="L900" s="61">
        <f t="shared" ca="1" si="641"/>
        <v>2913.5724650104376</v>
      </c>
      <c r="M900" s="61">
        <f t="shared" ca="1" si="641"/>
        <v>2703.5874999279549</v>
      </c>
      <c r="N900" s="61">
        <f t="shared" ca="1" si="641"/>
        <v>2437.5256190770283</v>
      </c>
      <c r="O900" s="61">
        <f t="shared" ca="1" si="641"/>
        <v>2095.3443109728123</v>
      </c>
      <c r="P900" s="61">
        <f t="shared" ca="1" si="641"/>
        <v>1810.9709405559438</v>
      </c>
      <c r="Q900" s="61">
        <f t="shared" ca="1" si="641"/>
        <v>1562.6122547505076</v>
      </c>
      <c r="R900" s="61">
        <f t="shared" ca="1" si="641"/>
        <v>1365.4777606252464</v>
      </c>
      <c r="S900" s="61">
        <f t="shared" ref="S900:AC900" ca="1" si="642">S893+S895+S896-S898-S899</f>
        <v>1197.287660835919</v>
      </c>
      <c r="T900" s="61">
        <f t="shared" ca="1" si="642"/>
        <v>1041.33593663174</v>
      </c>
      <c r="U900" s="61">
        <f t="shared" ca="1" si="642"/>
        <v>910.86495356866828</v>
      </c>
      <c r="V900" s="61">
        <f t="shared" ca="1" si="642"/>
        <v>783.6192049213214</v>
      </c>
      <c r="W900" s="61">
        <f t="shared" ca="1" si="642"/>
        <v>687.34782303142629</v>
      </c>
      <c r="X900" s="61">
        <f t="shared" ca="1" si="642"/>
        <v>587.95686152794588</v>
      </c>
      <c r="Y900" s="61">
        <f t="shared" ca="1" si="642"/>
        <v>498.16798891568942</v>
      </c>
      <c r="Z900" s="61">
        <f t="shared" ca="1" si="642"/>
        <v>389.75321573473349</v>
      </c>
      <c r="AA900" s="61">
        <f t="shared" ca="1" si="642"/>
        <v>315.65426305901093</v>
      </c>
      <c r="AB900" s="61">
        <f t="shared" ca="1" si="642"/>
        <v>257.11816778834077</v>
      </c>
      <c r="AC900" s="61">
        <f t="shared" ca="1" si="642"/>
        <v>224.83151605422589</v>
      </c>
    </row>
    <row r="901" spans="1:29" ht="12" thickTop="1">
      <c r="A901" s="70"/>
      <c r="H901" s="232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</row>
    <row r="902" spans="1:29">
      <c r="A902" s="70"/>
      <c r="E902" s="467" t="s">
        <v>1314</v>
      </c>
      <c r="F902" s="467"/>
      <c r="G902" s="467"/>
      <c r="H902" s="4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</row>
    <row r="903" spans="1:29">
      <c r="A903" s="70"/>
      <c r="E903" s="227" t="s">
        <v>164</v>
      </c>
      <c r="F903" s="227" t="s">
        <v>165</v>
      </c>
      <c r="G903" s="227" t="s">
        <v>166</v>
      </c>
      <c r="H903" s="468" t="s">
        <v>167</v>
      </c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</row>
    <row r="904" spans="1:29">
      <c r="A904" s="83" t="s">
        <v>1075</v>
      </c>
      <c r="B904"/>
      <c r="E904" s="502" t="s">
        <v>19</v>
      </c>
      <c r="F904" s="502"/>
      <c r="G904" s="502"/>
      <c r="H904" s="502"/>
      <c r="I904" s="576">
        <v>1</v>
      </c>
      <c r="J904" s="576">
        <v>1</v>
      </c>
      <c r="K904" s="576">
        <v>1</v>
      </c>
      <c r="L904" s="576">
        <v>1</v>
      </c>
      <c r="M904" s="576">
        <v>1</v>
      </c>
      <c r="N904" s="576">
        <v>1</v>
      </c>
      <c r="O904" s="576">
        <v>1</v>
      </c>
      <c r="P904" s="576">
        <v>1</v>
      </c>
      <c r="Q904" s="576">
        <v>1</v>
      </c>
      <c r="R904" s="576">
        <v>1</v>
      </c>
      <c r="S904" s="576">
        <v>1</v>
      </c>
      <c r="T904" s="576">
        <v>1</v>
      </c>
      <c r="U904" s="576">
        <v>1</v>
      </c>
      <c r="V904" s="576">
        <v>1</v>
      </c>
      <c r="W904" s="576">
        <v>1</v>
      </c>
      <c r="X904" s="576">
        <v>1</v>
      </c>
      <c r="Y904" s="576">
        <v>1</v>
      </c>
      <c r="Z904" s="576">
        <v>1</v>
      </c>
      <c r="AA904" s="576">
        <v>1</v>
      </c>
      <c r="AB904" s="576">
        <v>1</v>
      </c>
      <c r="AC904" s="576">
        <v>1</v>
      </c>
    </row>
    <row r="905" spans="1:29">
      <c r="A905" s="83" t="s">
        <v>1076</v>
      </c>
      <c r="B905"/>
      <c r="E905" s="502" t="s">
        <v>19</v>
      </c>
      <c r="F905" s="502"/>
      <c r="G905" s="502"/>
      <c r="H905" s="502"/>
      <c r="I905" s="576">
        <v>1</v>
      </c>
      <c r="J905" s="576">
        <v>1</v>
      </c>
      <c r="K905" s="576">
        <v>1</v>
      </c>
      <c r="L905" s="576">
        <v>1</v>
      </c>
      <c r="M905" s="576">
        <v>1</v>
      </c>
      <c r="N905" s="576">
        <v>1</v>
      </c>
      <c r="O905" s="576">
        <v>1</v>
      </c>
      <c r="P905" s="576">
        <v>1</v>
      </c>
      <c r="Q905" s="576">
        <v>1</v>
      </c>
      <c r="R905" s="576">
        <v>1</v>
      </c>
      <c r="S905" s="576">
        <v>1</v>
      </c>
      <c r="T905" s="576">
        <v>1</v>
      </c>
      <c r="U905" s="576">
        <v>1</v>
      </c>
      <c r="V905" s="576">
        <v>1</v>
      </c>
      <c r="W905" s="576">
        <v>1</v>
      </c>
      <c r="X905" s="576">
        <v>1</v>
      </c>
      <c r="Y905" s="576">
        <v>1</v>
      </c>
      <c r="Z905" s="576">
        <v>1</v>
      </c>
      <c r="AA905" s="576">
        <v>1</v>
      </c>
      <c r="AB905" s="576">
        <v>1</v>
      </c>
      <c r="AC905" s="576">
        <v>1</v>
      </c>
    </row>
    <row r="906" spans="1:29" ht="12" thickBot="1">
      <c r="A906" s="225" t="s">
        <v>1077</v>
      </c>
      <c r="H906" s="232">
        <v>0</v>
      </c>
      <c r="I906" s="470">
        <f t="shared" ref="I906:R906" ca="1" si="643">+I900*I904*I905</f>
        <v>-310.96378931940967</v>
      </c>
      <c r="J906" s="470">
        <f t="shared" ca="1" si="643"/>
        <v>3979.4318840020505</v>
      </c>
      <c r="K906" s="470">
        <f t="shared" ca="1" si="643"/>
        <v>3169.124352997409</v>
      </c>
      <c r="L906" s="470">
        <f t="shared" ca="1" si="643"/>
        <v>2913.5724650104376</v>
      </c>
      <c r="M906" s="470">
        <f t="shared" ca="1" si="643"/>
        <v>2703.5874999279549</v>
      </c>
      <c r="N906" s="470">
        <f t="shared" ca="1" si="643"/>
        <v>2437.5256190770283</v>
      </c>
      <c r="O906" s="470">
        <f t="shared" ca="1" si="643"/>
        <v>2095.3443109728123</v>
      </c>
      <c r="P906" s="470">
        <f t="shared" ca="1" si="643"/>
        <v>1810.9709405559438</v>
      </c>
      <c r="Q906" s="470">
        <f t="shared" ca="1" si="643"/>
        <v>1562.6122547505076</v>
      </c>
      <c r="R906" s="470">
        <f t="shared" ca="1" si="643"/>
        <v>1365.4777606252464</v>
      </c>
      <c r="S906" s="470">
        <f t="shared" ref="S906:AC906" ca="1" si="644">+S900*S904*S905</f>
        <v>1197.287660835919</v>
      </c>
      <c r="T906" s="470">
        <f t="shared" ca="1" si="644"/>
        <v>1041.33593663174</v>
      </c>
      <c r="U906" s="470">
        <f t="shared" ca="1" si="644"/>
        <v>910.86495356866828</v>
      </c>
      <c r="V906" s="470">
        <f t="shared" ca="1" si="644"/>
        <v>783.6192049213214</v>
      </c>
      <c r="W906" s="470">
        <f t="shared" ca="1" si="644"/>
        <v>687.34782303142629</v>
      </c>
      <c r="X906" s="470">
        <f t="shared" ca="1" si="644"/>
        <v>587.95686152794588</v>
      </c>
      <c r="Y906" s="470">
        <f t="shared" ca="1" si="644"/>
        <v>498.16798891568942</v>
      </c>
      <c r="Z906" s="470">
        <f t="shared" ca="1" si="644"/>
        <v>389.75321573473349</v>
      </c>
      <c r="AA906" s="470">
        <f t="shared" ca="1" si="644"/>
        <v>315.65426305901093</v>
      </c>
      <c r="AB906" s="470">
        <f t="shared" ca="1" si="644"/>
        <v>257.11816778834077</v>
      </c>
      <c r="AC906" s="470">
        <f t="shared" ca="1" si="644"/>
        <v>224.83151605422589</v>
      </c>
    </row>
    <row r="907" spans="1:29" ht="12" thickTop="1">
      <c r="A907" s="70"/>
      <c r="H907" s="232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</row>
    <row r="908" spans="1:29">
      <c r="A908" s="70"/>
      <c r="H908" s="232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</row>
    <row r="909" spans="1:29" ht="12" thickBot="1">
      <c r="A909" s="74"/>
    </row>
    <row r="910" spans="1:29" ht="12" thickTop="1">
      <c r="A910" s="74"/>
      <c r="E910" s="195" t="s">
        <v>1078</v>
      </c>
      <c r="G910" s="195" t="s">
        <v>1078</v>
      </c>
      <c r="I910" s="195" t="s">
        <v>1079</v>
      </c>
      <c r="L910" s="224" t="s">
        <v>1080</v>
      </c>
    </row>
    <row r="911" spans="1:29" ht="12" thickBot="1">
      <c r="A911" s="70" t="s">
        <v>1081</v>
      </c>
      <c r="E911" s="196" t="s">
        <v>1082</v>
      </c>
      <c r="G911" s="196" t="s">
        <v>1083</v>
      </c>
      <c r="I911" s="196" t="s">
        <v>157</v>
      </c>
      <c r="L911" s="74" t="s">
        <v>1084</v>
      </c>
      <c r="Q911" s="5">
        <v>10</v>
      </c>
    </row>
    <row r="912" spans="1:29" ht="12" thickTop="1">
      <c r="A912" s="74" t="s">
        <v>1085</v>
      </c>
      <c r="E912" s="50"/>
      <c r="G912" s="50"/>
      <c r="I912" s="50">
        <f ca="1">S890+S895+S896+S897</f>
        <v>1839.2162204235951</v>
      </c>
      <c r="L912" s="83" t="s">
        <v>1086</v>
      </c>
      <c r="Q912" s="223">
        <f>N389-P390</f>
        <v>0</v>
      </c>
    </row>
    <row r="913" spans="1:18">
      <c r="A913" s="74" t="s">
        <v>1087</v>
      </c>
      <c r="E913" s="5">
        <f ca="1">$S$893</f>
        <v>1192.1530392342556</v>
      </c>
      <c r="G913" s="5">
        <f ca="1">E913</f>
        <v>1192.1530392342556</v>
      </c>
      <c r="L913" s="74" t="s">
        <v>1088</v>
      </c>
      <c r="Q913" s="223">
        <f>N411+N412+N415+N416+N418+N424</f>
        <v>0</v>
      </c>
    </row>
    <row r="914" spans="1:18">
      <c r="A914" s="74"/>
      <c r="L914" s="74" t="s">
        <v>1089</v>
      </c>
      <c r="Q914" s="554">
        <v>0</v>
      </c>
    </row>
    <row r="915" spans="1:18">
      <c r="A915" s="74" t="s">
        <v>1090</v>
      </c>
      <c r="E915" s="55">
        <f>R926</f>
        <v>0.12787500000000002</v>
      </c>
      <c r="G915" s="55">
        <f>E915</f>
        <v>0.12787500000000002</v>
      </c>
      <c r="L915" s="74" t="s">
        <v>1091</v>
      </c>
      <c r="Q915" s="568">
        <v>0.01</v>
      </c>
    </row>
    <row r="916" spans="1:18">
      <c r="A916" s="74" t="s">
        <v>1091</v>
      </c>
      <c r="E916" s="55"/>
      <c r="G916" s="55">
        <f>Q915</f>
        <v>0.01</v>
      </c>
      <c r="L916" s="74" t="s">
        <v>1092</v>
      </c>
      <c r="Q916" s="575">
        <v>6</v>
      </c>
    </row>
    <row r="917" spans="1:18">
      <c r="A917" s="74" t="s">
        <v>1093</v>
      </c>
      <c r="E917" s="55"/>
      <c r="G917" s="55"/>
      <c r="I917" s="197">
        <f>Q916</f>
        <v>6</v>
      </c>
    </row>
    <row r="918" spans="1:18">
      <c r="A918" s="74" t="s">
        <v>1094</v>
      </c>
      <c r="E918" s="50">
        <f ca="1">IF(ISERR(E913/$R$926),0,E913/$R$926)</f>
        <v>9322.7999158104049</v>
      </c>
      <c r="G918" s="50">
        <f ca="1">IF(ISERR((G913*(1+G916))/($R$926-G916)),0,(G913*(1+G916))/(R926-G916))</f>
        <v>10214.842584318965</v>
      </c>
      <c r="I918" s="50">
        <f ca="1">I917*I912</f>
        <v>11035.29732254157</v>
      </c>
      <c r="L918" s="70" t="s">
        <v>1095</v>
      </c>
      <c r="Q918" s="16"/>
    </row>
    <row r="919" spans="1:18">
      <c r="A919" s="74"/>
      <c r="L919" s="74" t="s">
        <v>533</v>
      </c>
      <c r="Q919" s="568">
        <v>0.35</v>
      </c>
    </row>
    <row r="920" spans="1:18">
      <c r="A920" s="70" t="str">
        <f ca="1">"VALUATION as of "&amp;TEXT(H888,"m/d/y")</f>
        <v>VALUATION as of 6/30/99</v>
      </c>
      <c r="L920" s="74" t="s">
        <v>153</v>
      </c>
      <c r="Q920" s="568">
        <v>1</v>
      </c>
    </row>
    <row r="921" spans="1:18">
      <c r="A921" s="74" t="s">
        <v>1096</v>
      </c>
      <c r="E921" s="5">
        <f ca="1">XNPV($R$926,$H$906:$S$906,H888:$S$888)</f>
        <v>13133.836333599571</v>
      </c>
      <c r="G921" s="5">
        <f ca="1">XNPV($R$926,$H$906:$S$906,$H$888:$S$888)</f>
        <v>13133.836333599571</v>
      </c>
      <c r="I921" s="5">
        <f ca="1">XNPV($R$926,$H$906:$S$906,$H$888:$S$888)</f>
        <v>13133.836333599571</v>
      </c>
      <c r="L921" s="74" t="s">
        <v>1097</v>
      </c>
      <c r="Q921" s="55">
        <f>(100*Q920)/(100*Q920+100)</f>
        <v>0.5</v>
      </c>
    </row>
    <row r="922" spans="1:18">
      <c r="A922" s="74" t="s">
        <v>1098</v>
      </c>
      <c r="E922" s="5">
        <f ca="1">(E918/(1+$R$926)^$Q$911)/(1+$R$926)^IF($C$328=1,0,$C$328)</f>
        <v>2635.1550551998862</v>
      </c>
      <c r="G922" s="5">
        <f ca="1">(G918/(1+$R$926)^$Q$911)/(1+$R$926)^IF($C$328=1,0,$C$328)</f>
        <v>2887.2971979683757</v>
      </c>
      <c r="I922" s="5">
        <f ca="1">(I918/(1+$R$926)^$Q$911)/(1+$R$926)^IF($C$328=1,0,$C$328)</f>
        <v>3119.2045080591402</v>
      </c>
      <c r="L922" s="74" t="s">
        <v>1099</v>
      </c>
      <c r="Q922" s="55">
        <f>O932</f>
        <v>0.155</v>
      </c>
    </row>
    <row r="923" spans="1:18">
      <c r="A923" s="74" t="s">
        <v>1100</v>
      </c>
      <c r="E923" s="5">
        <f>Q912</f>
        <v>0</v>
      </c>
      <c r="G923" s="5">
        <f>E923</f>
        <v>0</v>
      </c>
      <c r="I923" s="5">
        <f>G923</f>
        <v>0</v>
      </c>
      <c r="L923" s="74" t="s">
        <v>1101</v>
      </c>
      <c r="Q923" s="55"/>
      <c r="R923" s="55">
        <f>Q922+((1-Q919)*(Q922-Q924)*Q920)</f>
        <v>0.20700000000000002</v>
      </c>
    </row>
    <row r="924" spans="1:18">
      <c r="A924" s="74" t="s">
        <v>1102</v>
      </c>
      <c r="E924" s="50">
        <f ca="1">SUM(E921:E923)</f>
        <v>15768.991388799457</v>
      </c>
      <c r="G924" s="50">
        <f ca="1">SUM(G921:G923)</f>
        <v>16021.133531567946</v>
      </c>
      <c r="I924" s="50">
        <f ca="1">SUM(I921:I923)</f>
        <v>16253.040841658711</v>
      </c>
      <c r="L924" s="74" t="s">
        <v>1103</v>
      </c>
      <c r="Q924" s="568">
        <v>7.4999999999999997E-2</v>
      </c>
      <c r="R924" s="55"/>
    </row>
    <row r="925" spans="1:18">
      <c r="A925" s="74"/>
      <c r="L925" s="74" t="s">
        <v>1104</v>
      </c>
      <c r="Q925" s="143"/>
      <c r="R925" s="55">
        <f>Q924*(1-Q919)</f>
        <v>4.8750000000000002E-2</v>
      </c>
    </row>
    <row r="926" spans="1:18" ht="12" thickBot="1">
      <c r="A926" s="74" t="s">
        <v>1105</v>
      </c>
      <c r="E926" s="5">
        <f>Q913</f>
        <v>0</v>
      </c>
      <c r="G926" s="5">
        <f>E926</f>
        <v>0</v>
      </c>
      <c r="I926" s="5">
        <f>G926</f>
        <v>0</v>
      </c>
      <c r="L926" s="70" t="s">
        <v>1106</v>
      </c>
      <c r="Q926" s="143"/>
      <c r="R926" s="198">
        <f>Q921*R925+R923*(1-Q921)</f>
        <v>0.12787500000000002</v>
      </c>
    </row>
    <row r="927" spans="1:18" ht="12.75" thickTop="1" thickBot="1">
      <c r="A927" s="74" t="s">
        <v>1107</v>
      </c>
      <c r="E927" s="61">
        <f ca="1">E924-E926</f>
        <v>15768.991388799457</v>
      </c>
      <c r="G927" s="61">
        <f ca="1">G924-G926</f>
        <v>16021.133531567946</v>
      </c>
      <c r="I927" s="61">
        <f ca="1">I924-I926</f>
        <v>16253.040841658711</v>
      </c>
    </row>
    <row r="928" spans="1:18" ht="12" thickTop="1">
      <c r="A928" s="74"/>
      <c r="L928" s="70" t="s">
        <v>1108</v>
      </c>
      <c r="R928" s="55"/>
    </row>
    <row r="929" spans="1:29">
      <c r="A929" s="74" t="str">
        <f ca="1">"Number of Shares Outstanding at "&amp;TEXT(H888,"m/d/y")</f>
        <v>Number of Shares Outstanding at 6/30/99</v>
      </c>
      <c r="E929" s="90">
        <f>Q914</f>
        <v>0</v>
      </c>
      <c r="G929" s="90">
        <f>E929</f>
        <v>0</v>
      </c>
      <c r="I929" s="90">
        <f>G929</f>
        <v>0</v>
      </c>
      <c r="L929" s="74" t="s">
        <v>1109</v>
      </c>
      <c r="O929" s="568">
        <v>7.4999999999999997E-2</v>
      </c>
      <c r="P929" s="83" t="s">
        <v>1110</v>
      </c>
    </row>
    <row r="930" spans="1:29">
      <c r="A930" s="74"/>
      <c r="L930" s="74" t="s">
        <v>1111</v>
      </c>
      <c r="O930" s="577">
        <v>2</v>
      </c>
      <c r="P930" s="74" t="s">
        <v>1112</v>
      </c>
    </row>
    <row r="931" spans="1:29">
      <c r="A931" s="74"/>
      <c r="L931" s="74" t="s">
        <v>1113</v>
      </c>
      <c r="O931" s="568">
        <v>0.04</v>
      </c>
      <c r="P931" s="74"/>
    </row>
    <row r="932" spans="1:29" ht="12" thickBot="1">
      <c r="A932" s="74" t="s">
        <v>1114</v>
      </c>
      <c r="E932" s="199">
        <f ca="1">IF(ISERR(E927/E929),0,E927/E929)</f>
        <v>0</v>
      </c>
      <c r="G932" s="199">
        <f ca="1">IF(ISERR(G927/G929),0,G927/G929)</f>
        <v>0</v>
      </c>
      <c r="I932" s="199">
        <f ca="1">IF(ISERR(I927/I929),0,I927/I929)</f>
        <v>0</v>
      </c>
      <c r="L932" s="70" t="s">
        <v>1115</v>
      </c>
      <c r="O932" s="198">
        <f>O929+(O930*O931)</f>
        <v>0.155</v>
      </c>
    </row>
    <row r="933" spans="1:29" ht="12" thickTop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29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29" ht="12" thickBo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29" ht="12" thickTop="1">
      <c r="A936" s="655"/>
      <c r="B936" s="655"/>
      <c r="C936" s="655"/>
      <c r="D936" s="655"/>
      <c r="E936" s="655"/>
      <c r="F936" s="655"/>
      <c r="G936" s="655"/>
      <c r="H936" s="655"/>
      <c r="I936" s="655"/>
      <c r="J936" s="655"/>
      <c r="K936" s="655"/>
      <c r="L936" s="655"/>
      <c r="M936" s="655"/>
      <c r="N936" s="655"/>
      <c r="O936" s="655"/>
      <c r="P936" s="655"/>
      <c r="Q936" s="655"/>
      <c r="R936" s="655"/>
      <c r="S936" s="655"/>
      <c r="T936" s="656"/>
      <c r="U936" s="656"/>
      <c r="V936" s="656"/>
      <c r="W936" s="656"/>
      <c r="X936" s="656"/>
      <c r="Y936" s="656"/>
      <c r="Z936" s="656"/>
      <c r="AA936" s="656"/>
      <c r="AB936" s="656"/>
      <c r="AC936" s="656"/>
    </row>
    <row r="937" spans="1:29">
      <c r="A937" s="657" t="s">
        <v>1116</v>
      </c>
      <c r="B937" s="637"/>
      <c r="C937" s="637"/>
      <c r="D937" s="637"/>
      <c r="E937" s="637"/>
      <c r="F937" s="637"/>
      <c r="G937" s="637"/>
      <c r="H937" s="637"/>
      <c r="I937" s="637"/>
      <c r="J937" s="637"/>
      <c r="K937" s="637"/>
      <c r="L937" s="637"/>
      <c r="M937" s="637"/>
      <c r="N937" s="637"/>
      <c r="O937" s="637"/>
      <c r="P937" s="637"/>
      <c r="Q937" s="637"/>
      <c r="R937" s="637"/>
      <c r="S937" s="637"/>
      <c r="T937" s="645"/>
      <c r="U937" s="645"/>
      <c r="V937" s="645"/>
      <c r="W937" s="645"/>
      <c r="X937" s="645"/>
      <c r="Y937" s="645"/>
      <c r="Z937" s="645"/>
      <c r="AA937" s="645"/>
      <c r="AB937" s="645"/>
      <c r="AC937" s="645"/>
    </row>
    <row r="938" spans="1:29">
      <c r="A938" s="637"/>
      <c r="B938" s="637" t="str">
        <f>EP!B832</f>
        <v>Revenues (excluding deferred PP revenue)</v>
      </c>
      <c r="C938" s="637"/>
      <c r="D938" s="637"/>
      <c r="E938" s="658">
        <f>+EP!E832</f>
        <v>0</v>
      </c>
      <c r="F938" s="658">
        <f>+EP!F832</f>
        <v>0</v>
      </c>
      <c r="G938" s="658">
        <f>+EP!G832</f>
        <v>0</v>
      </c>
      <c r="H938" s="658">
        <f>+EP!H832</f>
        <v>0</v>
      </c>
      <c r="I938" s="658">
        <f>+EP!I832</f>
        <v>-515.87756577331356</v>
      </c>
      <c r="J938" s="658">
        <f ca="1">+EP!J832</f>
        <v>6790.5296238597939</v>
      </c>
      <c r="K938" s="658">
        <f ca="1">+EP!K832</f>
        <v>5417.5924313748037</v>
      </c>
      <c r="L938" s="658">
        <f ca="1">+EP!L832</f>
        <v>4984.6004151312054</v>
      </c>
      <c r="M938" s="658">
        <f ca="1">+EP!M832</f>
        <v>4628.8143001151384</v>
      </c>
      <c r="N938" s="658">
        <f ca="1">+EP!N832</f>
        <v>4178.0147730888311</v>
      </c>
      <c r="O938" s="658">
        <f ca="1">+EP!O832</f>
        <v>3639.3785476709422</v>
      </c>
      <c r="P938" s="658">
        <f ca="1">+EP!P832</f>
        <v>3122.9489386656724</v>
      </c>
      <c r="Q938" s="658">
        <f ca="1">+EP!Q832</f>
        <v>2732.3324514220212</v>
      </c>
      <c r="R938" s="658">
        <f ca="1">+EP!R832</f>
        <v>2374.1924905099418</v>
      </c>
      <c r="S938" s="658">
        <f ca="1">+EP!S832</f>
        <v>2069.4848242550606</v>
      </c>
      <c r="T938" s="658">
        <f ca="1">+EP!T832</f>
        <v>1805.7362655736702</v>
      </c>
      <c r="U938" s="658">
        <f ca="1">+EP!U832</f>
        <v>1585.0876602653127</v>
      </c>
      <c r="V938" s="658">
        <f ca="1">+EP!V832</f>
        <v>1369.8736788234223</v>
      </c>
      <c r="W938" s="658">
        <f ca="1">+EP!W832</f>
        <v>1184.6961665649494</v>
      </c>
      <c r="X938" s="658">
        <f ca="1">+EP!X832</f>
        <v>1016.5665713882831</v>
      </c>
      <c r="Y938" s="658">
        <f ca="1">+EP!Y832</f>
        <v>848.49570511276215</v>
      </c>
      <c r="Z938" s="658">
        <f ca="1">+EP!Z832</f>
        <v>659.69668918480602</v>
      </c>
      <c r="AA938" s="658">
        <f ca="1">+EP!AA832</f>
        <v>534.30737633167575</v>
      </c>
      <c r="AB938" s="658">
        <f ca="1">+EP!AB832</f>
        <v>435.24692068599745</v>
      </c>
      <c r="AC938" s="658">
        <f ca="1">+EP!AC832</f>
        <v>380.6115233955872</v>
      </c>
    </row>
    <row r="939" spans="1:29">
      <c r="A939" s="637"/>
      <c r="B939" s="637" t="str">
        <f>EP!B833</f>
        <v>Cost of Sales</v>
      </c>
      <c r="C939" s="637"/>
      <c r="D939" s="637"/>
      <c r="E939" s="658">
        <f>+EP!E833</f>
        <v>0</v>
      </c>
      <c r="F939" s="658">
        <f>+EP!F833</f>
        <v>0</v>
      </c>
      <c r="G939" s="658">
        <f>+EP!G833</f>
        <v>0</v>
      </c>
      <c r="H939" s="658">
        <f>+EP!H833</f>
        <v>0</v>
      </c>
      <c r="I939" s="658">
        <f ca="1">+EP!I833</f>
        <v>-37.471736051144838</v>
      </c>
      <c r="J939" s="658">
        <f ca="1">+EP!J833</f>
        <v>668.32672539510099</v>
      </c>
      <c r="K939" s="658">
        <f ca="1">+EP!K833</f>
        <v>542.016503686482</v>
      </c>
      <c r="L939" s="658">
        <f ca="1">+EP!L833</f>
        <v>502.18123819207096</v>
      </c>
      <c r="M939" s="658">
        <f ca="1">+EP!M833</f>
        <v>469.44891561059273</v>
      </c>
      <c r="N939" s="658">
        <f ca="1">+EP!N833</f>
        <v>427.97535912417243</v>
      </c>
      <c r="O939" s="658">
        <f ca="1">+EP!O833</f>
        <v>378.42082638572674</v>
      </c>
      <c r="P939" s="658">
        <f ca="1">+EP!P833</f>
        <v>330.90930235724181</v>
      </c>
      <c r="Q939" s="658">
        <f ca="1">+EP!Q833</f>
        <v>307.21458553082596</v>
      </c>
      <c r="R939" s="658">
        <f ca="1">+EP!R833</f>
        <v>276.72070912691458</v>
      </c>
      <c r="S939" s="658">
        <f ca="1">+EP!S833</f>
        <v>230.26860383146555</v>
      </c>
      <c r="T939" s="658">
        <f ca="1">+EP!T833</f>
        <v>206.00373643277769</v>
      </c>
      <c r="U939" s="658">
        <f ca="1">+EP!U833</f>
        <v>185.70406474440875</v>
      </c>
      <c r="V939" s="658">
        <f ca="1">+EP!V833</f>
        <v>165.90437845175484</v>
      </c>
      <c r="W939" s="658">
        <f ca="1">+EP!W833</f>
        <v>128.54904732397534</v>
      </c>
      <c r="X939" s="658">
        <f ca="1">+EP!X833</f>
        <v>113.08112456772207</v>
      </c>
      <c r="Y939" s="658">
        <f ca="1">+EP!Y833</f>
        <v>82.921604870374111</v>
      </c>
      <c r="Z939" s="658">
        <f ca="1">+EP!Z833</f>
        <v>60.692095405002149</v>
      </c>
      <c r="AA939" s="658">
        <f ca="1">+EP!AA833</f>
        <v>49.156278622514172</v>
      </c>
      <c r="AB939" s="658">
        <f ca="1">+EP!AB833</f>
        <v>40.042716703111765</v>
      </c>
      <c r="AC939" s="658">
        <f ca="1">+EP!AC833</f>
        <v>35.016260152394025</v>
      </c>
    </row>
    <row r="940" spans="1:29">
      <c r="A940" s="637"/>
      <c r="B940" s="637" t="str">
        <f>EP!B834</f>
        <v>Cash Expenses</v>
      </c>
      <c r="C940" s="637"/>
      <c r="D940" s="637"/>
      <c r="E940" s="658">
        <f>+EP!E834</f>
        <v>0</v>
      </c>
      <c r="F940" s="658">
        <f>+EP!F834</f>
        <v>0</v>
      </c>
      <c r="G940" s="658">
        <f>+EP!G834</f>
        <v>0</v>
      </c>
      <c r="H940" s="658">
        <f>+EP!H834</f>
        <v>0</v>
      </c>
      <c r="I940" s="658">
        <f ca="1">+EP!I834</f>
        <v>0</v>
      </c>
      <c r="J940" s="658">
        <f ca="1">+EP!J834</f>
        <v>0</v>
      </c>
      <c r="K940" s="658">
        <f ca="1">+EP!K834</f>
        <v>0</v>
      </c>
      <c r="L940" s="658">
        <f ca="1">+EP!L834</f>
        <v>0</v>
      </c>
      <c r="M940" s="658">
        <f ca="1">+EP!M834</f>
        <v>0</v>
      </c>
      <c r="N940" s="658">
        <f ca="1">+EP!N834</f>
        <v>0</v>
      </c>
      <c r="O940" s="658">
        <f ca="1">+EP!O834</f>
        <v>0</v>
      </c>
      <c r="P940" s="658">
        <f ca="1">+EP!P834</f>
        <v>0</v>
      </c>
      <c r="Q940" s="658">
        <f ca="1">+EP!Q834</f>
        <v>0</v>
      </c>
      <c r="R940" s="658">
        <f ca="1">+EP!R834</f>
        <v>0</v>
      </c>
      <c r="S940" s="658">
        <f ca="1">+EP!S834</f>
        <v>0</v>
      </c>
      <c r="T940" s="658">
        <f ca="1">+EP!T834</f>
        <v>0</v>
      </c>
      <c r="U940" s="658">
        <f ca="1">+EP!U834</f>
        <v>0</v>
      </c>
      <c r="V940" s="658">
        <f ca="1">+EP!V834</f>
        <v>0</v>
      </c>
      <c r="W940" s="658">
        <f ca="1">+EP!W834</f>
        <v>0</v>
      </c>
      <c r="X940" s="658">
        <f ca="1">+EP!X834</f>
        <v>0</v>
      </c>
      <c r="Y940" s="658">
        <f ca="1">+EP!Y834</f>
        <v>0</v>
      </c>
      <c r="Z940" s="658">
        <f ca="1">+EP!Z834</f>
        <v>0</v>
      </c>
      <c r="AA940" s="658">
        <f ca="1">+EP!AA834</f>
        <v>0</v>
      </c>
      <c r="AB940" s="658">
        <f ca="1">+EP!AB834</f>
        <v>0</v>
      </c>
      <c r="AC940" s="658">
        <f ca="1">+EP!AC834</f>
        <v>0</v>
      </c>
    </row>
    <row r="941" spans="1:29">
      <c r="A941" s="659"/>
      <c r="B941" s="641" t="str">
        <f>EP!B835</f>
        <v>Capital Expenditures - Total</v>
      </c>
      <c r="C941" s="641"/>
      <c r="D941" s="637"/>
      <c r="E941" s="658">
        <f>+EP!E835</f>
        <v>0</v>
      </c>
      <c r="F941" s="658">
        <f>+EP!F835</f>
        <v>0</v>
      </c>
      <c r="G941" s="658">
        <f>+EP!G835</f>
        <v>0</v>
      </c>
      <c r="H941" s="658">
        <f>+EP!H835</f>
        <v>0</v>
      </c>
      <c r="I941" s="658">
        <f>+EP!I835</f>
        <v>0</v>
      </c>
      <c r="J941" s="658">
        <f>+EP!J835</f>
        <v>0</v>
      </c>
      <c r="K941" s="658">
        <f>+EP!K835</f>
        <v>0</v>
      </c>
      <c r="L941" s="658">
        <f>+EP!L835</f>
        <v>0</v>
      </c>
      <c r="M941" s="658">
        <f>+EP!M835</f>
        <v>0</v>
      </c>
      <c r="N941" s="658">
        <f>+EP!N835</f>
        <v>0</v>
      </c>
      <c r="O941" s="658">
        <f>+EP!O835</f>
        <v>25.811</v>
      </c>
      <c r="P941" s="658">
        <f>+EP!P835</f>
        <v>5.5119999999999996</v>
      </c>
      <c r="Q941" s="658">
        <f>+EP!Q835</f>
        <v>16.2</v>
      </c>
      <c r="R941" s="658">
        <f>+EP!R835</f>
        <v>0</v>
      </c>
      <c r="S941" s="658">
        <f>+EP!S835</f>
        <v>0</v>
      </c>
      <c r="T941" s="658">
        <f>+EP!T835</f>
        <v>0</v>
      </c>
      <c r="U941" s="658">
        <f>+EP!U835</f>
        <v>0</v>
      </c>
      <c r="V941" s="658">
        <f>+EP!V835</f>
        <v>0</v>
      </c>
      <c r="W941" s="658">
        <f>+EP!W835</f>
        <v>0</v>
      </c>
      <c r="X941" s="658">
        <f>+EP!X835</f>
        <v>0</v>
      </c>
      <c r="Y941" s="658">
        <f>+EP!Y835</f>
        <v>0</v>
      </c>
      <c r="Z941" s="658">
        <f>+EP!Z835</f>
        <v>0</v>
      </c>
      <c r="AA941" s="658">
        <f>+EP!AA835</f>
        <v>0</v>
      </c>
      <c r="AB941" s="658">
        <f>+EP!AB835</f>
        <v>0</v>
      </c>
      <c r="AC941" s="658">
        <f>+EP!AC835</f>
        <v>0</v>
      </c>
    </row>
    <row r="942" spans="1:29">
      <c r="A942" s="659"/>
      <c r="B942" s="637" t="str">
        <f>EP!B836</f>
        <v>Capital Expenditures - Financed by Debt</v>
      </c>
      <c r="C942" s="637"/>
      <c r="D942" s="637"/>
      <c r="E942" s="658">
        <f>+EP!E836</f>
        <v>0</v>
      </c>
      <c r="F942" s="658">
        <f>+EP!F836</f>
        <v>0</v>
      </c>
      <c r="G942" s="658">
        <f>+EP!G836</f>
        <v>0</v>
      </c>
      <c r="H942" s="658">
        <f>+EP!H836</f>
        <v>0</v>
      </c>
      <c r="I942" s="658">
        <f>+EP!I836</f>
        <v>0</v>
      </c>
      <c r="J942" s="658">
        <f>+EP!J836</f>
        <v>0</v>
      </c>
      <c r="K942" s="658">
        <f>+EP!K836</f>
        <v>0</v>
      </c>
      <c r="L942" s="658">
        <f>+EP!L836</f>
        <v>0</v>
      </c>
      <c r="M942" s="658">
        <f>+EP!M836</f>
        <v>0</v>
      </c>
      <c r="N942" s="658">
        <f>+EP!N836</f>
        <v>0</v>
      </c>
      <c r="O942" s="658">
        <f>+EP!O836</f>
        <v>0</v>
      </c>
      <c r="P942" s="658">
        <f>+EP!P836</f>
        <v>0</v>
      </c>
      <c r="Q942" s="658">
        <f>+EP!Q836</f>
        <v>0</v>
      </c>
      <c r="R942" s="658">
        <f>+EP!R836</f>
        <v>0</v>
      </c>
      <c r="S942" s="658">
        <f>+EP!S836</f>
        <v>0</v>
      </c>
      <c r="T942" s="658">
        <f>+EP!T836</f>
        <v>0</v>
      </c>
      <c r="U942" s="658">
        <f>+EP!U836</f>
        <v>0</v>
      </c>
      <c r="V942" s="658">
        <f>+EP!V836</f>
        <v>0</v>
      </c>
      <c r="W942" s="658">
        <f>+EP!W836</f>
        <v>0</v>
      </c>
      <c r="X942" s="658">
        <f>+EP!X836</f>
        <v>0</v>
      </c>
      <c r="Y942" s="658">
        <f>+EP!Y836</f>
        <v>0</v>
      </c>
      <c r="Z942" s="658">
        <f>+EP!Z836</f>
        <v>0</v>
      </c>
      <c r="AA942" s="658">
        <f>+EP!AA836</f>
        <v>0</v>
      </c>
      <c r="AB942" s="658">
        <f>+EP!AB836</f>
        <v>0</v>
      </c>
      <c r="AC942" s="658">
        <f>+EP!AC836</f>
        <v>0</v>
      </c>
    </row>
    <row r="943" spans="1:29">
      <c r="A943" s="659"/>
      <c r="B943" s="637" t="s">
        <v>352</v>
      </c>
      <c r="C943" s="637"/>
      <c r="D943" s="637"/>
      <c r="E943" s="658">
        <f>+EP!E837</f>
        <v>0</v>
      </c>
      <c r="F943" s="658">
        <f>+EP!F837</f>
        <v>0</v>
      </c>
      <c r="G943" s="658">
        <f>+EP!G837</f>
        <v>0</v>
      </c>
      <c r="H943" s="658">
        <f>+EP!H837</f>
        <v>0</v>
      </c>
      <c r="I943" s="658">
        <f>+EP!I837</f>
        <v>0</v>
      </c>
      <c r="J943" s="658">
        <f>+EP!J837</f>
        <v>0</v>
      </c>
      <c r="K943" s="658">
        <f>+EP!K837</f>
        <v>0</v>
      </c>
      <c r="L943" s="658">
        <f>+EP!L837</f>
        <v>0</v>
      </c>
      <c r="M943" s="658">
        <f>+EP!M837</f>
        <v>0</v>
      </c>
      <c r="N943" s="658">
        <f>+EP!N837</f>
        <v>0</v>
      </c>
      <c r="O943" s="658">
        <f>+EP!O837</f>
        <v>0</v>
      </c>
      <c r="P943" s="658">
        <f>+EP!P837</f>
        <v>0</v>
      </c>
      <c r="Q943" s="658">
        <f>+EP!Q837</f>
        <v>0</v>
      </c>
      <c r="R943" s="658">
        <f>+EP!R837</f>
        <v>0</v>
      </c>
      <c r="S943" s="658">
        <f>+EP!S837</f>
        <v>0</v>
      </c>
      <c r="T943" s="658">
        <f>+EP!T837</f>
        <v>0</v>
      </c>
      <c r="U943" s="658">
        <f>+EP!U837</f>
        <v>0</v>
      </c>
      <c r="V943" s="658">
        <f>+EP!V837</f>
        <v>0</v>
      </c>
      <c r="W943" s="658">
        <f>+EP!W837</f>
        <v>0</v>
      </c>
      <c r="X943" s="658">
        <f>+EP!X837</f>
        <v>0</v>
      </c>
      <c r="Y943" s="658">
        <f>+EP!Y837</f>
        <v>0</v>
      </c>
      <c r="Z943" s="658">
        <f>+EP!Z837</f>
        <v>0</v>
      </c>
      <c r="AA943" s="658">
        <f>+EP!AA837</f>
        <v>0</v>
      </c>
      <c r="AB943" s="658">
        <f>+EP!AB837</f>
        <v>0</v>
      </c>
      <c r="AC943" s="658">
        <f>+EP!AC837</f>
        <v>0</v>
      </c>
    </row>
    <row r="944" spans="1:29">
      <c r="A944" s="637"/>
      <c r="B944" s="642" t="str">
        <f>EP!B838</f>
        <v>Capitalized Costs</v>
      </c>
      <c r="C944" s="642"/>
      <c r="D944" s="637"/>
      <c r="E944" s="658">
        <f>+EP!E838</f>
        <v>0</v>
      </c>
      <c r="F944" s="658">
        <f>+EP!F838</f>
        <v>0</v>
      </c>
      <c r="G944" s="658">
        <f>+EP!G838</f>
        <v>0</v>
      </c>
      <c r="H944" s="658">
        <f>+EP!H838</f>
        <v>0</v>
      </c>
      <c r="I944" s="658">
        <f>+EP!I838</f>
        <v>0</v>
      </c>
      <c r="J944" s="658">
        <f>+EP!J838</f>
        <v>0</v>
      </c>
      <c r="K944" s="658">
        <f>+EP!K838</f>
        <v>0</v>
      </c>
      <c r="L944" s="658">
        <f>+EP!L838</f>
        <v>0</v>
      </c>
      <c r="M944" s="658">
        <f>+EP!M838</f>
        <v>0</v>
      </c>
      <c r="N944" s="658">
        <f>+EP!N838</f>
        <v>0</v>
      </c>
      <c r="O944" s="658">
        <f>+EP!O838</f>
        <v>0</v>
      </c>
      <c r="P944" s="658">
        <f>+EP!P838</f>
        <v>0</v>
      </c>
      <c r="Q944" s="658">
        <f>+EP!Q838</f>
        <v>0</v>
      </c>
      <c r="R944" s="658">
        <f>+EP!R838</f>
        <v>0</v>
      </c>
      <c r="S944" s="658">
        <f>+EP!S838</f>
        <v>0</v>
      </c>
      <c r="T944" s="658">
        <f>+EP!T838</f>
        <v>0</v>
      </c>
      <c r="U944" s="658">
        <f>+EP!U838</f>
        <v>0</v>
      </c>
      <c r="V944" s="658">
        <f>+EP!V838</f>
        <v>0</v>
      </c>
      <c r="W944" s="658">
        <f>+EP!W838</f>
        <v>0</v>
      </c>
      <c r="X944" s="658">
        <f>+EP!X838</f>
        <v>0</v>
      </c>
      <c r="Y944" s="658">
        <f>+EP!Y838</f>
        <v>0</v>
      </c>
      <c r="Z944" s="658">
        <f>+EP!Z838</f>
        <v>0</v>
      </c>
      <c r="AA944" s="658">
        <f>+EP!AA838</f>
        <v>0</v>
      </c>
      <c r="AB944" s="658">
        <f>+EP!AB838</f>
        <v>0</v>
      </c>
      <c r="AC944" s="658">
        <f>+EP!AC838</f>
        <v>0</v>
      </c>
    </row>
    <row r="945" spans="1:29">
      <c r="A945" s="637"/>
      <c r="B945" s="637" t="str">
        <f>EP!B839</f>
        <v>Depreciation Expense - Book</v>
      </c>
      <c r="C945" s="637"/>
      <c r="D945" s="637"/>
      <c r="E945" s="658">
        <f>+EP!E839</f>
        <v>0</v>
      </c>
      <c r="F945" s="658">
        <f>+EP!F839</f>
        <v>0</v>
      </c>
      <c r="G945" s="658">
        <f>+EP!G839</f>
        <v>0</v>
      </c>
      <c r="H945" s="658">
        <f>+EP!H839</f>
        <v>0</v>
      </c>
      <c r="I945" s="658">
        <f>+EP!I839</f>
        <v>0</v>
      </c>
      <c r="J945" s="658">
        <f>+EP!J839</f>
        <v>0</v>
      </c>
      <c r="K945" s="658">
        <f>+EP!K839</f>
        <v>0</v>
      </c>
      <c r="L945" s="658">
        <f>+EP!L839</f>
        <v>0</v>
      </c>
      <c r="M945" s="658">
        <f>+EP!M839</f>
        <v>0</v>
      </c>
      <c r="N945" s="658">
        <f>+EP!N839</f>
        <v>0</v>
      </c>
      <c r="O945" s="658">
        <f>+EP!O839</f>
        <v>0</v>
      </c>
      <c r="P945" s="658">
        <f>+EP!P839</f>
        <v>0</v>
      </c>
      <c r="Q945" s="658">
        <f>+EP!Q839</f>
        <v>0</v>
      </c>
      <c r="R945" s="658">
        <f>+EP!R839</f>
        <v>0</v>
      </c>
      <c r="S945" s="658">
        <f>+EP!S839</f>
        <v>0</v>
      </c>
      <c r="T945" s="658">
        <f>+EP!T839</f>
        <v>0</v>
      </c>
      <c r="U945" s="658">
        <f>+EP!U839</f>
        <v>0</v>
      </c>
      <c r="V945" s="658">
        <f>+EP!V839</f>
        <v>0</v>
      </c>
      <c r="W945" s="658">
        <f>+EP!W839</f>
        <v>0</v>
      </c>
      <c r="X945" s="658">
        <f>+EP!X839</f>
        <v>0</v>
      </c>
      <c r="Y945" s="658">
        <f>+EP!Y839</f>
        <v>0</v>
      </c>
      <c r="Z945" s="658">
        <f>+EP!Z839</f>
        <v>0</v>
      </c>
      <c r="AA945" s="658">
        <f>+EP!AA839</f>
        <v>0</v>
      </c>
      <c r="AB945" s="658">
        <f>+EP!AB839</f>
        <v>0</v>
      </c>
      <c r="AC945" s="658">
        <f>+EP!AC839</f>
        <v>0</v>
      </c>
    </row>
    <row r="946" spans="1:29">
      <c r="A946" s="637"/>
      <c r="B946" s="637" t="str">
        <f>EP!B840</f>
        <v>Depreciation Expense - Tax</v>
      </c>
      <c r="C946" s="637"/>
      <c r="D946" s="637"/>
      <c r="E946" s="658">
        <f>+EP!E840</f>
        <v>0</v>
      </c>
      <c r="F946" s="658">
        <f>+EP!F840</f>
        <v>0</v>
      </c>
      <c r="G946" s="658">
        <f>+EP!G840</f>
        <v>0</v>
      </c>
      <c r="H946" s="658">
        <f>+EP!H840</f>
        <v>0</v>
      </c>
      <c r="I946" s="658">
        <f>+EP!I840</f>
        <v>0</v>
      </c>
      <c r="J946" s="658">
        <f>+EP!J840</f>
        <v>0</v>
      </c>
      <c r="K946" s="658">
        <f>+EP!K840</f>
        <v>0</v>
      </c>
      <c r="L946" s="658">
        <f>+EP!L840</f>
        <v>0</v>
      </c>
      <c r="M946" s="658">
        <f>+EP!M840</f>
        <v>0</v>
      </c>
      <c r="N946" s="658">
        <f>+EP!N840</f>
        <v>0</v>
      </c>
      <c r="O946" s="658">
        <f>+EP!O840</f>
        <v>0</v>
      </c>
      <c r="P946" s="658">
        <f>+EP!P840</f>
        <v>0</v>
      </c>
      <c r="Q946" s="658">
        <f>+EP!Q840</f>
        <v>0</v>
      </c>
      <c r="R946" s="658">
        <f>+EP!R840</f>
        <v>0</v>
      </c>
      <c r="S946" s="658">
        <f>+EP!S840</f>
        <v>0</v>
      </c>
      <c r="T946" s="658">
        <f>+EP!T840</f>
        <v>0</v>
      </c>
      <c r="U946" s="658">
        <f>+EP!U840</f>
        <v>0</v>
      </c>
      <c r="V946" s="658">
        <f>+EP!V840</f>
        <v>0</v>
      </c>
      <c r="W946" s="658">
        <f>+EP!W840</f>
        <v>0</v>
      </c>
      <c r="X946" s="658">
        <f>+EP!X840</f>
        <v>0</v>
      </c>
      <c r="Y946" s="658">
        <f>+EP!Y840</f>
        <v>0</v>
      </c>
      <c r="Z946" s="658">
        <f>+EP!Z840</f>
        <v>0</v>
      </c>
      <c r="AA946" s="658">
        <f>+EP!AA840</f>
        <v>0</v>
      </c>
      <c r="AB946" s="658">
        <f>+EP!AB840</f>
        <v>0</v>
      </c>
      <c r="AC946" s="658">
        <f>+EP!AC840</f>
        <v>0</v>
      </c>
    </row>
    <row r="947" spans="1:29">
      <c r="A947" s="637"/>
      <c r="B947" s="637" t="str">
        <f>EP!B841</f>
        <v>Depreciation Expense - AMT</v>
      </c>
      <c r="C947" s="637"/>
      <c r="D947" s="637"/>
      <c r="E947" s="658">
        <f>+EP!E841</f>
        <v>0</v>
      </c>
      <c r="F947" s="658">
        <f>+EP!F841</f>
        <v>0</v>
      </c>
      <c r="G947" s="658">
        <f>+EP!G841</f>
        <v>0</v>
      </c>
      <c r="H947" s="658">
        <f>+EP!H841</f>
        <v>0</v>
      </c>
      <c r="I947" s="658">
        <f>+EP!I841</f>
        <v>0</v>
      </c>
      <c r="J947" s="658">
        <f>+EP!J841</f>
        <v>0</v>
      </c>
      <c r="K947" s="658">
        <f>+EP!K841</f>
        <v>0</v>
      </c>
      <c r="L947" s="658">
        <f>+EP!L841</f>
        <v>0</v>
      </c>
      <c r="M947" s="658">
        <f>+EP!M841</f>
        <v>0</v>
      </c>
      <c r="N947" s="658">
        <f>+EP!N841</f>
        <v>0</v>
      </c>
      <c r="O947" s="658">
        <f>+EP!O841</f>
        <v>0</v>
      </c>
      <c r="P947" s="658">
        <f>+EP!P841</f>
        <v>0</v>
      </c>
      <c r="Q947" s="658">
        <f>+EP!Q841</f>
        <v>0</v>
      </c>
      <c r="R947" s="658">
        <f>+EP!R841</f>
        <v>0</v>
      </c>
      <c r="S947" s="658">
        <f>+EP!S841</f>
        <v>0</v>
      </c>
      <c r="T947" s="658">
        <f>+EP!T841</f>
        <v>0</v>
      </c>
      <c r="U947" s="658">
        <f>+EP!U841</f>
        <v>0</v>
      </c>
      <c r="V947" s="658">
        <f>+EP!V841</f>
        <v>0</v>
      </c>
      <c r="W947" s="658">
        <f>+EP!W841</f>
        <v>0</v>
      </c>
      <c r="X947" s="658">
        <f>+EP!X841</f>
        <v>0</v>
      </c>
      <c r="Y947" s="658">
        <f>+EP!Y841</f>
        <v>0</v>
      </c>
      <c r="Z947" s="658">
        <f>+EP!Z841</f>
        <v>0</v>
      </c>
      <c r="AA947" s="658">
        <f>+EP!AA841</f>
        <v>0</v>
      </c>
      <c r="AB947" s="658">
        <f>+EP!AB841</f>
        <v>0</v>
      </c>
      <c r="AC947" s="658">
        <f>+EP!AC841</f>
        <v>0</v>
      </c>
    </row>
    <row r="948" spans="1:29">
      <c r="A948" s="637"/>
      <c r="B948" s="637" t="str">
        <f>EP!B842</f>
        <v>Amortization of Intangibles - Book</v>
      </c>
      <c r="C948" s="637"/>
      <c r="D948" s="637"/>
      <c r="E948" s="658">
        <f>+EP!E842</f>
        <v>0</v>
      </c>
      <c r="F948" s="658">
        <f>+EP!F842</f>
        <v>0</v>
      </c>
      <c r="G948" s="658">
        <f>+EP!G842</f>
        <v>0</v>
      </c>
      <c r="H948" s="658">
        <f>+EP!H842</f>
        <v>0</v>
      </c>
      <c r="I948" s="658">
        <f>+EP!I842</f>
        <v>0</v>
      </c>
      <c r="J948" s="658">
        <f>+EP!J842</f>
        <v>0</v>
      </c>
      <c r="K948" s="658">
        <f>+EP!K842</f>
        <v>0</v>
      </c>
      <c r="L948" s="658">
        <f>+EP!L842</f>
        <v>0</v>
      </c>
      <c r="M948" s="658">
        <f>+EP!M842</f>
        <v>0</v>
      </c>
      <c r="N948" s="658">
        <f>+EP!N842</f>
        <v>0</v>
      </c>
      <c r="O948" s="658">
        <f>+EP!O842</f>
        <v>0</v>
      </c>
      <c r="P948" s="658">
        <f>+EP!P842</f>
        <v>0</v>
      </c>
      <c r="Q948" s="658">
        <f>+EP!Q842</f>
        <v>0</v>
      </c>
      <c r="R948" s="658">
        <f>+EP!R842</f>
        <v>0</v>
      </c>
      <c r="S948" s="658">
        <f>+EP!S842</f>
        <v>0</v>
      </c>
      <c r="T948" s="658">
        <f>+EP!T842</f>
        <v>0</v>
      </c>
      <c r="U948" s="658">
        <f>+EP!U842</f>
        <v>0</v>
      </c>
      <c r="V948" s="658">
        <f>+EP!V842</f>
        <v>0</v>
      </c>
      <c r="W948" s="658">
        <f>+EP!W842</f>
        <v>0</v>
      </c>
      <c r="X948" s="658">
        <f>+EP!X842</f>
        <v>0</v>
      </c>
      <c r="Y948" s="658">
        <f>+EP!Y842</f>
        <v>0</v>
      </c>
      <c r="Z948" s="658">
        <f>+EP!Z842</f>
        <v>0</v>
      </c>
      <c r="AA948" s="658">
        <f>+EP!AA842</f>
        <v>0</v>
      </c>
      <c r="AB948" s="658">
        <f>+EP!AB842</f>
        <v>0</v>
      </c>
      <c r="AC948" s="658">
        <f>+EP!AC842</f>
        <v>0</v>
      </c>
    </row>
    <row r="949" spans="1:29">
      <c r="A949" s="637"/>
      <c r="B949" s="637" t="str">
        <f>EP!B843</f>
        <v>Amortization of Intangibles - Tax</v>
      </c>
      <c r="C949" s="637"/>
      <c r="D949" s="637"/>
      <c r="E949" s="658">
        <f>+EP!E843</f>
        <v>0</v>
      </c>
      <c r="F949" s="658">
        <f>+EP!F843</f>
        <v>0</v>
      </c>
      <c r="G949" s="658">
        <f>+EP!G843</f>
        <v>0</v>
      </c>
      <c r="H949" s="658">
        <f>+EP!H843</f>
        <v>0</v>
      </c>
      <c r="I949" s="658">
        <f>+EP!I843</f>
        <v>0</v>
      </c>
      <c r="J949" s="658">
        <f>+EP!J843</f>
        <v>0</v>
      </c>
      <c r="K949" s="658">
        <f>+EP!K843</f>
        <v>0</v>
      </c>
      <c r="L949" s="658">
        <f>+EP!L843</f>
        <v>0</v>
      </c>
      <c r="M949" s="658">
        <f>+EP!M843</f>
        <v>0</v>
      </c>
      <c r="N949" s="658">
        <f>+EP!N843</f>
        <v>0</v>
      </c>
      <c r="O949" s="658">
        <f>+EP!O843</f>
        <v>0</v>
      </c>
      <c r="P949" s="658">
        <f>+EP!P843</f>
        <v>0</v>
      </c>
      <c r="Q949" s="658">
        <f>+EP!Q843</f>
        <v>0</v>
      </c>
      <c r="R949" s="658">
        <f>+EP!R843</f>
        <v>0</v>
      </c>
      <c r="S949" s="658">
        <f>+EP!S843</f>
        <v>0</v>
      </c>
      <c r="T949" s="658">
        <f>+EP!T843</f>
        <v>0</v>
      </c>
      <c r="U949" s="658">
        <f>+EP!U843</f>
        <v>0</v>
      </c>
      <c r="V949" s="658">
        <f>+EP!V843</f>
        <v>0</v>
      </c>
      <c r="W949" s="658">
        <f>+EP!W843</f>
        <v>0</v>
      </c>
      <c r="X949" s="658">
        <f>+EP!X843</f>
        <v>0</v>
      </c>
      <c r="Y949" s="658">
        <f>+EP!Y843</f>
        <v>0</v>
      </c>
      <c r="Z949" s="658">
        <f>+EP!Z843</f>
        <v>0</v>
      </c>
      <c r="AA949" s="658">
        <f>+EP!AA843</f>
        <v>0</v>
      </c>
      <c r="AB949" s="658">
        <f>+EP!AB843</f>
        <v>0</v>
      </c>
      <c r="AC949" s="658">
        <f>+EP!AC843</f>
        <v>0</v>
      </c>
    </row>
    <row r="950" spans="1:29">
      <c r="A950" s="637"/>
      <c r="B950" s="637"/>
      <c r="C950" s="637"/>
      <c r="D950" s="637"/>
      <c r="E950" s="658"/>
      <c r="F950" s="658"/>
      <c r="G950" s="658"/>
      <c r="H950" s="658"/>
      <c r="I950" s="658"/>
      <c r="J950" s="658"/>
      <c r="K950" s="658"/>
      <c r="L950" s="658"/>
      <c r="M950" s="658"/>
      <c r="N950" s="658"/>
      <c r="O950" s="658"/>
      <c r="P950" s="658"/>
      <c r="Q950" s="658"/>
      <c r="R950" s="658"/>
      <c r="S950" s="658"/>
      <c r="T950" s="658"/>
      <c r="U950" s="658"/>
      <c r="V950" s="658"/>
      <c r="W950" s="658"/>
      <c r="X950" s="658"/>
      <c r="Y950" s="658"/>
      <c r="Z950" s="658"/>
      <c r="AA950" s="658"/>
      <c r="AB950" s="658"/>
      <c r="AC950" s="658"/>
    </row>
    <row r="951" spans="1:29">
      <c r="A951" s="637"/>
      <c r="B951" s="660" t="s">
        <v>1117</v>
      </c>
      <c r="C951" s="637"/>
      <c r="D951" s="637"/>
      <c r="E951" s="658"/>
      <c r="F951" s="658"/>
      <c r="G951" s="658"/>
      <c r="H951" s="658"/>
      <c r="I951" s="658"/>
      <c r="J951" s="658"/>
      <c r="K951" s="658"/>
      <c r="L951" s="658"/>
      <c r="M951" s="658"/>
      <c r="N951" s="658"/>
      <c r="O951" s="658"/>
      <c r="P951" s="658"/>
      <c r="Q951" s="658"/>
      <c r="R951" s="658"/>
      <c r="S951" s="658"/>
      <c r="T951" s="658"/>
      <c r="U951" s="658"/>
      <c r="V951" s="658"/>
      <c r="W951" s="658"/>
      <c r="X951" s="658"/>
      <c r="Y951" s="658"/>
      <c r="Z951" s="658"/>
      <c r="AA951" s="658"/>
      <c r="AB951" s="658"/>
      <c r="AC951" s="658"/>
    </row>
    <row r="952" spans="1:29">
      <c r="A952" s="637"/>
      <c r="B952" s="637" t="str">
        <f>EP!B846</f>
        <v>Cap. Exp. for Oil &amp; Gas Reserves</v>
      </c>
      <c r="C952" s="637"/>
      <c r="D952" s="637"/>
      <c r="E952" s="658">
        <f>+EP!E846</f>
        <v>0</v>
      </c>
      <c r="F952" s="658">
        <f>+EP!F846</f>
        <v>0</v>
      </c>
      <c r="G952" s="658">
        <f>+EP!G846</f>
        <v>0</v>
      </c>
      <c r="H952" s="658">
        <f>+EP!H846</f>
        <v>0</v>
      </c>
      <c r="I952" s="658">
        <f>+EP!I846</f>
        <v>0</v>
      </c>
      <c r="J952" s="658">
        <f>+EP!J846</f>
        <v>0</v>
      </c>
      <c r="K952" s="658">
        <f>+EP!K846</f>
        <v>0</v>
      </c>
      <c r="L952" s="658">
        <f>+EP!L846</f>
        <v>0</v>
      </c>
      <c r="M952" s="658">
        <f>+EP!M846</f>
        <v>0</v>
      </c>
      <c r="N952" s="658">
        <f>+EP!N846</f>
        <v>0</v>
      </c>
      <c r="O952" s="658">
        <f>+EP!O846</f>
        <v>25.811</v>
      </c>
      <c r="P952" s="658">
        <f>+EP!P846</f>
        <v>5.5119999999999996</v>
      </c>
      <c r="Q952" s="658">
        <f>+EP!Q846</f>
        <v>16.2</v>
      </c>
      <c r="R952" s="658">
        <f>+EP!R846</f>
        <v>0</v>
      </c>
      <c r="S952" s="658">
        <f>+EP!S846</f>
        <v>0</v>
      </c>
      <c r="T952" s="658">
        <f>+EP!T846</f>
        <v>0</v>
      </c>
      <c r="U952" s="658">
        <f>+EP!U846</f>
        <v>0</v>
      </c>
      <c r="V952" s="658">
        <f>+EP!V846</f>
        <v>0</v>
      </c>
      <c r="W952" s="658">
        <f>+EP!W846</f>
        <v>0</v>
      </c>
      <c r="X952" s="658">
        <f>+EP!X846</f>
        <v>0</v>
      </c>
      <c r="Y952" s="658">
        <f>+EP!Y846</f>
        <v>0</v>
      </c>
      <c r="Z952" s="658">
        <f>+EP!Z846</f>
        <v>0</v>
      </c>
      <c r="AA952" s="658">
        <f>+EP!AA846</f>
        <v>0</v>
      </c>
      <c r="AB952" s="658">
        <f>+EP!AB846</f>
        <v>0</v>
      </c>
      <c r="AC952" s="658">
        <f>+EP!AC846</f>
        <v>0</v>
      </c>
    </row>
    <row r="953" spans="1:29">
      <c r="A953" s="637"/>
      <c r="B953" s="637" t="str">
        <f>EP!B847</f>
        <v>Cap. Exp. for Oil &amp; Gas Reserves - Class B only</v>
      </c>
      <c r="C953" s="637"/>
      <c r="D953" s="637"/>
      <c r="E953" s="658">
        <f>+EP!E847</f>
        <v>0</v>
      </c>
      <c r="F953" s="658">
        <f>+EP!F847</f>
        <v>0</v>
      </c>
      <c r="G953" s="658">
        <f>+EP!G847</f>
        <v>0</v>
      </c>
      <c r="H953" s="658">
        <f>+EP!H847</f>
        <v>0</v>
      </c>
      <c r="I953" s="658">
        <f>+EP!I847</f>
        <v>0</v>
      </c>
      <c r="J953" s="658">
        <f>+EP!J847</f>
        <v>0</v>
      </c>
      <c r="K953" s="658">
        <f>+EP!K847</f>
        <v>0</v>
      </c>
      <c r="L953" s="658">
        <f>+EP!L847</f>
        <v>0</v>
      </c>
      <c r="M953" s="658">
        <f>+EP!M847</f>
        <v>0</v>
      </c>
      <c r="N953" s="658">
        <f>+EP!N847</f>
        <v>0</v>
      </c>
      <c r="O953" s="658">
        <f>+EP!O847</f>
        <v>0</v>
      </c>
      <c r="P953" s="658">
        <f>+EP!P847</f>
        <v>0</v>
      </c>
      <c r="Q953" s="658">
        <f>+EP!Q847</f>
        <v>0</v>
      </c>
      <c r="R953" s="658">
        <f>+EP!R847</f>
        <v>0</v>
      </c>
      <c r="S953" s="658">
        <f>+EP!S847</f>
        <v>0</v>
      </c>
      <c r="T953" s="658">
        <f>+EP!T847</f>
        <v>0</v>
      </c>
      <c r="U953" s="658">
        <f>+EP!U847</f>
        <v>0</v>
      </c>
      <c r="V953" s="658">
        <f>+EP!V847</f>
        <v>0</v>
      </c>
      <c r="W953" s="658">
        <f>+EP!W847</f>
        <v>0</v>
      </c>
      <c r="X953" s="658">
        <f>+EP!X847</f>
        <v>0</v>
      </c>
      <c r="Y953" s="658">
        <f>+EP!Y847</f>
        <v>0</v>
      </c>
      <c r="Z953" s="658">
        <f>+EP!Z847</f>
        <v>0</v>
      </c>
      <c r="AA953" s="658">
        <f>+EP!AA847</f>
        <v>0</v>
      </c>
      <c r="AB953" s="658">
        <f>+EP!AB847</f>
        <v>0</v>
      </c>
      <c r="AC953" s="658">
        <f>+EP!AC847</f>
        <v>0</v>
      </c>
    </row>
    <row r="954" spans="1:29">
      <c r="A954" s="637"/>
      <c r="B954" s="637" t="str">
        <f>EP!B848</f>
        <v>Depletion - Book</v>
      </c>
      <c r="C954" s="637"/>
      <c r="D954" s="637"/>
      <c r="E954" s="658">
        <f>+EP!E848</f>
        <v>0</v>
      </c>
      <c r="F954" s="658">
        <f>+EP!F848</f>
        <v>0</v>
      </c>
      <c r="G954" s="658">
        <f>+EP!G848</f>
        <v>0</v>
      </c>
      <c r="H954" s="658">
        <f>+EP!H848</f>
        <v>0</v>
      </c>
      <c r="I954" s="658">
        <f>+EP!I848</f>
        <v>0</v>
      </c>
      <c r="J954" s="658">
        <f>+EP!J848</f>
        <v>0</v>
      </c>
      <c r="K954" s="658">
        <f>+EP!K848</f>
        <v>0</v>
      </c>
      <c r="L954" s="658">
        <f>+EP!L848</f>
        <v>0</v>
      </c>
      <c r="M954" s="658">
        <f>+EP!M848</f>
        <v>0</v>
      </c>
      <c r="N954" s="658">
        <f>+EP!N848</f>
        <v>0</v>
      </c>
      <c r="O954" s="658">
        <f>+EP!O848</f>
        <v>4.3794061069212393</v>
      </c>
      <c r="P954" s="658">
        <f>+EP!P848</f>
        <v>4.7347913013252478</v>
      </c>
      <c r="Q954" s="658">
        <f>+EP!Q848</f>
        <v>7.1018340606587129</v>
      </c>
      <c r="R954" s="658">
        <f>+EP!R848</f>
        <v>6.0602935036541092</v>
      </c>
      <c r="S954" s="658">
        <f>+EP!S848</f>
        <v>5.134621601663329</v>
      </c>
      <c r="T954" s="658">
        <f>+EP!T848</f>
        <v>4.3136934004570406</v>
      </c>
      <c r="U954" s="658">
        <f>+EP!U848</f>
        <v>3.6160470859451221</v>
      </c>
      <c r="V954" s="658">
        <f>+EP!V848</f>
        <v>2.9690276563928304</v>
      </c>
      <c r="W954" s="658">
        <f>+EP!W848</f>
        <v>2.4348443565521936</v>
      </c>
      <c r="X954" s="658">
        <f>+EP!X848</f>
        <v>1.9752031273747968</v>
      </c>
      <c r="Y954" s="658">
        <f>+EP!Y848</f>
        <v>1.556639308963266</v>
      </c>
      <c r="Z954" s="658">
        <f>+EP!Z848</f>
        <v>1.1435136510314272</v>
      </c>
      <c r="AA954" s="658">
        <f>+EP!AA848</f>
        <v>0.87442728015961602</v>
      </c>
      <c r="AB954" s="658">
        <f>+EP!AB848</f>
        <v>0.67267199847163439</v>
      </c>
      <c r="AC954" s="658">
        <f>+EP!AC848</f>
        <v>0.5559855604294327</v>
      </c>
    </row>
    <row r="955" spans="1:29">
      <c r="A955" s="637"/>
      <c r="B955" s="637" t="str">
        <f>EP!B849</f>
        <v>Depletion - Tax</v>
      </c>
      <c r="C955" s="637"/>
      <c r="D955" s="637"/>
      <c r="E955" s="658">
        <f>+EP!E849</f>
        <v>0</v>
      </c>
      <c r="F955" s="658">
        <f>+EP!F849</f>
        <v>0</v>
      </c>
      <c r="G955" s="658">
        <f>+EP!G849</f>
        <v>0</v>
      </c>
      <c r="H955" s="658">
        <f>+EP!H849</f>
        <v>0</v>
      </c>
      <c r="I955" s="658">
        <f>+EP!I849</f>
        <v>0</v>
      </c>
      <c r="J955" s="658">
        <f>+EP!J849</f>
        <v>0</v>
      </c>
      <c r="K955" s="658">
        <f>+EP!K849</f>
        <v>0</v>
      </c>
      <c r="L955" s="658">
        <f>+EP!L849</f>
        <v>0</v>
      </c>
      <c r="M955" s="658">
        <f>+EP!M849</f>
        <v>0</v>
      </c>
      <c r="N955" s="658">
        <f>+EP!N849</f>
        <v>0</v>
      </c>
      <c r="O955" s="658">
        <f>+EP!O849</f>
        <v>4.3794061069212393</v>
      </c>
      <c r="P955" s="658">
        <f>+EP!P849</f>
        <v>4.7347913013252478</v>
      </c>
      <c r="Q955" s="658">
        <f>+EP!Q849</f>
        <v>7.1018340606587129</v>
      </c>
      <c r="R955" s="658">
        <f>+EP!R849</f>
        <v>6.0602935036541092</v>
      </c>
      <c r="S955" s="658">
        <f>+EP!S849</f>
        <v>5.134621601663329</v>
      </c>
      <c r="T955" s="658">
        <f>+EP!T849</f>
        <v>4.3136934004570406</v>
      </c>
      <c r="U955" s="658">
        <f>+EP!U849</f>
        <v>3.6160470859451221</v>
      </c>
      <c r="V955" s="658">
        <f>+EP!V849</f>
        <v>2.9690276563928304</v>
      </c>
      <c r="W955" s="658">
        <f>+EP!W849</f>
        <v>2.4348443565521936</v>
      </c>
      <c r="X955" s="658">
        <f>+EP!X849</f>
        <v>1.9752031273747968</v>
      </c>
      <c r="Y955" s="658">
        <f>+EP!Y849</f>
        <v>1.556639308963266</v>
      </c>
      <c r="Z955" s="658">
        <f>+EP!Z849</f>
        <v>1.1435136510314272</v>
      </c>
      <c r="AA955" s="658">
        <f>+EP!AA849</f>
        <v>0.87442728015961602</v>
      </c>
      <c r="AB955" s="658">
        <f>+EP!AB849</f>
        <v>0.67267199847163439</v>
      </c>
      <c r="AC955" s="658">
        <f>+EP!AC849</f>
        <v>0.5559855604294327</v>
      </c>
    </row>
    <row r="956" spans="1:29">
      <c r="A956" s="637"/>
      <c r="B956" s="637" t="str">
        <f>EP!B850</f>
        <v>Class B Oil &amp; Gas Income Before NPI</v>
      </c>
      <c r="C956" s="637"/>
      <c r="D956" s="637"/>
      <c r="E956" s="658">
        <f>+EP!E850</f>
        <v>0</v>
      </c>
      <c r="F956" s="658">
        <f>+EP!F850</f>
        <v>0</v>
      </c>
      <c r="G956" s="658">
        <f>+EP!G850</f>
        <v>0</v>
      </c>
      <c r="H956" s="658">
        <f>+EP!H850</f>
        <v>0</v>
      </c>
      <c r="I956" s="658">
        <f ca="1">+EP!I850</f>
        <v>-15.572178500000001</v>
      </c>
      <c r="J956" s="658">
        <f ca="1">+EP!J850</f>
        <v>97.961506319999955</v>
      </c>
      <c r="K956" s="658">
        <f ca="1">+EP!K850</f>
        <v>31.592715766666664</v>
      </c>
      <c r="L956" s="658">
        <f ca="1">+EP!L850</f>
        <v>63.550314513333319</v>
      </c>
      <c r="M956" s="658">
        <f ca="1">+EP!M850</f>
        <v>165.10911147600001</v>
      </c>
      <c r="N956" s="658">
        <f ca="1">+EP!N850</f>
        <v>69.494640328000003</v>
      </c>
      <c r="O956" s="658">
        <f ca="1">+EP!O850</f>
        <v>27.749212905333337</v>
      </c>
      <c r="P956" s="658">
        <f ca="1">+EP!P850</f>
        <v>-24.189682961999996</v>
      </c>
      <c r="Q956" s="658">
        <f ca="1">+EP!Q850</f>
        <v>-39.152085768666673</v>
      </c>
      <c r="R956" s="658">
        <f ca="1">+EP!R850</f>
        <v>-43.940745346</v>
      </c>
      <c r="S956" s="658">
        <f ca="1">+EP!S850</f>
        <v>-27.522127003999998</v>
      </c>
      <c r="T956" s="658">
        <f ca="1">+EP!T850</f>
        <v>-29.245198424999995</v>
      </c>
      <c r="U956" s="658">
        <f ca="1">+EP!U850</f>
        <v>-30.726257276666665</v>
      </c>
      <c r="V956" s="658">
        <f ca="1">+EP!V850</f>
        <v>-32.00407281333333</v>
      </c>
      <c r="W956" s="658">
        <f ca="1">+EP!W850</f>
        <v>-12.799887822000001</v>
      </c>
      <c r="X956" s="658">
        <f ca="1">+EP!X850</f>
        <v>-13.654038730666665</v>
      </c>
      <c r="Y956" s="658">
        <f ca="1">+EP!Y850</f>
        <v>0.2852711353333337</v>
      </c>
      <c r="Z956" s="658">
        <f ca="1">+EP!Z850</f>
        <v>0</v>
      </c>
      <c r="AA956" s="658">
        <f ca="1">+EP!AA850</f>
        <v>0</v>
      </c>
      <c r="AB956" s="658">
        <f ca="1">+EP!AB850</f>
        <v>0</v>
      </c>
      <c r="AC956" s="658">
        <f ca="1">+EP!AC850</f>
        <v>0</v>
      </c>
    </row>
    <row r="957" spans="1:29">
      <c r="A957" s="637"/>
      <c r="B957" s="637" t="str">
        <f>EP!B851</f>
        <v>Production Payment Volumes - Gas</v>
      </c>
      <c r="C957" s="637"/>
      <c r="D957" s="637"/>
      <c r="E957" s="658">
        <f>+EP!E851</f>
        <v>0</v>
      </c>
      <c r="F957" s="658">
        <f>+EP!F851</f>
        <v>0</v>
      </c>
      <c r="G957" s="658">
        <f>+EP!G851</f>
        <v>0</v>
      </c>
      <c r="H957" s="658">
        <f>+EP!H851</f>
        <v>0</v>
      </c>
      <c r="I957" s="658">
        <f>+EP!I851</f>
        <v>0</v>
      </c>
      <c r="J957" s="658">
        <f>+EP!J851</f>
        <v>0</v>
      </c>
      <c r="K957" s="658">
        <f>+EP!K851</f>
        <v>0</v>
      </c>
      <c r="L957" s="658">
        <f>+EP!L851</f>
        <v>0</v>
      </c>
      <c r="M957" s="658">
        <f>+EP!M851</f>
        <v>0</v>
      </c>
      <c r="N957" s="658">
        <f>+EP!N851</f>
        <v>0</v>
      </c>
      <c r="O957" s="658">
        <f>+EP!O851</f>
        <v>0</v>
      </c>
      <c r="P957" s="658">
        <f>+EP!P851</f>
        <v>0</v>
      </c>
      <c r="Q957" s="658">
        <f>+EP!Q851</f>
        <v>0</v>
      </c>
      <c r="R957" s="658">
        <f>+EP!R851</f>
        <v>0</v>
      </c>
      <c r="S957" s="658">
        <f>+EP!S851</f>
        <v>0</v>
      </c>
      <c r="T957" s="658">
        <f>+EP!T851</f>
        <v>0</v>
      </c>
      <c r="U957" s="658">
        <f>+EP!U851</f>
        <v>0</v>
      </c>
      <c r="V957" s="658">
        <f>+EP!V851</f>
        <v>0</v>
      </c>
      <c r="W957" s="658">
        <f>+EP!W851</f>
        <v>0</v>
      </c>
      <c r="X957" s="658">
        <f>+EP!X851</f>
        <v>0</v>
      </c>
      <c r="Y957" s="658">
        <f>+EP!Y851</f>
        <v>0</v>
      </c>
      <c r="Z957" s="658">
        <f>+EP!Z851</f>
        <v>0</v>
      </c>
      <c r="AA957" s="658">
        <f>+EP!AA851</f>
        <v>0</v>
      </c>
      <c r="AB957" s="658">
        <f>+EP!AB851</f>
        <v>0</v>
      </c>
      <c r="AC957" s="658">
        <f>+EP!AC851</f>
        <v>0</v>
      </c>
    </row>
    <row r="958" spans="1:29">
      <c r="A958" s="637"/>
      <c r="B958" s="637" t="str">
        <f>EP!B852</f>
        <v>Production Payment Volumes - Oil</v>
      </c>
      <c r="C958" s="637"/>
      <c r="D958" s="637"/>
      <c r="E958" s="658">
        <f>+EP!E852</f>
        <v>0</v>
      </c>
      <c r="F958" s="658">
        <f>+EP!F852</f>
        <v>0</v>
      </c>
      <c r="G958" s="658">
        <f>+EP!G852</f>
        <v>0</v>
      </c>
      <c r="H958" s="658">
        <f>+EP!H852</f>
        <v>0</v>
      </c>
      <c r="I958" s="658">
        <f>+EP!I852</f>
        <v>0</v>
      </c>
      <c r="J958" s="658">
        <f>+EP!J852</f>
        <v>0</v>
      </c>
      <c r="K958" s="658">
        <f>+EP!K852</f>
        <v>0</v>
      </c>
      <c r="L958" s="658">
        <f>+EP!L852</f>
        <v>0</v>
      </c>
      <c r="M958" s="658">
        <f>+EP!M852</f>
        <v>0</v>
      </c>
      <c r="N958" s="658">
        <f>+EP!N852</f>
        <v>0</v>
      </c>
      <c r="O958" s="658">
        <f>+EP!O852</f>
        <v>0</v>
      </c>
      <c r="P958" s="658">
        <f>+EP!P852</f>
        <v>0</v>
      </c>
      <c r="Q958" s="658">
        <f>+EP!Q852</f>
        <v>0</v>
      </c>
      <c r="R958" s="658">
        <f>+EP!R852</f>
        <v>0</v>
      </c>
      <c r="S958" s="658">
        <f>+EP!S852</f>
        <v>0</v>
      </c>
      <c r="T958" s="658">
        <f>+EP!T852</f>
        <v>0</v>
      </c>
      <c r="U958" s="658">
        <f>+EP!U852</f>
        <v>0</v>
      </c>
      <c r="V958" s="658">
        <f>+EP!V852</f>
        <v>0</v>
      </c>
      <c r="W958" s="658">
        <f>+EP!W852</f>
        <v>0</v>
      </c>
      <c r="X958" s="658">
        <f>+EP!X852</f>
        <v>0</v>
      </c>
      <c r="Y958" s="658">
        <f>+EP!Y852</f>
        <v>0</v>
      </c>
      <c r="Z958" s="658">
        <f>+EP!Z852</f>
        <v>0</v>
      </c>
      <c r="AA958" s="658">
        <f>+EP!AA852</f>
        <v>0</v>
      </c>
      <c r="AB958" s="658">
        <f>+EP!AB852</f>
        <v>0</v>
      </c>
      <c r="AC958" s="658">
        <f>+EP!AC852</f>
        <v>0</v>
      </c>
    </row>
    <row r="959" spans="1:29">
      <c r="A959" s="637"/>
      <c r="B959" s="645" t="s">
        <v>985</v>
      </c>
      <c r="C959" s="637"/>
      <c r="D959" s="637"/>
      <c r="E959" s="658">
        <f>+EP!E853</f>
        <v>0</v>
      </c>
      <c r="F959" s="658">
        <f>+EP!F853</f>
        <v>0</v>
      </c>
      <c r="G959" s="658">
        <f>+EP!G853</f>
        <v>0</v>
      </c>
      <c r="H959" s="658">
        <f>+EP!H853</f>
        <v>0</v>
      </c>
      <c r="I959" s="658">
        <f>+EP!I853</f>
        <v>-0.375</v>
      </c>
      <c r="J959" s="658">
        <f ca="1">+EP!J853</f>
        <v>1.8639999999999999</v>
      </c>
      <c r="K959" s="658">
        <f ca="1">+EP!K853</f>
        <v>1.6417499999999996</v>
      </c>
      <c r="L959" s="658">
        <f ca="1">+EP!L853</f>
        <v>1.6408333333333331</v>
      </c>
      <c r="M959" s="658">
        <f ca="1">+EP!M853</f>
        <v>1.6295833333333336</v>
      </c>
      <c r="N959" s="658">
        <f ca="1">+EP!N853</f>
        <v>1.6304166666666666</v>
      </c>
      <c r="O959" s="658">
        <f ca="1">+EP!O853</f>
        <v>1.6383333333333332</v>
      </c>
      <c r="P959" s="658">
        <f ca="1">+EP!P853</f>
        <v>1.6541666666666663</v>
      </c>
      <c r="Q959" s="658">
        <f ca="1">+EP!Q853</f>
        <v>1.6799999999999997</v>
      </c>
      <c r="R959" s="658">
        <f ca="1">+EP!R853</f>
        <v>1.7216666666666662</v>
      </c>
      <c r="S959" s="658">
        <f ca="1">+EP!S853</f>
        <v>1.7833333333333328</v>
      </c>
      <c r="T959" s="658">
        <f ca="1">+EP!T853</f>
        <v>1.8649999999999993</v>
      </c>
      <c r="U959" s="658">
        <f ca="1">+EP!U853</f>
        <v>1.9666666666666663</v>
      </c>
      <c r="V959" s="658">
        <f ca="1">+EP!V853</f>
        <v>2.0824999999999991</v>
      </c>
      <c r="W959" s="658">
        <f ca="1">+EP!W853</f>
        <v>2.2083333333333326</v>
      </c>
      <c r="X959" s="658">
        <f ca="1">+EP!X853</f>
        <v>2.3441666666666663</v>
      </c>
      <c r="Y959" s="658">
        <f ca="1">+EP!Y853</f>
        <v>2.4899999999999998</v>
      </c>
      <c r="Z959" s="658">
        <f ca="1">+EP!Z853</f>
        <v>2.6458333333333326</v>
      </c>
      <c r="AA959" s="658">
        <f ca="1">+EP!AA853</f>
        <v>2.811666666666667</v>
      </c>
      <c r="AB959" s="658">
        <f ca="1">+EP!AB853</f>
        <v>2.9875000000000003</v>
      </c>
      <c r="AC959" s="658">
        <f ca="1">+EP!AC853</f>
        <v>3.1733333333333325</v>
      </c>
    </row>
    <row r="960" spans="1:29">
      <c r="A960" s="637"/>
      <c r="B960" s="645" t="s">
        <v>986</v>
      </c>
      <c r="C960" s="637"/>
      <c r="D960" s="637"/>
      <c r="E960" s="658">
        <f>+EP!E854</f>
        <v>0</v>
      </c>
      <c r="F960" s="658">
        <f>+EP!F854</f>
        <v>0</v>
      </c>
      <c r="G960" s="658">
        <f>+EP!G854</f>
        <v>0</v>
      </c>
      <c r="H960" s="658">
        <f>+EP!H854</f>
        <v>0</v>
      </c>
      <c r="I960" s="658">
        <f>+EP!I854</f>
        <v>-2.375</v>
      </c>
      <c r="J960" s="658">
        <f ca="1">+EP!J854</f>
        <v>19.140888888888885</v>
      </c>
      <c r="K960" s="658">
        <f ca="1">+EP!K854</f>
        <v>16.611666666666665</v>
      </c>
      <c r="L960" s="658">
        <f ca="1">+EP!L854</f>
        <v>15.968166666666665</v>
      </c>
      <c r="M960" s="658">
        <f ca="1">+EP!M854</f>
        <v>16.046749999999999</v>
      </c>
      <c r="N960" s="658">
        <f ca="1">+EP!N854</f>
        <v>16.200749999999999</v>
      </c>
      <c r="O960" s="658">
        <f ca="1">+EP!O854</f>
        <v>16.356416666666668</v>
      </c>
      <c r="P960" s="658">
        <f ca="1">+EP!P854</f>
        <v>16.531166666666667</v>
      </c>
      <c r="Q960" s="658">
        <f ca="1">+EP!Q854</f>
        <v>16.723166666666668</v>
      </c>
      <c r="R960" s="658">
        <f ca="1">+EP!R854</f>
        <v>16.925749999999997</v>
      </c>
      <c r="S960" s="658">
        <f ca="1">+EP!S854</f>
        <v>17.1355</v>
      </c>
      <c r="T960" s="658">
        <f ca="1">+EP!T854</f>
        <v>17.345083333333339</v>
      </c>
      <c r="U960" s="658">
        <f ca="1">+EP!U854</f>
        <v>17.555416666666662</v>
      </c>
      <c r="V960" s="658">
        <f ca="1">+EP!V854</f>
        <v>17.765416666666663</v>
      </c>
      <c r="W960" s="658">
        <f ca="1">+EP!W854</f>
        <v>17.975249999999999</v>
      </c>
      <c r="X960" s="658">
        <f ca="1">+EP!X854</f>
        <v>18.468916666666669</v>
      </c>
      <c r="Y960" s="658">
        <f ca="1">+EP!Y854</f>
        <v>18.951833333333337</v>
      </c>
      <c r="Z960" s="658">
        <f ca="1">+EP!Z854</f>
        <v>19.252249999999993</v>
      </c>
      <c r="AA960" s="658">
        <f ca="1">+EP!AA854</f>
        <v>19.551999999999996</v>
      </c>
      <c r="AB960" s="658">
        <f ca="1">+EP!AB854</f>
        <v>19.85166666666667</v>
      </c>
      <c r="AC960" s="658">
        <f ca="1">+EP!AC854</f>
        <v>20.076999999999998</v>
      </c>
    </row>
    <row r="961" spans="1:29">
      <c r="A961" s="637"/>
      <c r="B961" s="637" t="str">
        <f>EP!B855</f>
        <v>Multiple</v>
      </c>
      <c r="C961" s="637"/>
      <c r="D961" s="637"/>
      <c r="E961" s="658">
        <f>+EP!E855</f>
        <v>0</v>
      </c>
      <c r="F961" s="658">
        <f>+EP!F855</f>
        <v>0</v>
      </c>
      <c r="G961" s="658">
        <f>+EP!G855</f>
        <v>0</v>
      </c>
      <c r="H961" s="658">
        <f>+EP!H855</f>
        <v>0</v>
      </c>
      <c r="I961" s="658">
        <f>+EP!I855</f>
        <v>0</v>
      </c>
      <c r="J961" s="658">
        <f>+EP!J855</f>
        <v>0</v>
      </c>
      <c r="K961" s="658">
        <f>+EP!K855</f>
        <v>0</v>
      </c>
      <c r="L961" s="658">
        <f>+EP!L855</f>
        <v>0</v>
      </c>
      <c r="M961" s="658">
        <f>+EP!M855</f>
        <v>0</v>
      </c>
      <c r="N961" s="658">
        <f>+EP!N855</f>
        <v>0</v>
      </c>
      <c r="O961" s="658">
        <f>+EP!O855</f>
        <v>0</v>
      </c>
      <c r="P961" s="658">
        <f>+EP!P855</f>
        <v>0</v>
      </c>
      <c r="Q961" s="658">
        <f>+EP!Q855</f>
        <v>0</v>
      </c>
      <c r="R961" s="658">
        <f>+EP!R855</f>
        <v>0</v>
      </c>
      <c r="S961" s="658">
        <f>+EP!S855</f>
        <v>0</v>
      </c>
      <c r="T961" s="658">
        <f>+EP!T855</f>
        <v>0</v>
      </c>
      <c r="U961" s="658">
        <f>+EP!U855</f>
        <v>0</v>
      </c>
      <c r="V961" s="658">
        <f>+EP!V855</f>
        <v>0</v>
      </c>
      <c r="W961" s="658">
        <f>+EP!W855</f>
        <v>0</v>
      </c>
      <c r="X961" s="658">
        <f>+EP!X855</f>
        <v>0</v>
      </c>
      <c r="Y961" s="658">
        <f>+EP!Y855</f>
        <v>0</v>
      </c>
      <c r="Z961" s="658">
        <f>+EP!Z855</f>
        <v>0</v>
      </c>
      <c r="AA961" s="658">
        <f>+EP!AA855</f>
        <v>0</v>
      </c>
      <c r="AB961" s="658">
        <f>+EP!AB855</f>
        <v>0</v>
      </c>
      <c r="AC961" s="658">
        <f>+EP!AC855</f>
        <v>0</v>
      </c>
    </row>
    <row r="962" spans="1:29">
      <c r="A962" s="637"/>
      <c r="B962" s="637" t="str">
        <f>EP!B856</f>
        <v>SEC10 Value</v>
      </c>
      <c r="C962" s="637"/>
      <c r="D962" s="637"/>
      <c r="E962" s="658">
        <f>+EP!E856</f>
        <v>0</v>
      </c>
      <c r="F962" s="658">
        <f>+EP!F856</f>
        <v>0</v>
      </c>
      <c r="G962" s="658">
        <f>+EP!G856</f>
        <v>0</v>
      </c>
      <c r="H962" s="658">
        <f>+EP!H856</f>
        <v>0</v>
      </c>
      <c r="I962" s="658">
        <f ca="1">+EP!I856</f>
        <v>32303.548385149472</v>
      </c>
      <c r="J962" s="658">
        <f ca="1">+EP!J856</f>
        <v>54681.633759852062</v>
      </c>
      <c r="K962" s="658">
        <f ca="1">+EP!K856</f>
        <v>65076.249931182057</v>
      </c>
      <c r="L962" s="658">
        <f ca="1">+EP!L856</f>
        <v>75265.079780108295</v>
      </c>
      <c r="M962" s="658">
        <f ca="1">+EP!M856</f>
        <v>83970.944292470071</v>
      </c>
      <c r="N962" s="658">
        <f ca="1">+EP!N856</f>
        <v>90705.300222777703</v>
      </c>
      <c r="O962" s="658">
        <f ca="1">+EP!O856</f>
        <v>94607.856150821404</v>
      </c>
      <c r="P962" s="658">
        <f ca="1">+EP!P856</f>
        <v>100842.40447296681</v>
      </c>
      <c r="Q962" s="658">
        <f ca="1">+EP!Q856</f>
        <v>95452.286728956533</v>
      </c>
      <c r="R962" s="658">
        <f ca="1">+EP!R856</f>
        <v>80173.907515706785</v>
      </c>
      <c r="S962" s="658">
        <f ca="1">+EP!S856</f>
        <v>66052.357343498355</v>
      </c>
      <c r="T962" s="658">
        <f ca="1">+EP!T856</f>
        <v>53373.444652791703</v>
      </c>
      <c r="U962" s="658">
        <f ca="1">+EP!U856</f>
        <v>42479.382826484863</v>
      </c>
      <c r="V962" s="658">
        <f ca="1">+EP!V856</f>
        <v>33564.019126824263</v>
      </c>
      <c r="W962" s="658">
        <f ca="1">+EP!W856</f>
        <v>26297.031852341592</v>
      </c>
      <c r="X962" s="658">
        <f ca="1">+EP!X856</f>
        <v>20322.430385394575</v>
      </c>
      <c r="Y962" s="658">
        <f ca="1">+EP!Y856</f>
        <v>15323.899918765692</v>
      </c>
      <c r="Z962" s="658">
        <f ca="1">+EP!Z856</f>
        <v>11122.167510073634</v>
      </c>
      <c r="AA962" s="658">
        <f ca="1">+EP!AA856</f>
        <v>7640.8448435280234</v>
      </c>
      <c r="AB962" s="658">
        <f ca="1">+EP!AB856</f>
        <v>4706.5144680200374</v>
      </c>
      <c r="AC962" s="658">
        <f ca="1">+EP!AC856</f>
        <v>2196.0755539383836</v>
      </c>
    </row>
    <row r="963" spans="1:29" ht="12" thickBot="1">
      <c r="A963" s="661"/>
      <c r="B963" s="652"/>
      <c r="C963" s="652"/>
      <c r="D963" s="652"/>
      <c r="E963" s="652"/>
      <c r="F963" s="652"/>
      <c r="G963" s="652"/>
      <c r="H963" s="652"/>
      <c r="I963" s="652"/>
      <c r="J963" s="652"/>
      <c r="K963" s="652"/>
      <c r="L963" s="652"/>
      <c r="M963" s="652"/>
      <c r="N963" s="652"/>
      <c r="O963" s="652"/>
      <c r="P963" s="652"/>
      <c r="Q963" s="652"/>
      <c r="R963" s="652"/>
      <c r="S963" s="652"/>
      <c r="T963" s="652"/>
      <c r="U963" s="652"/>
      <c r="V963" s="652"/>
      <c r="W963" s="652"/>
      <c r="X963" s="652"/>
      <c r="Y963" s="652"/>
      <c r="Z963" s="652"/>
      <c r="AA963" s="652"/>
      <c r="AB963" s="652"/>
      <c r="AC963" s="652"/>
    </row>
    <row r="964" spans="1:29" ht="12" thickTop="1">
      <c r="A964" s="645"/>
      <c r="B964" s="637"/>
      <c r="C964" s="637"/>
      <c r="D964" s="637"/>
      <c r="E964" s="637"/>
      <c r="F964" s="637"/>
      <c r="G964" s="637"/>
      <c r="H964" s="637"/>
      <c r="I964" s="637"/>
      <c r="J964" s="637"/>
      <c r="K964" s="637"/>
      <c r="L964" s="637"/>
      <c r="M964" s="637"/>
      <c r="N964" s="637"/>
      <c r="O964" s="637"/>
      <c r="P964" s="637"/>
      <c r="Q964" s="637"/>
      <c r="R964" s="637"/>
      <c r="S964" s="637"/>
      <c r="T964" s="637"/>
      <c r="U964" s="637"/>
      <c r="V964" s="637"/>
      <c r="W964" s="637"/>
      <c r="X964" s="637"/>
      <c r="Y964" s="637"/>
      <c r="Z964" s="637"/>
      <c r="AA964" s="637"/>
      <c r="AB964" s="637"/>
      <c r="AC964" s="637"/>
    </row>
    <row r="965" spans="1:29">
      <c r="A965" s="636" t="s">
        <v>1118</v>
      </c>
      <c r="B965" s="637"/>
      <c r="C965" s="637"/>
      <c r="D965" s="637"/>
      <c r="E965" s="637"/>
      <c r="F965" s="637"/>
      <c r="G965" s="637"/>
      <c r="H965" s="637"/>
      <c r="I965" s="637"/>
      <c r="J965" s="637"/>
      <c r="K965" s="637"/>
      <c r="L965" s="637"/>
      <c r="M965" s="637"/>
      <c r="N965" s="637"/>
      <c r="O965" s="637"/>
      <c r="P965" s="637"/>
      <c r="Q965" s="637"/>
      <c r="R965" s="637"/>
      <c r="S965" s="637"/>
      <c r="T965" s="637"/>
      <c r="U965" s="637"/>
      <c r="V965" s="637"/>
      <c r="W965" s="637"/>
      <c r="X965" s="637"/>
      <c r="Y965" s="637"/>
      <c r="Z965" s="637"/>
      <c r="AA965" s="637"/>
      <c r="AB965" s="637"/>
      <c r="AC965" s="637"/>
    </row>
    <row r="966" spans="1:29">
      <c r="A966" s="637"/>
      <c r="B966" s="637"/>
      <c r="C966" s="637"/>
      <c r="D966" s="637"/>
      <c r="E966" s="637" t="s">
        <v>1119</v>
      </c>
      <c r="F966" s="637"/>
      <c r="G966" s="637"/>
      <c r="H966" s="653">
        <f ca="1">+C328</f>
        <v>0.5</v>
      </c>
      <c r="I966" s="637"/>
      <c r="J966" s="637"/>
      <c r="K966" s="637"/>
      <c r="L966" s="637"/>
      <c r="M966" s="637"/>
      <c r="N966" s="637"/>
      <c r="O966" s="637"/>
      <c r="P966" s="637"/>
      <c r="Q966" s="637"/>
      <c r="R966" s="637"/>
      <c r="S966" s="637"/>
      <c r="T966" s="637"/>
      <c r="U966" s="637"/>
      <c r="V966" s="637"/>
      <c r="W966" s="637"/>
      <c r="X966" s="637"/>
      <c r="Y966" s="637"/>
      <c r="Z966" s="637"/>
      <c r="AA966" s="637"/>
      <c r="AB966" s="637"/>
      <c r="AC966" s="637"/>
    </row>
    <row r="967" spans="1:29">
      <c r="A967" s="637"/>
      <c r="B967" s="637"/>
      <c r="C967" s="637"/>
      <c r="D967" s="637"/>
      <c r="E967" s="638" t="s">
        <v>372</v>
      </c>
      <c r="F967" s="637"/>
      <c r="G967" s="654"/>
      <c r="H967" s="662">
        <f>IF(F5="Millions",1000000,IF(F5="Thousands",1000,1))</f>
        <v>1000</v>
      </c>
      <c r="I967" s="637"/>
      <c r="J967" s="663"/>
      <c r="K967" s="663"/>
      <c r="L967" s="663"/>
      <c r="M967" s="663"/>
      <c r="N967" s="663"/>
      <c r="O967" s="663"/>
      <c r="P967" s="663"/>
      <c r="Q967" s="663"/>
      <c r="R967" s="663"/>
      <c r="S967" s="663"/>
      <c r="T967" s="663"/>
      <c r="U967" s="663"/>
      <c r="V967" s="663"/>
      <c r="W967" s="663"/>
      <c r="X967" s="663"/>
      <c r="Y967" s="663"/>
      <c r="Z967" s="663"/>
      <c r="AA967" s="663"/>
      <c r="AB967" s="663"/>
      <c r="AC967" s="663"/>
    </row>
    <row r="968" spans="1:29">
      <c r="A968" s="637"/>
      <c r="B968" s="637"/>
      <c r="C968" s="637"/>
      <c r="D968" s="637"/>
      <c r="E968" s="638" t="s">
        <v>471</v>
      </c>
      <c r="F968" s="637"/>
      <c r="G968" s="654"/>
      <c r="H968" s="662"/>
      <c r="I968" s="637">
        <f t="shared" ref="I968:AC968" si="645">H185</f>
        <v>0</v>
      </c>
      <c r="J968" s="637">
        <f t="shared" si="645"/>
        <v>0</v>
      </c>
      <c r="K968" s="637">
        <f t="shared" si="645"/>
        <v>0</v>
      </c>
      <c r="L968" s="637">
        <f t="shared" si="645"/>
        <v>0</v>
      </c>
      <c r="M968" s="637">
        <f t="shared" si="645"/>
        <v>0</v>
      </c>
      <c r="N968" s="637">
        <f t="shared" si="645"/>
        <v>0</v>
      </c>
      <c r="O968" s="637">
        <f t="shared" si="645"/>
        <v>0</v>
      </c>
      <c r="P968" s="637">
        <f t="shared" si="645"/>
        <v>21.431593893078762</v>
      </c>
      <c r="Q968" s="637">
        <f t="shared" si="645"/>
        <v>22.208802591753514</v>
      </c>
      <c r="R968" s="637">
        <f t="shared" si="645"/>
        <v>31.306968531094796</v>
      </c>
      <c r="S968" s="637">
        <f t="shared" si="645"/>
        <v>25.246675027440688</v>
      </c>
      <c r="T968" s="637">
        <f t="shared" si="645"/>
        <v>20.112053425777358</v>
      </c>
      <c r="U968" s="637">
        <f t="shared" si="645"/>
        <v>15.798360025320317</v>
      </c>
      <c r="V968" s="637">
        <f t="shared" si="645"/>
        <v>12.182312939375194</v>
      </c>
      <c r="W968" s="637">
        <f t="shared" si="645"/>
        <v>9.2132852829823619</v>
      </c>
      <c r="X968" s="637">
        <f t="shared" si="645"/>
        <v>6.7784409264301715</v>
      </c>
      <c r="Y968" s="637">
        <f t="shared" si="645"/>
        <v>4.8032377990553741</v>
      </c>
      <c r="Z968" s="637">
        <f t="shared" si="645"/>
        <v>3.2465984900921114</v>
      </c>
      <c r="AA968" s="637">
        <f t="shared" si="645"/>
        <v>2.1030848390606849</v>
      </c>
      <c r="AB968" s="637">
        <f t="shared" si="645"/>
        <v>1.2286575589010695</v>
      </c>
      <c r="AC968" s="637">
        <f t="shared" si="645"/>
        <v>0.55598556042943414</v>
      </c>
    </row>
    <row r="969" spans="1:29">
      <c r="A969" s="637"/>
      <c r="B969" s="637"/>
      <c r="C969" s="637"/>
      <c r="D969" s="637"/>
      <c r="E969" s="638" t="s">
        <v>151</v>
      </c>
      <c r="F969" s="637"/>
      <c r="G969" s="654"/>
      <c r="H969" s="662"/>
      <c r="I969" s="664">
        <f t="shared" ref="I969:R969" ca="1" si="646">+I59</f>
        <v>135.29332796348427</v>
      </c>
      <c r="J969" s="664">
        <f t="shared" ca="1" si="646"/>
        <v>0</v>
      </c>
      <c r="K969" s="664">
        <f t="shared" ca="1" si="646"/>
        <v>0</v>
      </c>
      <c r="L969" s="664">
        <f t="shared" ca="1" si="646"/>
        <v>0</v>
      </c>
      <c r="M969" s="664">
        <f t="shared" ca="1" si="646"/>
        <v>0</v>
      </c>
      <c r="N969" s="664">
        <f t="shared" ca="1" si="646"/>
        <v>0</v>
      </c>
      <c r="O969" s="664">
        <f t="shared" ca="1" si="646"/>
        <v>0</v>
      </c>
      <c r="P969" s="664">
        <f t="shared" ca="1" si="646"/>
        <v>0</v>
      </c>
      <c r="Q969" s="664">
        <f t="shared" ca="1" si="646"/>
        <v>0</v>
      </c>
      <c r="R969" s="664">
        <f t="shared" ca="1" si="646"/>
        <v>0</v>
      </c>
      <c r="S969" s="664">
        <f t="shared" ref="S969:AC969" ca="1" si="647">+S59</f>
        <v>0</v>
      </c>
      <c r="T969" s="664">
        <f t="shared" ca="1" si="647"/>
        <v>0</v>
      </c>
      <c r="U969" s="664">
        <f t="shared" ca="1" si="647"/>
        <v>0</v>
      </c>
      <c r="V969" s="664">
        <f t="shared" ca="1" si="647"/>
        <v>0</v>
      </c>
      <c r="W969" s="664">
        <f t="shared" ca="1" si="647"/>
        <v>0</v>
      </c>
      <c r="X969" s="664">
        <f t="shared" ca="1" si="647"/>
        <v>0</v>
      </c>
      <c r="Y969" s="664">
        <f t="shared" ca="1" si="647"/>
        <v>0</v>
      </c>
      <c r="Z969" s="664">
        <f t="shared" ca="1" si="647"/>
        <v>0</v>
      </c>
      <c r="AA969" s="664">
        <f t="shared" ca="1" si="647"/>
        <v>0</v>
      </c>
      <c r="AB969" s="664">
        <f t="shared" ca="1" si="647"/>
        <v>0</v>
      </c>
      <c r="AC969" s="664">
        <f t="shared" ca="1" si="647"/>
        <v>0</v>
      </c>
    </row>
    <row r="970" spans="1:29">
      <c r="A970" s="637"/>
      <c r="B970" s="637"/>
      <c r="C970" s="637"/>
      <c r="D970" s="637"/>
      <c r="E970" s="639" t="s">
        <v>373</v>
      </c>
      <c r="F970" s="637"/>
      <c r="G970" s="654"/>
      <c r="H970" s="662"/>
      <c r="I970" s="658">
        <f t="shared" ref="I970:R970" ca="1" si="648">SUM(I47:I48)</f>
        <v>504.85591119790752</v>
      </c>
      <c r="J970" s="658">
        <f t="shared" ca="1" si="648"/>
        <v>0</v>
      </c>
      <c r="K970" s="658">
        <f t="shared" ca="1" si="648"/>
        <v>0</v>
      </c>
      <c r="L970" s="658">
        <f t="shared" ca="1" si="648"/>
        <v>0</v>
      </c>
      <c r="M970" s="658">
        <f t="shared" ca="1" si="648"/>
        <v>0</v>
      </c>
      <c r="N970" s="658">
        <f t="shared" ca="1" si="648"/>
        <v>0</v>
      </c>
      <c r="O970" s="658">
        <f t="shared" ca="1" si="648"/>
        <v>0</v>
      </c>
      <c r="P970" s="658">
        <f t="shared" ca="1" si="648"/>
        <v>0</v>
      </c>
      <c r="Q970" s="658">
        <f t="shared" ca="1" si="648"/>
        <v>0</v>
      </c>
      <c r="R970" s="658">
        <f t="shared" ca="1" si="648"/>
        <v>0</v>
      </c>
      <c r="S970" s="658">
        <f t="shared" ref="S970:AC970" ca="1" si="649">SUM(S47:S48)</f>
        <v>0</v>
      </c>
      <c r="T970" s="658">
        <f t="shared" ca="1" si="649"/>
        <v>0</v>
      </c>
      <c r="U970" s="658">
        <f t="shared" ca="1" si="649"/>
        <v>0</v>
      </c>
      <c r="V970" s="658">
        <f t="shared" ca="1" si="649"/>
        <v>0</v>
      </c>
      <c r="W970" s="658">
        <f t="shared" ca="1" si="649"/>
        <v>0</v>
      </c>
      <c r="X970" s="658">
        <f t="shared" ca="1" si="649"/>
        <v>0</v>
      </c>
      <c r="Y970" s="658">
        <f t="shared" ca="1" si="649"/>
        <v>0</v>
      </c>
      <c r="Z970" s="658">
        <f t="shared" ca="1" si="649"/>
        <v>0</v>
      </c>
      <c r="AA970" s="658">
        <f t="shared" ca="1" si="649"/>
        <v>0</v>
      </c>
      <c r="AB970" s="658">
        <f t="shared" ca="1" si="649"/>
        <v>0</v>
      </c>
      <c r="AC970" s="658">
        <f t="shared" ca="1" si="649"/>
        <v>0</v>
      </c>
    </row>
    <row r="971" spans="1:29">
      <c r="A971" s="637"/>
      <c r="B971" s="637"/>
      <c r="C971" s="637"/>
      <c r="D971" s="637"/>
      <c r="E971" s="639" t="s">
        <v>374</v>
      </c>
      <c r="F971" s="637"/>
      <c r="G971" s="654"/>
      <c r="H971" s="662"/>
      <c r="I971" s="658">
        <f t="shared" ref="I971:R971" ca="1" si="650">+I216</f>
        <v>-501.12434572607458</v>
      </c>
      <c r="J971" s="658">
        <f t="shared" ca="1" si="650"/>
        <v>5741.8120488183758</v>
      </c>
      <c r="K971" s="658">
        <f t="shared" ca="1" si="650"/>
        <v>11015.585423883958</v>
      </c>
      <c r="L971" s="658">
        <f t="shared" ca="1" si="650"/>
        <v>15391.575794357937</v>
      </c>
      <c r="M971" s="658">
        <f t="shared" ca="1" si="650"/>
        <v>18671.469381785493</v>
      </c>
      <c r="N971" s="658">
        <f t="shared" ca="1" si="650"/>
        <v>21808.423096192477</v>
      </c>
      <c r="O971" s="658">
        <f t="shared" ca="1" si="650"/>
        <v>24738.941428766579</v>
      </c>
      <c r="P971" s="658">
        <f t="shared" ca="1" si="650"/>
        <v>27470.589628866888</v>
      </c>
      <c r="Q971" s="658">
        <f t="shared" ca="1" si="650"/>
        <v>30063.138359186254</v>
      </c>
      <c r="R971" s="658">
        <f t="shared" ca="1" si="650"/>
        <v>32540.197169465533</v>
      </c>
      <c r="S971" s="658">
        <f t="shared" ref="S971:AC971" ca="1" si="651">+S216</f>
        <v>34936.09907714829</v>
      </c>
      <c r="T971" s="658">
        <f t="shared" ca="1" si="651"/>
        <v>37252.390650837428</v>
      </c>
      <c r="U971" s="658">
        <f t="shared" ca="1" si="651"/>
        <v>39512.55473396038</v>
      </c>
      <c r="V971" s="658">
        <f t="shared" ca="1" si="651"/>
        <v>41717.963012814202</v>
      </c>
      <c r="W971" s="658">
        <f t="shared" ca="1" si="651"/>
        <v>43898.620461492152</v>
      </c>
      <c r="X971" s="658">
        <f t="shared" ca="1" si="651"/>
        <v>46050.382252827592</v>
      </c>
      <c r="Y971" s="658">
        <f t="shared" ca="1" si="651"/>
        <v>48182.135074048972</v>
      </c>
      <c r="Z971" s="658">
        <f t="shared" ca="1" si="651"/>
        <v>50273.958240255684</v>
      </c>
      <c r="AA971" s="658">
        <f t="shared" ca="1" si="651"/>
        <v>52359.780135601533</v>
      </c>
      <c r="AB971" s="658">
        <f t="shared" ca="1" si="651"/>
        <v>54455.389380526518</v>
      </c>
      <c r="AC971" s="658">
        <f t="shared" ca="1" si="651"/>
        <v>56588.121645373372</v>
      </c>
    </row>
    <row r="972" spans="1:29">
      <c r="A972" s="637"/>
      <c r="B972" s="637"/>
      <c r="C972" s="637"/>
      <c r="D972" s="637"/>
      <c r="E972" s="639" t="s">
        <v>1120</v>
      </c>
      <c r="F972" s="637"/>
      <c r="G972" s="654"/>
      <c r="H972" s="662"/>
      <c r="I972" s="658">
        <f t="shared" ref="I972:R972" ca="1" si="652">IF(+I142+I154+I156&gt;0,I142+I154+I156,0)</f>
        <v>0</v>
      </c>
      <c r="J972" s="658">
        <f t="shared" ca="1" si="652"/>
        <v>6242.9363945444502</v>
      </c>
      <c r="K972" s="658">
        <f t="shared" ca="1" si="652"/>
        <v>4451.7369283973248</v>
      </c>
      <c r="L972" s="658">
        <f t="shared" ca="1" si="652"/>
        <v>4038.1080743725247</v>
      </c>
      <c r="M972" s="658">
        <f t="shared" ca="1" si="652"/>
        <v>3950.9631886494744</v>
      </c>
      <c r="N972" s="658">
        <f t="shared" ca="1" si="652"/>
        <v>3759.0530256385973</v>
      </c>
      <c r="O972" s="658">
        <f t="shared" ca="1" si="652"/>
        <v>3468.1556632170818</v>
      </c>
      <c r="P972" s="658">
        <f t="shared" ca="1" si="652"/>
        <v>3250.04784218843</v>
      </c>
      <c r="Q972" s="658">
        <f t="shared" ca="1" si="652"/>
        <v>3091.2337890596059</v>
      </c>
      <c r="R972" s="658">
        <f t="shared" ca="1" si="652"/>
        <v>2973.5588756482061</v>
      </c>
      <c r="S972" s="658">
        <f t="shared" ref="S972:AC972" ca="1" si="653">IF(+S142+S154+S156&gt;0,S142+S154+S156,0)</f>
        <v>2401.0365292844181</v>
      </c>
      <c r="T972" s="658">
        <f t="shared" ca="1" si="653"/>
        <v>2320.6052670895951</v>
      </c>
      <c r="U972" s="658">
        <f t="shared" ca="1" si="653"/>
        <v>2263.7801302088938</v>
      </c>
      <c r="V972" s="658">
        <f t="shared" ca="1" si="653"/>
        <v>2208.3773065102155</v>
      </c>
      <c r="W972" s="658">
        <f t="shared" ca="1" si="653"/>
        <v>2183.0922930344996</v>
      </c>
      <c r="X972" s="658">
        <f t="shared" ca="1" si="653"/>
        <v>2153.7369944628117</v>
      </c>
      <c r="Y972" s="658">
        <f t="shared" ca="1" si="653"/>
        <v>2133.3094605303454</v>
      </c>
      <c r="Z972" s="658">
        <f t="shared" ca="1" si="653"/>
        <v>2092.9666798577464</v>
      </c>
      <c r="AA972" s="658">
        <f t="shared" ca="1" si="653"/>
        <v>2086.6963226260082</v>
      </c>
      <c r="AB972" s="658">
        <f t="shared" ca="1" si="653"/>
        <v>2096.2819169234576</v>
      </c>
      <c r="AC972" s="658">
        <f t="shared" ca="1" si="653"/>
        <v>2133.2882504072836</v>
      </c>
    </row>
    <row r="973" spans="1:29" ht="12" thickBot="1">
      <c r="A973" s="661"/>
      <c r="B973" s="661"/>
      <c r="C973" s="661"/>
      <c r="D973" s="661"/>
      <c r="E973" s="661"/>
      <c r="F973" s="661"/>
      <c r="G973" s="661"/>
      <c r="H973" s="661"/>
      <c r="I973" s="661"/>
      <c r="J973" s="661"/>
      <c r="K973" s="661"/>
      <c r="L973" s="661"/>
      <c r="M973" s="661"/>
      <c r="N973" s="661"/>
      <c r="O973" s="661"/>
      <c r="P973" s="661"/>
      <c r="Q973" s="661"/>
      <c r="R973" s="661"/>
      <c r="S973" s="661"/>
      <c r="T973" s="661"/>
      <c r="U973" s="661"/>
      <c r="V973" s="661"/>
      <c r="W973" s="661"/>
      <c r="X973" s="661"/>
      <c r="Y973" s="661"/>
      <c r="Z973" s="661"/>
      <c r="AA973" s="661"/>
      <c r="AB973" s="661"/>
      <c r="AC973" s="661"/>
    </row>
    <row r="974" spans="1:29" ht="12.75" thickTop="1" thickBot="1">
      <c r="A974" s="477"/>
      <c r="B974" s="477"/>
      <c r="C974" s="477"/>
      <c r="D974" s="477"/>
      <c r="E974" s="477"/>
      <c r="F974" s="477"/>
      <c r="G974" s="477"/>
      <c r="H974" s="477"/>
      <c r="I974" s="477"/>
      <c r="J974" s="477"/>
      <c r="K974" s="477"/>
      <c r="L974" s="477"/>
      <c r="M974" s="477"/>
      <c r="N974" s="477"/>
      <c r="O974" s="477"/>
      <c r="P974" s="477"/>
      <c r="Q974" s="477"/>
      <c r="R974" s="477"/>
      <c r="S974" s="477"/>
      <c r="T974" s="477"/>
      <c r="U974" s="477"/>
      <c r="V974" s="477"/>
      <c r="W974" s="477"/>
      <c r="X974" s="477"/>
      <c r="Y974" s="477"/>
      <c r="Z974" s="477"/>
      <c r="AA974" s="477"/>
      <c r="AB974" s="477"/>
      <c r="AC974" s="477"/>
    </row>
    <row r="975" spans="1:29" ht="12.75" thickTop="1" thickBot="1">
      <c r="A975" s="85"/>
      <c r="E975" s="104">
        <f>E580</f>
        <v>1996</v>
      </c>
      <c r="F975" s="104">
        <f>F580</f>
        <v>1997</v>
      </c>
      <c r="G975" s="104">
        <f>G580</f>
        <v>1998</v>
      </c>
      <c r="H975" s="86" t="str">
        <f ca="1">$H$579&amp;"/"&amp;TEXT($H$580,"0")</f>
        <v>6 M/1999</v>
      </c>
      <c r="I975" s="86" t="str">
        <f ca="1">$I$579&amp;"/"&amp;TEXT($I$580,"0")</f>
        <v>6 M/1999</v>
      </c>
      <c r="J975" s="104">
        <f t="shared" ref="J975:AC975" si="654">J580</f>
        <v>2000</v>
      </c>
      <c r="K975" s="104">
        <f t="shared" si="654"/>
        <v>2001</v>
      </c>
      <c r="L975" s="104">
        <f t="shared" si="654"/>
        <v>2002</v>
      </c>
      <c r="M975" s="104">
        <f t="shared" si="654"/>
        <v>2003</v>
      </c>
      <c r="N975" s="104">
        <f t="shared" si="654"/>
        <v>2004</v>
      </c>
      <c r="O975" s="104">
        <f t="shared" si="654"/>
        <v>2005</v>
      </c>
      <c r="P975" s="104">
        <f t="shared" si="654"/>
        <v>2006</v>
      </c>
      <c r="Q975" s="104">
        <f t="shared" si="654"/>
        <v>2007</v>
      </c>
      <c r="R975" s="104">
        <f t="shared" si="654"/>
        <v>2008</v>
      </c>
      <c r="S975" s="104">
        <f t="shared" si="654"/>
        <v>2009</v>
      </c>
      <c r="T975" s="104">
        <f t="shared" si="654"/>
        <v>2010</v>
      </c>
      <c r="U975" s="104">
        <f t="shared" si="654"/>
        <v>2011</v>
      </c>
      <c r="V975" s="104">
        <f t="shared" si="654"/>
        <v>2012</v>
      </c>
      <c r="W975" s="104">
        <f t="shared" si="654"/>
        <v>2013</v>
      </c>
      <c r="X975" s="104">
        <f t="shared" si="654"/>
        <v>2014</v>
      </c>
      <c r="Y975" s="104">
        <f t="shared" si="654"/>
        <v>2015</v>
      </c>
      <c r="Z975" s="104">
        <f t="shared" si="654"/>
        <v>2016</v>
      </c>
      <c r="AA975" s="104">
        <f t="shared" si="654"/>
        <v>2017</v>
      </c>
      <c r="AB975" s="104">
        <f t="shared" si="654"/>
        <v>2018</v>
      </c>
      <c r="AC975" s="104">
        <f t="shared" si="654"/>
        <v>2019</v>
      </c>
    </row>
    <row r="976" spans="1:29" ht="12" thickTop="1">
      <c r="A976" s="19" t="s">
        <v>1121</v>
      </c>
      <c r="D976" s="22"/>
      <c r="E976"/>
      <c r="F976"/>
      <c r="G976"/>
      <c r="H976" s="88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 spans="1:29">
      <c r="A977" s="5" t="str">
        <f>A69</f>
        <v>Revenues</v>
      </c>
      <c r="D977" s="55"/>
      <c r="E977" s="105" t="str">
        <f t="shared" ref="E977:N979" si="655">IF(ISERR(+E69/E$69),"NA",E69/E$69)</f>
        <v>NA</v>
      </c>
      <c r="F977" s="105" t="str">
        <f t="shared" si="655"/>
        <v>NA</v>
      </c>
      <c r="G977" s="105" t="str">
        <f t="shared" si="655"/>
        <v>NA</v>
      </c>
      <c r="H977" s="106" t="str">
        <f t="shared" si="655"/>
        <v>NA</v>
      </c>
      <c r="I977" s="105">
        <f t="shared" si="655"/>
        <v>1</v>
      </c>
      <c r="J977" s="105">
        <f t="shared" ca="1" si="655"/>
        <v>1</v>
      </c>
      <c r="K977" s="105">
        <f t="shared" ca="1" si="655"/>
        <v>1</v>
      </c>
      <c r="L977" s="105">
        <f t="shared" ca="1" si="655"/>
        <v>1</v>
      </c>
      <c r="M977" s="105">
        <f t="shared" ca="1" si="655"/>
        <v>1</v>
      </c>
      <c r="N977" s="105">
        <f t="shared" ca="1" si="655"/>
        <v>1</v>
      </c>
      <c r="O977" s="105">
        <f t="shared" ref="O977:AC979" ca="1" si="656">IF(ISERR(+O69/O$69),"NA",O69/O$69)</f>
        <v>1</v>
      </c>
      <c r="P977" s="105">
        <f t="shared" ca="1" si="656"/>
        <v>1</v>
      </c>
      <c r="Q977" s="105">
        <f t="shared" ca="1" si="656"/>
        <v>1</v>
      </c>
      <c r="R977" s="105">
        <f t="shared" ca="1" si="656"/>
        <v>1</v>
      </c>
      <c r="S977" s="105">
        <f t="shared" ca="1" si="656"/>
        <v>1</v>
      </c>
      <c r="T977" s="105">
        <f t="shared" ca="1" si="656"/>
        <v>1</v>
      </c>
      <c r="U977" s="105">
        <f t="shared" ca="1" si="656"/>
        <v>1</v>
      </c>
      <c r="V977" s="105">
        <f t="shared" ca="1" si="656"/>
        <v>1</v>
      </c>
      <c r="W977" s="105">
        <f t="shared" ca="1" si="656"/>
        <v>1</v>
      </c>
      <c r="X977" s="105">
        <f t="shared" ca="1" si="656"/>
        <v>1</v>
      </c>
      <c r="Y977" s="105">
        <f t="shared" ca="1" si="656"/>
        <v>1</v>
      </c>
      <c r="Z977" s="105">
        <f t="shared" ca="1" si="656"/>
        <v>1</v>
      </c>
      <c r="AA977" s="105">
        <f t="shared" ca="1" si="656"/>
        <v>1</v>
      </c>
      <c r="AB977" s="105">
        <f t="shared" ca="1" si="656"/>
        <v>1</v>
      </c>
      <c r="AC977" s="105">
        <f t="shared" ca="1" si="656"/>
        <v>1</v>
      </c>
    </row>
    <row r="978" spans="1:29">
      <c r="A978" s="5" t="str">
        <f>A70</f>
        <v>Cost of Revenues</v>
      </c>
      <c r="D978" s="55"/>
      <c r="E978" s="105" t="str">
        <f t="shared" si="655"/>
        <v>NA</v>
      </c>
      <c r="F978" s="105" t="str">
        <f t="shared" si="655"/>
        <v>NA</v>
      </c>
      <c r="G978" s="105" t="str">
        <f t="shared" si="655"/>
        <v>NA</v>
      </c>
      <c r="H978" s="106" t="str">
        <f t="shared" si="655"/>
        <v>NA</v>
      </c>
      <c r="I978" s="105">
        <f t="shared" ca="1" si="655"/>
        <v>7.2636878471297267E-2</v>
      </c>
      <c r="J978" s="105">
        <f t="shared" ca="1" si="655"/>
        <v>9.8420412311701025E-2</v>
      </c>
      <c r="K978" s="105">
        <f t="shared" ca="1" si="655"/>
        <v>0.10004748613932488</v>
      </c>
      <c r="L978" s="105">
        <f t="shared" ca="1" si="655"/>
        <v>0.10074653861273501</v>
      </c>
      <c r="M978" s="105">
        <f t="shared" ca="1" si="655"/>
        <v>0.10141882676064917</v>
      </c>
      <c r="N978" s="105">
        <f t="shared" ca="1" si="655"/>
        <v>0.10243509953119857</v>
      </c>
      <c r="O978" s="105">
        <f t="shared" ca="1" si="656"/>
        <v>0.10397951777451155</v>
      </c>
      <c r="P978" s="105">
        <f t="shared" ca="1" si="656"/>
        <v>0.10596052284435617</v>
      </c>
      <c r="Q978" s="105">
        <f t="shared" ca="1" si="656"/>
        <v>0.11243675174700593</v>
      </c>
      <c r="R978" s="105">
        <f t="shared" ca="1" si="656"/>
        <v>0.11655361148391091</v>
      </c>
      <c r="S978" s="105">
        <f t="shared" ca="1" si="656"/>
        <v>0.11126856362155441</v>
      </c>
      <c r="T978" s="105">
        <f t="shared" ca="1" si="656"/>
        <v>0.11408295904570079</v>
      </c>
      <c r="U978" s="105">
        <f t="shared" ca="1" si="656"/>
        <v>0.11715696828611076</v>
      </c>
      <c r="V978" s="105">
        <f t="shared" ca="1" si="656"/>
        <v>0.12110925336871155</v>
      </c>
      <c r="W978" s="105">
        <f t="shared" ca="1" si="656"/>
        <v>0.10850803011940684</v>
      </c>
      <c r="X978" s="105">
        <f t="shared" ca="1" si="656"/>
        <v>0.11123828753614418</v>
      </c>
      <c r="Y978" s="105">
        <f t="shared" ca="1" si="656"/>
        <v>9.7727783854078695E-2</v>
      </c>
      <c r="Z978" s="105">
        <f t="shared" ca="1" si="656"/>
        <v>9.1999999999999998E-2</v>
      </c>
      <c r="AA978" s="105">
        <f t="shared" ca="1" si="656"/>
        <v>9.1999999999999998E-2</v>
      </c>
      <c r="AB978" s="105">
        <f t="shared" ca="1" si="656"/>
        <v>9.1999999999999998E-2</v>
      </c>
      <c r="AC978" s="105">
        <f t="shared" ca="1" si="656"/>
        <v>9.2000000000000012E-2</v>
      </c>
    </row>
    <row r="979" spans="1:29">
      <c r="A979" s="77" t="str">
        <f>A71</f>
        <v>Gross Profits</v>
      </c>
      <c r="D979" s="55"/>
      <c r="E979" s="107" t="str">
        <f t="shared" si="655"/>
        <v>NA</v>
      </c>
      <c r="F979" s="107" t="str">
        <f t="shared" si="655"/>
        <v>NA</v>
      </c>
      <c r="G979" s="107" t="str">
        <f t="shared" si="655"/>
        <v>NA</v>
      </c>
      <c r="H979" s="108" t="str">
        <f t="shared" si="655"/>
        <v>NA</v>
      </c>
      <c r="I979" s="107">
        <f t="shared" ca="1" si="655"/>
        <v>0.92736312152870271</v>
      </c>
      <c r="J979" s="107">
        <f t="shared" ca="1" si="655"/>
        <v>0.90157958768829904</v>
      </c>
      <c r="K979" s="107">
        <f t="shared" ca="1" si="655"/>
        <v>0.8999525138606751</v>
      </c>
      <c r="L979" s="107">
        <f t="shared" ca="1" si="655"/>
        <v>0.89925346138726503</v>
      </c>
      <c r="M979" s="107">
        <f t="shared" ca="1" si="655"/>
        <v>0.89858117323935083</v>
      </c>
      <c r="N979" s="107">
        <f t="shared" ca="1" si="655"/>
        <v>0.89756490046880144</v>
      </c>
      <c r="O979" s="107">
        <f t="shared" ca="1" si="656"/>
        <v>0.89602048222548847</v>
      </c>
      <c r="P979" s="107">
        <f t="shared" ca="1" si="656"/>
        <v>0.8940394771556438</v>
      </c>
      <c r="Q979" s="107">
        <f t="shared" ca="1" si="656"/>
        <v>0.88756324825299415</v>
      </c>
      <c r="R979" s="107">
        <f t="shared" ca="1" si="656"/>
        <v>0.88344638851608903</v>
      </c>
      <c r="S979" s="107">
        <f t="shared" ca="1" si="656"/>
        <v>0.88873143637844565</v>
      </c>
      <c r="T979" s="107">
        <f t="shared" ca="1" si="656"/>
        <v>0.88591704095429924</v>
      </c>
      <c r="U979" s="107">
        <f t="shared" ca="1" si="656"/>
        <v>0.88284303171388923</v>
      </c>
      <c r="V979" s="107">
        <f t="shared" ca="1" si="656"/>
        <v>0.87889074663128841</v>
      </c>
      <c r="W979" s="107">
        <f t="shared" ca="1" si="656"/>
        <v>0.89149196988059309</v>
      </c>
      <c r="X979" s="107">
        <f t="shared" ca="1" si="656"/>
        <v>0.88876171246385582</v>
      </c>
      <c r="Y979" s="107">
        <f t="shared" ca="1" si="656"/>
        <v>0.90227221614592124</v>
      </c>
      <c r="Z979" s="107">
        <f t="shared" ca="1" si="656"/>
        <v>0.90799999999999992</v>
      </c>
      <c r="AA979" s="107">
        <f t="shared" ca="1" si="656"/>
        <v>0.90800000000000003</v>
      </c>
      <c r="AB979" s="107">
        <f t="shared" ca="1" si="656"/>
        <v>0.90800000000000003</v>
      </c>
      <c r="AC979" s="107">
        <f t="shared" ca="1" si="656"/>
        <v>0.90800000000000003</v>
      </c>
    </row>
    <row r="980" spans="1:29">
      <c r="D980" s="55"/>
      <c r="E980" s="105"/>
      <c r="F980" s="105"/>
      <c r="G980" s="105"/>
      <c r="H980" s="106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  <c r="AA980" s="105"/>
      <c r="AB980" s="105"/>
      <c r="AC980" s="105"/>
    </row>
    <row r="981" spans="1:29">
      <c r="A981" s="5" t="str">
        <f>A73</f>
        <v>Operating Expenses</v>
      </c>
      <c r="D981" s="55"/>
      <c r="E981" s="105" t="str">
        <f t="shared" ref="E981:N982" si="657">IF(ISERR(+E73/E$69),"NA",E73/E$69)</f>
        <v>NA</v>
      </c>
      <c r="F981" s="105" t="str">
        <f t="shared" si="657"/>
        <v>NA</v>
      </c>
      <c r="G981" s="105" t="str">
        <f t="shared" si="657"/>
        <v>NA</v>
      </c>
      <c r="H981" s="106" t="str">
        <f t="shared" si="657"/>
        <v>NA</v>
      </c>
      <c r="I981" s="105">
        <f t="shared" ca="1" si="657"/>
        <v>0</v>
      </c>
      <c r="J981" s="105">
        <f t="shared" ca="1" si="657"/>
        <v>0</v>
      </c>
      <c r="K981" s="105">
        <f t="shared" ca="1" si="657"/>
        <v>0</v>
      </c>
      <c r="L981" s="105">
        <f t="shared" ca="1" si="657"/>
        <v>0</v>
      </c>
      <c r="M981" s="105">
        <f t="shared" ca="1" si="657"/>
        <v>0</v>
      </c>
      <c r="N981" s="105">
        <f t="shared" ca="1" si="657"/>
        <v>0</v>
      </c>
      <c r="O981" s="105">
        <f t="shared" ref="O981:AC982" ca="1" si="658">IF(ISERR(+O73/O$69),"NA",O73/O$69)</f>
        <v>0</v>
      </c>
      <c r="P981" s="105">
        <f t="shared" ca="1" si="658"/>
        <v>0</v>
      </c>
      <c r="Q981" s="105">
        <f t="shared" ca="1" si="658"/>
        <v>0</v>
      </c>
      <c r="R981" s="105">
        <f t="shared" ca="1" si="658"/>
        <v>0</v>
      </c>
      <c r="S981" s="105">
        <f t="shared" ca="1" si="658"/>
        <v>0</v>
      </c>
      <c r="T981" s="105">
        <f t="shared" ca="1" si="658"/>
        <v>0</v>
      </c>
      <c r="U981" s="105">
        <f t="shared" ca="1" si="658"/>
        <v>0</v>
      </c>
      <c r="V981" s="105">
        <f t="shared" ca="1" si="658"/>
        <v>0</v>
      </c>
      <c r="W981" s="105">
        <f t="shared" ca="1" si="658"/>
        <v>0</v>
      </c>
      <c r="X981" s="105">
        <f t="shared" ca="1" si="658"/>
        <v>0</v>
      </c>
      <c r="Y981" s="105">
        <f t="shared" ca="1" si="658"/>
        <v>0</v>
      </c>
      <c r="Z981" s="105">
        <f t="shared" ca="1" si="658"/>
        <v>0</v>
      </c>
      <c r="AA981" s="105">
        <f t="shared" ca="1" si="658"/>
        <v>0</v>
      </c>
      <c r="AB981" s="105">
        <f t="shared" ca="1" si="658"/>
        <v>0</v>
      </c>
      <c r="AC981" s="105">
        <f t="shared" ca="1" si="658"/>
        <v>0</v>
      </c>
    </row>
    <row r="982" spans="1:29">
      <c r="A982" s="77" t="str">
        <f>A74</f>
        <v>EBDIT</v>
      </c>
      <c r="D982" s="55"/>
      <c r="E982" s="107" t="str">
        <f t="shared" si="657"/>
        <v>NA</v>
      </c>
      <c r="F982" s="107" t="str">
        <f t="shared" si="657"/>
        <v>NA</v>
      </c>
      <c r="G982" s="107" t="str">
        <f t="shared" si="657"/>
        <v>NA</v>
      </c>
      <c r="H982" s="108" t="str">
        <f t="shared" si="657"/>
        <v>NA</v>
      </c>
      <c r="I982" s="107">
        <f t="shared" ca="1" si="657"/>
        <v>0.92736312152870271</v>
      </c>
      <c r="J982" s="107">
        <f t="shared" ca="1" si="657"/>
        <v>0.90157958768829904</v>
      </c>
      <c r="K982" s="107">
        <f t="shared" ca="1" si="657"/>
        <v>0.8999525138606751</v>
      </c>
      <c r="L982" s="107">
        <f t="shared" ca="1" si="657"/>
        <v>0.89925346138726503</v>
      </c>
      <c r="M982" s="107">
        <f t="shared" ca="1" si="657"/>
        <v>0.89858117323935083</v>
      </c>
      <c r="N982" s="107">
        <f t="shared" ca="1" si="657"/>
        <v>0.89756490046880144</v>
      </c>
      <c r="O982" s="107">
        <f t="shared" ca="1" si="658"/>
        <v>0.89602048222548847</v>
      </c>
      <c r="P982" s="107">
        <f t="shared" ca="1" si="658"/>
        <v>0.8940394771556438</v>
      </c>
      <c r="Q982" s="107">
        <f t="shared" ca="1" si="658"/>
        <v>0.88756324825299415</v>
      </c>
      <c r="R982" s="107">
        <f t="shared" ca="1" si="658"/>
        <v>0.88344638851608903</v>
      </c>
      <c r="S982" s="107">
        <f t="shared" ca="1" si="658"/>
        <v>0.88873143637844565</v>
      </c>
      <c r="T982" s="107">
        <f t="shared" ca="1" si="658"/>
        <v>0.88591704095429924</v>
      </c>
      <c r="U982" s="107">
        <f t="shared" ca="1" si="658"/>
        <v>0.88284303171388923</v>
      </c>
      <c r="V982" s="107">
        <f t="shared" ca="1" si="658"/>
        <v>0.87889074663128841</v>
      </c>
      <c r="W982" s="107">
        <f t="shared" ca="1" si="658"/>
        <v>0.89149196988059309</v>
      </c>
      <c r="X982" s="107">
        <f t="shared" ca="1" si="658"/>
        <v>0.88876171246385582</v>
      </c>
      <c r="Y982" s="107">
        <f t="shared" ca="1" si="658"/>
        <v>0.90227221614592124</v>
      </c>
      <c r="Z982" s="107">
        <f t="shared" ca="1" si="658"/>
        <v>0.90799999999999992</v>
      </c>
      <c r="AA982" s="107">
        <f t="shared" ca="1" si="658"/>
        <v>0.90800000000000003</v>
      </c>
      <c r="AB982" s="107">
        <f t="shared" ca="1" si="658"/>
        <v>0.90800000000000003</v>
      </c>
      <c r="AC982" s="107">
        <f t="shared" ca="1" si="658"/>
        <v>0.90800000000000003</v>
      </c>
    </row>
    <row r="983" spans="1:29">
      <c r="E983" s="105"/>
      <c r="F983" s="105"/>
      <c r="G983" s="105"/>
      <c r="H983" s="106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  <c r="AA983" s="105"/>
      <c r="AB983" s="105"/>
      <c r="AC983" s="105"/>
    </row>
    <row r="984" spans="1:29">
      <c r="A984" s="5" t="str">
        <f>A76</f>
        <v>Depreciation and Depletion</v>
      </c>
      <c r="D984" s="55"/>
      <c r="E984" s="105" t="str">
        <f t="shared" ref="E984:N987" si="659">IF(ISERR(+E76/E$69),"NA",E76/E$69)</f>
        <v>NA</v>
      </c>
      <c r="F984" s="105" t="str">
        <f t="shared" si="659"/>
        <v>NA</v>
      </c>
      <c r="G984" s="105" t="str">
        <f t="shared" si="659"/>
        <v>NA</v>
      </c>
      <c r="H984" s="106" t="str">
        <f t="shared" si="659"/>
        <v>NA</v>
      </c>
      <c r="I984" s="105">
        <f t="shared" si="659"/>
        <v>0</v>
      </c>
      <c r="J984" s="105">
        <f t="shared" ca="1" si="659"/>
        <v>0</v>
      </c>
      <c r="K984" s="105">
        <f t="shared" ca="1" si="659"/>
        <v>0</v>
      </c>
      <c r="L984" s="105">
        <f t="shared" ca="1" si="659"/>
        <v>0</v>
      </c>
      <c r="M984" s="105">
        <f t="shared" ca="1" si="659"/>
        <v>0</v>
      </c>
      <c r="N984" s="105">
        <f t="shared" ca="1" si="659"/>
        <v>0</v>
      </c>
      <c r="O984" s="105">
        <f t="shared" ref="O984:AC987" ca="1" si="660">IF(ISERR(+O76/O$69),"NA",O76/O$69)</f>
        <v>1.2033389903130262E-3</v>
      </c>
      <c r="P984" s="105">
        <f t="shared" ca="1" si="660"/>
        <v>1.51612831151452E-3</v>
      </c>
      <c r="Q984" s="105">
        <f t="shared" ca="1" si="660"/>
        <v>2.5991837329174998E-3</v>
      </c>
      <c r="R984" s="105">
        <f t="shared" ca="1" si="660"/>
        <v>2.5525704119940362E-3</v>
      </c>
      <c r="S984" s="105">
        <f t="shared" ca="1" si="660"/>
        <v>2.4811110192661627E-3</v>
      </c>
      <c r="T984" s="105">
        <f t="shared" ca="1" si="660"/>
        <v>2.3888834060086894E-3</v>
      </c>
      <c r="U984" s="105">
        <f t="shared" ca="1" si="660"/>
        <v>2.2812915503612379E-3</v>
      </c>
      <c r="V984" s="105">
        <f t="shared" ca="1" si="660"/>
        <v>2.1673733149927469E-3</v>
      </c>
      <c r="W984" s="105">
        <f t="shared" ca="1" si="660"/>
        <v>2.0552479405855379E-3</v>
      </c>
      <c r="X984" s="105">
        <f t="shared" ca="1" si="660"/>
        <v>1.9430140464655877E-3</v>
      </c>
      <c r="Y984" s="105">
        <f t="shared" ca="1" si="660"/>
        <v>1.8345871400214028E-3</v>
      </c>
      <c r="Z984" s="105">
        <f t="shared" ca="1" si="660"/>
        <v>1.733393042254735E-3</v>
      </c>
      <c r="AA984" s="105">
        <f t="shared" ca="1" si="660"/>
        <v>1.6365622465537664E-3</v>
      </c>
      <c r="AB984" s="105">
        <f t="shared" ca="1" si="660"/>
        <v>1.5454951350636294E-3</v>
      </c>
      <c r="AC984" s="105">
        <f t="shared" ca="1" si="660"/>
        <v>1.4607691208854208E-3</v>
      </c>
    </row>
    <row r="985" spans="1:29">
      <c r="A985" s="5" t="str">
        <f>A77</f>
        <v>Amortization   -  Transaction Fees</v>
      </c>
      <c r="D985" s="55"/>
      <c r="E985" s="105" t="str">
        <f t="shared" si="659"/>
        <v>NA</v>
      </c>
      <c r="F985" s="105" t="str">
        <f t="shared" si="659"/>
        <v>NA</v>
      </c>
      <c r="G985" s="105" t="str">
        <f t="shared" si="659"/>
        <v>NA</v>
      </c>
      <c r="H985" s="106" t="str">
        <f t="shared" si="659"/>
        <v>NA</v>
      </c>
      <c r="I985" s="105">
        <f t="shared" ca="1" si="659"/>
        <v>0</v>
      </c>
      <c r="J985" s="105">
        <f t="shared" ca="1" si="659"/>
        <v>0</v>
      </c>
      <c r="K985" s="105">
        <f t="shared" ca="1" si="659"/>
        <v>0</v>
      </c>
      <c r="L985" s="105">
        <f t="shared" ca="1" si="659"/>
        <v>0</v>
      </c>
      <c r="M985" s="105">
        <f t="shared" ca="1" si="659"/>
        <v>0</v>
      </c>
      <c r="N985" s="105">
        <f t="shared" ca="1" si="659"/>
        <v>0</v>
      </c>
      <c r="O985" s="105">
        <f t="shared" ca="1" si="660"/>
        <v>0</v>
      </c>
      <c r="P985" s="105">
        <f t="shared" ca="1" si="660"/>
        <v>0</v>
      </c>
      <c r="Q985" s="105">
        <f t="shared" ca="1" si="660"/>
        <v>0</v>
      </c>
      <c r="R985" s="105">
        <f t="shared" ca="1" si="660"/>
        <v>0</v>
      </c>
      <c r="S985" s="105">
        <f t="shared" ca="1" si="660"/>
        <v>0</v>
      </c>
      <c r="T985" s="105">
        <f t="shared" ca="1" si="660"/>
        <v>0</v>
      </c>
      <c r="U985" s="105">
        <f t="shared" ca="1" si="660"/>
        <v>0</v>
      </c>
      <c r="V985" s="105">
        <f t="shared" ca="1" si="660"/>
        <v>0</v>
      </c>
      <c r="W985" s="105">
        <f t="shared" ca="1" si="660"/>
        <v>0</v>
      </c>
      <c r="X985" s="105">
        <f t="shared" ca="1" si="660"/>
        <v>0</v>
      </c>
      <c r="Y985" s="105">
        <f t="shared" ca="1" si="660"/>
        <v>0</v>
      </c>
      <c r="Z985" s="105">
        <f t="shared" ca="1" si="660"/>
        <v>0</v>
      </c>
      <c r="AA985" s="105">
        <f t="shared" ca="1" si="660"/>
        <v>0</v>
      </c>
      <c r="AB985" s="105">
        <f t="shared" ca="1" si="660"/>
        <v>0</v>
      </c>
      <c r="AC985" s="105">
        <f t="shared" ca="1" si="660"/>
        <v>0</v>
      </c>
    </row>
    <row r="986" spans="1:29">
      <c r="A986" s="5" t="str">
        <f>A78</f>
        <v>Amortization - Goodwill</v>
      </c>
      <c r="D986" s="55"/>
      <c r="E986" s="105" t="str">
        <f t="shared" si="659"/>
        <v>NA</v>
      </c>
      <c r="F986" s="105" t="str">
        <f t="shared" si="659"/>
        <v>NA</v>
      </c>
      <c r="G986" s="105" t="str">
        <f t="shared" si="659"/>
        <v>NA</v>
      </c>
      <c r="H986" s="106" t="str">
        <f t="shared" si="659"/>
        <v>NA</v>
      </c>
      <c r="I986" s="105">
        <f t="shared" ca="1" si="659"/>
        <v>0</v>
      </c>
      <c r="J986" s="105">
        <f t="shared" ca="1" si="659"/>
        <v>0</v>
      </c>
      <c r="K986" s="105">
        <f t="shared" ca="1" si="659"/>
        <v>0</v>
      </c>
      <c r="L986" s="105">
        <f t="shared" ca="1" si="659"/>
        <v>0</v>
      </c>
      <c r="M986" s="105">
        <f t="shared" ca="1" si="659"/>
        <v>0</v>
      </c>
      <c r="N986" s="105">
        <f t="shared" ca="1" si="659"/>
        <v>0</v>
      </c>
      <c r="O986" s="105">
        <f t="shared" ca="1" si="660"/>
        <v>0</v>
      </c>
      <c r="P986" s="105">
        <f t="shared" ca="1" si="660"/>
        <v>0</v>
      </c>
      <c r="Q986" s="105">
        <f t="shared" ca="1" si="660"/>
        <v>0</v>
      </c>
      <c r="R986" s="105">
        <f t="shared" ca="1" si="660"/>
        <v>0</v>
      </c>
      <c r="S986" s="105">
        <f t="shared" ca="1" si="660"/>
        <v>0</v>
      </c>
      <c r="T986" s="105">
        <f t="shared" ca="1" si="660"/>
        <v>0</v>
      </c>
      <c r="U986" s="105">
        <f t="shared" ca="1" si="660"/>
        <v>0</v>
      </c>
      <c r="V986" s="105">
        <f t="shared" ca="1" si="660"/>
        <v>0</v>
      </c>
      <c r="W986" s="105">
        <f t="shared" ca="1" si="660"/>
        <v>0</v>
      </c>
      <c r="X986" s="105">
        <f t="shared" ca="1" si="660"/>
        <v>0</v>
      </c>
      <c r="Y986" s="105">
        <f t="shared" ca="1" si="660"/>
        <v>0</v>
      </c>
      <c r="Z986" s="105">
        <f t="shared" ca="1" si="660"/>
        <v>0</v>
      </c>
      <c r="AA986" s="105">
        <f t="shared" ca="1" si="660"/>
        <v>0</v>
      </c>
      <c r="AB986" s="105">
        <f t="shared" ca="1" si="660"/>
        <v>0</v>
      </c>
      <c r="AC986" s="105">
        <f t="shared" ca="1" si="660"/>
        <v>0</v>
      </c>
    </row>
    <row r="987" spans="1:29">
      <c r="A987" s="5" t="str">
        <f>A79</f>
        <v>Amortization   -  Intangibles (from operating sheet)</v>
      </c>
      <c r="D987" s="55"/>
      <c r="E987" s="105" t="str">
        <f t="shared" si="659"/>
        <v>NA</v>
      </c>
      <c r="F987" s="105" t="str">
        <f t="shared" si="659"/>
        <v>NA</v>
      </c>
      <c r="G987" s="105" t="str">
        <f t="shared" si="659"/>
        <v>NA</v>
      </c>
      <c r="H987" s="106" t="str">
        <f t="shared" si="659"/>
        <v>NA</v>
      </c>
      <c r="I987" s="105">
        <f t="shared" si="659"/>
        <v>0</v>
      </c>
      <c r="J987" s="105">
        <f t="shared" ca="1" si="659"/>
        <v>0</v>
      </c>
      <c r="K987" s="105">
        <f t="shared" ca="1" si="659"/>
        <v>0</v>
      </c>
      <c r="L987" s="105">
        <f t="shared" ca="1" si="659"/>
        <v>0</v>
      </c>
      <c r="M987" s="105">
        <f t="shared" ca="1" si="659"/>
        <v>0</v>
      </c>
      <c r="N987" s="105">
        <f t="shared" ca="1" si="659"/>
        <v>0</v>
      </c>
      <c r="O987" s="105">
        <f t="shared" ca="1" si="660"/>
        <v>0</v>
      </c>
      <c r="P987" s="105">
        <f t="shared" ca="1" si="660"/>
        <v>0</v>
      </c>
      <c r="Q987" s="105">
        <f t="shared" ca="1" si="660"/>
        <v>0</v>
      </c>
      <c r="R987" s="105">
        <f t="shared" ca="1" si="660"/>
        <v>0</v>
      </c>
      <c r="S987" s="105">
        <f t="shared" ca="1" si="660"/>
        <v>0</v>
      </c>
      <c r="T987" s="105">
        <f t="shared" ca="1" si="660"/>
        <v>0</v>
      </c>
      <c r="U987" s="105">
        <f t="shared" ca="1" si="660"/>
        <v>0</v>
      </c>
      <c r="V987" s="105">
        <f t="shared" ca="1" si="660"/>
        <v>0</v>
      </c>
      <c r="W987" s="105">
        <f t="shared" ca="1" si="660"/>
        <v>0</v>
      </c>
      <c r="X987" s="105">
        <f t="shared" ca="1" si="660"/>
        <v>0</v>
      </c>
      <c r="Y987" s="105">
        <f t="shared" ca="1" si="660"/>
        <v>0</v>
      </c>
      <c r="Z987" s="105">
        <f t="shared" ca="1" si="660"/>
        <v>0</v>
      </c>
      <c r="AA987" s="105">
        <f t="shared" ca="1" si="660"/>
        <v>0</v>
      </c>
      <c r="AB987" s="105">
        <f t="shared" ca="1" si="660"/>
        <v>0</v>
      </c>
      <c r="AC987" s="105">
        <f t="shared" ca="1" si="660"/>
        <v>0</v>
      </c>
    </row>
    <row r="988" spans="1:29">
      <c r="A988" s="5" t="str">
        <f>A80</f>
        <v>Amortization   -  ESOP Contributions/Dividends</v>
      </c>
      <c r="E988" s="105"/>
      <c r="F988" s="105"/>
      <c r="G988" s="105"/>
      <c r="H988" s="106"/>
      <c r="I988" s="105">
        <f t="shared" ref="I988:R989" si="661">IF(ISERR(+I80/I$69),"NA",I80/I$69)</f>
        <v>0</v>
      </c>
      <c r="J988" s="105">
        <f t="shared" ca="1" si="661"/>
        <v>0</v>
      </c>
      <c r="K988" s="105">
        <f t="shared" ca="1" si="661"/>
        <v>0</v>
      </c>
      <c r="L988" s="105">
        <f t="shared" ca="1" si="661"/>
        <v>0</v>
      </c>
      <c r="M988" s="105">
        <f t="shared" ca="1" si="661"/>
        <v>0</v>
      </c>
      <c r="N988" s="105">
        <f t="shared" ca="1" si="661"/>
        <v>0</v>
      </c>
      <c r="O988" s="105">
        <f t="shared" ca="1" si="661"/>
        <v>0</v>
      </c>
      <c r="P988" s="105">
        <f t="shared" ca="1" si="661"/>
        <v>0</v>
      </c>
      <c r="Q988" s="105">
        <f t="shared" ca="1" si="661"/>
        <v>0</v>
      </c>
      <c r="R988" s="105">
        <f t="shared" ca="1" si="661"/>
        <v>0</v>
      </c>
      <c r="S988" s="105">
        <f t="shared" ref="S988:AC989" ca="1" si="662">IF(ISERR(+S80/S$69),"NA",S80/S$69)</f>
        <v>0</v>
      </c>
      <c r="T988" s="105">
        <f t="shared" ca="1" si="662"/>
        <v>0</v>
      </c>
      <c r="U988" s="105">
        <f t="shared" ca="1" si="662"/>
        <v>0</v>
      </c>
      <c r="V988" s="105">
        <f t="shared" ca="1" si="662"/>
        <v>0</v>
      </c>
      <c r="W988" s="105">
        <f t="shared" ca="1" si="662"/>
        <v>0</v>
      </c>
      <c r="X988" s="105">
        <f t="shared" ca="1" si="662"/>
        <v>0</v>
      </c>
      <c r="Y988" s="105">
        <f t="shared" ca="1" si="662"/>
        <v>0</v>
      </c>
      <c r="Z988" s="105">
        <f t="shared" ca="1" si="662"/>
        <v>0</v>
      </c>
      <c r="AA988" s="105">
        <f t="shared" ca="1" si="662"/>
        <v>0</v>
      </c>
      <c r="AB988" s="105">
        <f t="shared" ca="1" si="662"/>
        <v>0</v>
      </c>
      <c r="AC988" s="105">
        <f t="shared" ca="1" si="662"/>
        <v>0</v>
      </c>
    </row>
    <row r="989" spans="1:29">
      <c r="A989" s="83" t="s">
        <v>659</v>
      </c>
      <c r="E989" s="378" t="str">
        <f>IF(ISERR(+E81/E$69),"NA",E81/E$69)</f>
        <v>NA</v>
      </c>
      <c r="F989" s="378" t="str">
        <f>IF(ISERR(+F81/F$69),"NA",F81/F$69)</f>
        <v>NA</v>
      </c>
      <c r="G989" s="378" t="str">
        <f>IF(ISERR(+G81/G$69),"NA",G81/G$69)</f>
        <v>NA</v>
      </c>
      <c r="H989" s="379" t="str">
        <f>IF(ISERR(+H81/H$69),"NA",H81/H$69)</f>
        <v>NA</v>
      </c>
      <c r="I989" s="378">
        <f t="shared" ca="1" si="661"/>
        <v>0</v>
      </c>
      <c r="J989" s="378">
        <f t="shared" ca="1" si="661"/>
        <v>0</v>
      </c>
      <c r="K989" s="378">
        <f t="shared" ca="1" si="661"/>
        <v>0</v>
      </c>
      <c r="L989" s="378">
        <f t="shared" ca="1" si="661"/>
        <v>0</v>
      </c>
      <c r="M989" s="378">
        <f t="shared" ca="1" si="661"/>
        <v>0</v>
      </c>
      <c r="N989" s="378">
        <f t="shared" ca="1" si="661"/>
        <v>0</v>
      </c>
      <c r="O989" s="378">
        <f t="shared" ca="1" si="661"/>
        <v>1.2033389903130262E-3</v>
      </c>
      <c r="P989" s="378">
        <f t="shared" ca="1" si="661"/>
        <v>1.51612831151452E-3</v>
      </c>
      <c r="Q989" s="378">
        <f t="shared" ca="1" si="661"/>
        <v>2.5991837329174998E-3</v>
      </c>
      <c r="R989" s="378">
        <f t="shared" ca="1" si="661"/>
        <v>2.5525704119940362E-3</v>
      </c>
      <c r="S989" s="378">
        <f t="shared" ca="1" si="662"/>
        <v>2.4811110192661627E-3</v>
      </c>
      <c r="T989" s="378">
        <f t="shared" ca="1" si="662"/>
        <v>2.3888834060086894E-3</v>
      </c>
      <c r="U989" s="378">
        <f t="shared" ca="1" si="662"/>
        <v>2.2812915503612379E-3</v>
      </c>
      <c r="V989" s="378">
        <f t="shared" ca="1" si="662"/>
        <v>2.1673733149927469E-3</v>
      </c>
      <c r="W989" s="378">
        <f t="shared" ca="1" si="662"/>
        <v>2.0552479405855379E-3</v>
      </c>
      <c r="X989" s="378">
        <f t="shared" ca="1" si="662"/>
        <v>1.9430140464655877E-3</v>
      </c>
      <c r="Y989" s="378">
        <f t="shared" ca="1" si="662"/>
        <v>1.8345871400214028E-3</v>
      </c>
      <c r="Z989" s="378">
        <f t="shared" ca="1" si="662"/>
        <v>1.733393042254735E-3</v>
      </c>
      <c r="AA989" s="378">
        <f t="shared" ca="1" si="662"/>
        <v>1.6365622465537664E-3</v>
      </c>
      <c r="AB989" s="378">
        <f t="shared" ca="1" si="662"/>
        <v>1.5454951350636294E-3</v>
      </c>
      <c r="AC989" s="378">
        <f t="shared" ca="1" si="662"/>
        <v>1.4607691208854208E-3</v>
      </c>
    </row>
    <row r="990" spans="1:29">
      <c r="E990" s="105"/>
      <c r="F990" s="105"/>
      <c r="G990" s="105"/>
      <c r="H990" s="106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  <c r="AA990" s="105"/>
      <c r="AB990" s="105"/>
      <c r="AC990" s="105"/>
    </row>
    <row r="991" spans="1:29">
      <c r="A991" s="77" t="str">
        <f>A83</f>
        <v>EBIT</v>
      </c>
      <c r="D991" s="55"/>
      <c r="E991" s="107" t="str">
        <f t="shared" ref="E991:N991" si="663">IF(ISERR(+E83/E$69),"NA",E83/E$69)</f>
        <v>NA</v>
      </c>
      <c r="F991" s="107" t="str">
        <f t="shared" si="663"/>
        <v>NA</v>
      </c>
      <c r="G991" s="107" t="str">
        <f t="shared" si="663"/>
        <v>NA</v>
      </c>
      <c r="H991" s="108" t="str">
        <f t="shared" si="663"/>
        <v>NA</v>
      </c>
      <c r="I991" s="107">
        <f t="shared" ca="1" si="663"/>
        <v>0.92736312152870271</v>
      </c>
      <c r="J991" s="107">
        <f t="shared" ca="1" si="663"/>
        <v>0.90157958768829904</v>
      </c>
      <c r="K991" s="107">
        <f t="shared" ca="1" si="663"/>
        <v>0.8999525138606751</v>
      </c>
      <c r="L991" s="107">
        <f t="shared" ca="1" si="663"/>
        <v>0.89925346138726503</v>
      </c>
      <c r="M991" s="107">
        <f t="shared" ca="1" si="663"/>
        <v>0.89858117323935083</v>
      </c>
      <c r="N991" s="107">
        <f t="shared" ca="1" si="663"/>
        <v>0.89756490046880144</v>
      </c>
      <c r="O991" s="107">
        <f t="shared" ref="O991:AC991" ca="1" si="664">IF(ISERR(+O83/O$69),"NA",O83/O$69)</f>
        <v>0.89481714323517547</v>
      </c>
      <c r="P991" s="107">
        <f t="shared" ca="1" si="664"/>
        <v>0.89252334884412921</v>
      </c>
      <c r="Q991" s="107">
        <f t="shared" ca="1" si="664"/>
        <v>0.88496406452007659</v>
      </c>
      <c r="R991" s="107">
        <f t="shared" ca="1" si="664"/>
        <v>0.88089381810409506</v>
      </c>
      <c r="S991" s="107">
        <f t="shared" ca="1" si="664"/>
        <v>0.88625032535917947</v>
      </c>
      <c r="T991" s="107">
        <f t="shared" ca="1" si="664"/>
        <v>0.88352815754829062</v>
      </c>
      <c r="U991" s="107">
        <f t="shared" ca="1" si="664"/>
        <v>0.88056174016352795</v>
      </c>
      <c r="V991" s="107">
        <f t="shared" ca="1" si="664"/>
        <v>0.87672337331629568</v>
      </c>
      <c r="W991" s="107">
        <f t="shared" ca="1" si="664"/>
        <v>0.88943672194000756</v>
      </c>
      <c r="X991" s="107">
        <f t="shared" ca="1" si="664"/>
        <v>0.88681869841739025</v>
      </c>
      <c r="Y991" s="107">
        <f t="shared" ca="1" si="664"/>
        <v>0.90043762900589996</v>
      </c>
      <c r="Z991" s="107">
        <f t="shared" ca="1" si="664"/>
        <v>0.90626660695774519</v>
      </c>
      <c r="AA991" s="107">
        <f t="shared" ca="1" si="664"/>
        <v>0.90636343775344619</v>
      </c>
      <c r="AB991" s="107">
        <f t="shared" ca="1" si="664"/>
        <v>0.90645450486493639</v>
      </c>
      <c r="AC991" s="107">
        <f t="shared" ca="1" si="664"/>
        <v>0.9065392308791147</v>
      </c>
    </row>
    <row r="992" spans="1:29">
      <c r="D992" s="55"/>
      <c r="E992" s="105"/>
      <c r="F992" s="105"/>
      <c r="G992" s="105"/>
      <c r="H992" s="106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  <c r="AA992" s="105"/>
      <c r="AB992" s="105"/>
      <c r="AC992" s="105"/>
    </row>
    <row r="993" spans="1:29">
      <c r="A993" s="77" t="str">
        <f>A85</f>
        <v>Other Income:</v>
      </c>
      <c r="D993" s="55"/>
      <c r="E993" s="105"/>
      <c r="F993" s="105"/>
      <c r="G993" s="105"/>
      <c r="H993" s="106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  <c r="AA993" s="105"/>
      <c r="AB993" s="105"/>
      <c r="AC993" s="105"/>
    </row>
    <row r="994" spans="1:29">
      <c r="A994" s="5" t="str">
        <f>A86</f>
        <v>Interest Income</v>
      </c>
      <c r="D994" s="55"/>
      <c r="E994" s="105" t="str">
        <f t="shared" ref="E994:N995" si="665">IF(ISERR(+E86/E$69),"NA",E86/E$69)</f>
        <v>NA</v>
      </c>
      <c r="F994" s="105" t="str">
        <f t="shared" si="665"/>
        <v>NA</v>
      </c>
      <c r="G994" s="105" t="str">
        <f t="shared" si="665"/>
        <v>NA</v>
      </c>
      <c r="H994" s="106" t="str">
        <f t="shared" si="665"/>
        <v>NA</v>
      </c>
      <c r="I994" s="105">
        <f t="shared" ca="1" si="665"/>
        <v>0</v>
      </c>
      <c r="J994" s="105">
        <f t="shared" ca="1" si="665"/>
        <v>2.1125305392913407E-2</v>
      </c>
      <c r="K994" s="105">
        <f t="shared" ca="1" si="665"/>
        <v>7.3500812846530636E-2</v>
      </c>
      <c r="L994" s="105">
        <f t="shared" ca="1" si="665"/>
        <v>0.12246589929123504</v>
      </c>
      <c r="M994" s="105">
        <f t="shared" ca="1" si="665"/>
        <v>0.17502762078874157</v>
      </c>
      <c r="N994" s="105">
        <f t="shared" ca="1" si="665"/>
        <v>0.24004720276223274</v>
      </c>
      <c r="O994" s="105">
        <f t="shared" ref="O994:AC995" ca="1" si="666">IF(ISERR(+O86/O$69),"NA",O86/O$69)</f>
        <v>0.32522062794432532</v>
      </c>
      <c r="P994" s="105">
        <f t="shared" ca="1" si="666"/>
        <v>0.43278199252699323</v>
      </c>
      <c r="Q994" s="105">
        <f t="shared" ca="1" si="666"/>
        <v>0.55267363392440605</v>
      </c>
      <c r="R994" s="105">
        <f t="shared" ca="1" si="666"/>
        <v>0.69990446363419079</v>
      </c>
      <c r="S994" s="105">
        <f t="shared" ca="1" si="666"/>
        <v>0.86788401910824398</v>
      </c>
      <c r="T994" s="105">
        <f t="shared" ca="1" si="666"/>
        <v>1.0600185022363988</v>
      </c>
      <c r="U994" s="105">
        <f t="shared" ca="1" si="666"/>
        <v>1.2798809412598946</v>
      </c>
      <c r="V994" s="105">
        <f t="shared" ca="1" si="666"/>
        <v>1.5625728529628209</v>
      </c>
      <c r="W994" s="105">
        <f t="shared" ca="1" si="666"/>
        <v>1.8994863206413837</v>
      </c>
      <c r="X994" s="105">
        <f t="shared" ca="1" si="666"/>
        <v>2.3202955527768467</v>
      </c>
      <c r="Y994" s="105">
        <f t="shared" ca="1" si="666"/>
        <v>2.9062151301531438</v>
      </c>
      <c r="Z994" s="105">
        <f t="shared" ca="1" si="666"/>
        <v>3.8981065112757873</v>
      </c>
      <c r="AA994" s="105">
        <f t="shared" ca="1" si="666"/>
        <v>5.0084645153378524</v>
      </c>
      <c r="AB994" s="105">
        <f t="shared" ca="1" si="666"/>
        <v>6.3886356421467934</v>
      </c>
      <c r="AC994" s="105">
        <f t="shared" ca="1" si="666"/>
        <v>7.5835151260318776</v>
      </c>
    </row>
    <row r="995" spans="1:29">
      <c r="A995" s="5" t="str">
        <f>A87</f>
        <v>Other Income (excluding interest income)</v>
      </c>
      <c r="E995" s="105" t="str">
        <f t="shared" si="665"/>
        <v>NA</v>
      </c>
      <c r="F995" s="105" t="str">
        <f t="shared" si="665"/>
        <v>NA</v>
      </c>
      <c r="G995" s="105" t="str">
        <f t="shared" si="665"/>
        <v>NA</v>
      </c>
      <c r="H995" s="106" t="str">
        <f t="shared" si="665"/>
        <v>NA</v>
      </c>
      <c r="I995" s="105">
        <f t="shared" si="665"/>
        <v>0</v>
      </c>
      <c r="J995" s="105">
        <f t="shared" ca="1" si="665"/>
        <v>0</v>
      </c>
      <c r="K995" s="105">
        <f t="shared" ca="1" si="665"/>
        <v>0</v>
      </c>
      <c r="L995" s="105">
        <f t="shared" ca="1" si="665"/>
        <v>0</v>
      </c>
      <c r="M995" s="105">
        <f t="shared" ca="1" si="665"/>
        <v>0</v>
      </c>
      <c r="N995" s="105">
        <f t="shared" ca="1" si="665"/>
        <v>0</v>
      </c>
      <c r="O995" s="105">
        <f t="shared" ca="1" si="666"/>
        <v>0</v>
      </c>
      <c r="P995" s="105">
        <f t="shared" ca="1" si="666"/>
        <v>0</v>
      </c>
      <c r="Q995" s="105">
        <f t="shared" ca="1" si="666"/>
        <v>0</v>
      </c>
      <c r="R995" s="105">
        <f t="shared" ca="1" si="666"/>
        <v>0</v>
      </c>
      <c r="S995" s="105">
        <f t="shared" ca="1" si="666"/>
        <v>0</v>
      </c>
      <c r="T995" s="105">
        <f t="shared" ca="1" si="666"/>
        <v>0</v>
      </c>
      <c r="U995" s="105">
        <f t="shared" ca="1" si="666"/>
        <v>0</v>
      </c>
      <c r="V995" s="105">
        <f t="shared" ca="1" si="666"/>
        <v>0</v>
      </c>
      <c r="W995" s="105">
        <f t="shared" ca="1" si="666"/>
        <v>0</v>
      </c>
      <c r="X995" s="105">
        <f t="shared" ca="1" si="666"/>
        <v>0</v>
      </c>
      <c r="Y995" s="105">
        <f t="shared" ca="1" si="666"/>
        <v>0</v>
      </c>
      <c r="Z995" s="105">
        <f t="shared" ca="1" si="666"/>
        <v>0</v>
      </c>
      <c r="AA995" s="105">
        <f t="shared" ca="1" si="666"/>
        <v>0</v>
      </c>
      <c r="AB995" s="105">
        <f t="shared" ca="1" si="666"/>
        <v>0</v>
      </c>
      <c r="AC995" s="105">
        <f t="shared" ca="1" si="666"/>
        <v>0</v>
      </c>
    </row>
    <row r="996" spans="1:29">
      <c r="A996" s="5" t="str">
        <f>A88</f>
        <v>Financing Fees</v>
      </c>
      <c r="E996" s="105"/>
      <c r="F996" s="105"/>
      <c r="G996" s="105"/>
      <c r="H996" s="106"/>
      <c r="I996" s="105">
        <f t="shared" ref="I996:R997" ca="1" si="667">IF(ISERR(+I88/I$69),"NA",I88/I$69)</f>
        <v>0</v>
      </c>
      <c r="J996" s="105">
        <f t="shared" ca="1" si="667"/>
        <v>0</v>
      </c>
      <c r="K996" s="105">
        <f t="shared" ca="1" si="667"/>
        <v>0</v>
      </c>
      <c r="L996" s="105">
        <f t="shared" ca="1" si="667"/>
        <v>0</v>
      </c>
      <c r="M996" s="105">
        <f t="shared" ca="1" si="667"/>
        <v>0</v>
      </c>
      <c r="N996" s="105">
        <f t="shared" ca="1" si="667"/>
        <v>0</v>
      </c>
      <c r="O996" s="105">
        <f t="shared" ca="1" si="667"/>
        <v>0</v>
      </c>
      <c r="P996" s="105">
        <f t="shared" ca="1" si="667"/>
        <v>0</v>
      </c>
      <c r="Q996" s="105">
        <f t="shared" ca="1" si="667"/>
        <v>0</v>
      </c>
      <c r="R996" s="105">
        <f t="shared" ca="1" si="667"/>
        <v>0</v>
      </c>
      <c r="S996" s="105">
        <f t="shared" ref="S996:AC997" ca="1" si="668">IF(ISERR(+S88/S$69),"NA",S88/S$69)</f>
        <v>0</v>
      </c>
      <c r="T996" s="105">
        <f t="shared" ca="1" si="668"/>
        <v>0</v>
      </c>
      <c r="U996" s="105">
        <f t="shared" ca="1" si="668"/>
        <v>0</v>
      </c>
      <c r="V996" s="105">
        <f t="shared" ca="1" si="668"/>
        <v>0</v>
      </c>
      <c r="W996" s="105">
        <f t="shared" ca="1" si="668"/>
        <v>0</v>
      </c>
      <c r="X996" s="105">
        <f t="shared" ca="1" si="668"/>
        <v>0</v>
      </c>
      <c r="Y996" s="105">
        <f t="shared" ca="1" si="668"/>
        <v>0</v>
      </c>
      <c r="Z996" s="105">
        <f t="shared" ca="1" si="668"/>
        <v>0</v>
      </c>
      <c r="AA996" s="105">
        <f t="shared" ca="1" si="668"/>
        <v>0</v>
      </c>
      <c r="AB996" s="105">
        <f t="shared" ca="1" si="668"/>
        <v>0</v>
      </c>
      <c r="AC996" s="105">
        <f t="shared" ca="1" si="668"/>
        <v>0</v>
      </c>
    </row>
    <row r="997" spans="1:29">
      <c r="A997" s="77" t="str">
        <f>A89</f>
        <v>Total Other Income</v>
      </c>
      <c r="E997" s="107" t="str">
        <f>IF(ISERR(+E89/E$69),"NA",E89/E$69)</f>
        <v>NA</v>
      </c>
      <c r="F997" s="107" t="str">
        <f>IF(ISERR(+F89/F$69),"NA",F89/F$69)</f>
        <v>NA</v>
      </c>
      <c r="G997" s="107" t="str">
        <f>IF(ISERR(+G89/G$69),"NA",G89/G$69)</f>
        <v>NA</v>
      </c>
      <c r="H997" s="108" t="str">
        <f>IF(ISERR(+H89/H$69),"NA",H89/H$69)</f>
        <v>NA</v>
      </c>
      <c r="I997" s="107">
        <f t="shared" ca="1" si="667"/>
        <v>0</v>
      </c>
      <c r="J997" s="107">
        <f t="shared" ca="1" si="667"/>
        <v>2.1125305392913407E-2</v>
      </c>
      <c r="K997" s="107">
        <f t="shared" ca="1" si="667"/>
        <v>7.3500812846530636E-2</v>
      </c>
      <c r="L997" s="107">
        <f t="shared" ca="1" si="667"/>
        <v>0.12246589929123504</v>
      </c>
      <c r="M997" s="107">
        <f t="shared" ca="1" si="667"/>
        <v>0.17502762078874157</v>
      </c>
      <c r="N997" s="107">
        <f t="shared" ca="1" si="667"/>
        <v>0.24004720276223274</v>
      </c>
      <c r="O997" s="107">
        <f t="shared" ca="1" si="667"/>
        <v>0.32522062794432532</v>
      </c>
      <c r="P997" s="107">
        <f t="shared" ca="1" si="667"/>
        <v>0.43278199252699323</v>
      </c>
      <c r="Q997" s="107">
        <f t="shared" ca="1" si="667"/>
        <v>0.55267363392440605</v>
      </c>
      <c r="R997" s="107">
        <f t="shared" ca="1" si="667"/>
        <v>0.69990446363419079</v>
      </c>
      <c r="S997" s="107">
        <f t="shared" ca="1" si="668"/>
        <v>0.86788401910824398</v>
      </c>
      <c r="T997" s="107">
        <f t="shared" ca="1" si="668"/>
        <v>1.0600185022363988</v>
      </c>
      <c r="U997" s="107">
        <f t="shared" ca="1" si="668"/>
        <v>1.2798809412598946</v>
      </c>
      <c r="V997" s="107">
        <f t="shared" ca="1" si="668"/>
        <v>1.5625728529628209</v>
      </c>
      <c r="W997" s="107">
        <f t="shared" ca="1" si="668"/>
        <v>1.8994863206413837</v>
      </c>
      <c r="X997" s="107">
        <f t="shared" ca="1" si="668"/>
        <v>2.3202955527768467</v>
      </c>
      <c r="Y997" s="107">
        <f t="shared" ca="1" si="668"/>
        <v>2.9062151301531438</v>
      </c>
      <c r="Z997" s="107">
        <f t="shared" ca="1" si="668"/>
        <v>3.8981065112757873</v>
      </c>
      <c r="AA997" s="107">
        <f t="shared" ca="1" si="668"/>
        <v>5.0084645153378524</v>
      </c>
      <c r="AB997" s="107">
        <f t="shared" ca="1" si="668"/>
        <v>6.3886356421467934</v>
      </c>
      <c r="AC997" s="107">
        <f t="shared" ca="1" si="668"/>
        <v>7.5835151260318776</v>
      </c>
    </row>
    <row r="998" spans="1:29">
      <c r="D998" s="55"/>
      <c r="E998" s="105"/>
      <c r="F998" s="105"/>
      <c r="G998" s="105"/>
      <c r="H998" s="106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  <c r="AA998" s="105"/>
      <c r="AB998" s="105"/>
      <c r="AC998" s="105"/>
    </row>
    <row r="999" spans="1:29">
      <c r="A999" s="77" t="str">
        <f t="shared" ref="A999:A1007" si="669">A91</f>
        <v>Interest Expense:</v>
      </c>
      <c r="D999" s="55"/>
      <c r="E999" s="105"/>
      <c r="F999" s="105"/>
      <c r="G999" s="105"/>
      <c r="H999" s="106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  <c r="AA999" s="105"/>
      <c r="AB999" s="105"/>
      <c r="AC999" s="105"/>
    </row>
    <row r="1000" spans="1:29">
      <c r="A1000" s="5" t="str">
        <f t="shared" si="669"/>
        <v>Existing Senior and Sub Debt</v>
      </c>
      <c r="D1000" s="55"/>
      <c r="E1000" s="105" t="str">
        <f t="shared" ref="E1000:N1007" si="670">IF(ISERR(+E92/E$69),"NA",E92/E$69)</f>
        <v>NA</v>
      </c>
      <c r="F1000" s="105" t="str">
        <f t="shared" si="670"/>
        <v>NA</v>
      </c>
      <c r="G1000" s="105" t="str">
        <f t="shared" si="670"/>
        <v>NA</v>
      </c>
      <c r="H1000" s="106" t="str">
        <f t="shared" si="670"/>
        <v>NA</v>
      </c>
      <c r="I1000" s="105">
        <f t="shared" ca="1" si="670"/>
        <v>0</v>
      </c>
      <c r="J1000" s="105">
        <f t="shared" ca="1" si="670"/>
        <v>0</v>
      </c>
      <c r="K1000" s="105">
        <f t="shared" ca="1" si="670"/>
        <v>0</v>
      </c>
      <c r="L1000" s="105">
        <f t="shared" ca="1" si="670"/>
        <v>0</v>
      </c>
      <c r="M1000" s="105">
        <f t="shared" ca="1" si="670"/>
        <v>0</v>
      </c>
      <c r="N1000" s="105">
        <f t="shared" ca="1" si="670"/>
        <v>0</v>
      </c>
      <c r="O1000" s="105">
        <f t="shared" ref="O1000:AC1007" ca="1" si="671">IF(ISERR(+O92/O$69),"NA",O92/O$69)</f>
        <v>0</v>
      </c>
      <c r="P1000" s="105">
        <f t="shared" ca="1" si="671"/>
        <v>0</v>
      </c>
      <c r="Q1000" s="105">
        <f t="shared" ca="1" si="671"/>
        <v>0</v>
      </c>
      <c r="R1000" s="105">
        <f t="shared" ca="1" si="671"/>
        <v>0</v>
      </c>
      <c r="S1000" s="105">
        <f t="shared" ca="1" si="671"/>
        <v>0</v>
      </c>
      <c r="T1000" s="105">
        <f t="shared" ca="1" si="671"/>
        <v>0</v>
      </c>
      <c r="U1000" s="105">
        <f t="shared" ca="1" si="671"/>
        <v>0</v>
      </c>
      <c r="V1000" s="105">
        <f t="shared" ca="1" si="671"/>
        <v>0</v>
      </c>
      <c r="W1000" s="105">
        <f t="shared" ca="1" si="671"/>
        <v>0</v>
      </c>
      <c r="X1000" s="105">
        <f t="shared" ca="1" si="671"/>
        <v>0</v>
      </c>
      <c r="Y1000" s="105">
        <f t="shared" ca="1" si="671"/>
        <v>0</v>
      </c>
      <c r="Z1000" s="105">
        <f t="shared" ca="1" si="671"/>
        <v>0</v>
      </c>
      <c r="AA1000" s="105">
        <f t="shared" ca="1" si="671"/>
        <v>0</v>
      </c>
      <c r="AB1000" s="105">
        <f t="shared" ca="1" si="671"/>
        <v>0</v>
      </c>
      <c r="AC1000" s="105">
        <f t="shared" ca="1" si="671"/>
        <v>0</v>
      </c>
    </row>
    <row r="1001" spans="1:29">
      <c r="A1001" s="5" t="str">
        <f t="shared" si="669"/>
        <v>Revolving Loan and Term Loan</v>
      </c>
      <c r="D1001" s="55"/>
      <c r="E1001" s="105" t="str">
        <f t="shared" si="670"/>
        <v>NA</v>
      </c>
      <c r="F1001" s="105" t="str">
        <f t="shared" si="670"/>
        <v>NA</v>
      </c>
      <c r="G1001" s="105" t="str">
        <f t="shared" si="670"/>
        <v>NA</v>
      </c>
      <c r="H1001" s="106" t="str">
        <f t="shared" si="670"/>
        <v>NA</v>
      </c>
      <c r="I1001" s="105">
        <f t="shared" ca="1" si="670"/>
        <v>-4.4038581072720628E-2</v>
      </c>
      <c r="J1001" s="105">
        <f t="shared" ca="1" si="670"/>
        <v>3.3456176855602084E-3</v>
      </c>
      <c r="K1001" s="105">
        <f t="shared" ca="1" si="670"/>
        <v>0</v>
      </c>
      <c r="L1001" s="105">
        <f t="shared" ca="1" si="670"/>
        <v>0</v>
      </c>
      <c r="M1001" s="105">
        <f t="shared" ca="1" si="670"/>
        <v>0</v>
      </c>
      <c r="N1001" s="105">
        <f t="shared" ca="1" si="670"/>
        <v>0</v>
      </c>
      <c r="O1001" s="105">
        <f t="shared" ca="1" si="671"/>
        <v>0</v>
      </c>
      <c r="P1001" s="105">
        <f t="shared" ca="1" si="671"/>
        <v>0</v>
      </c>
      <c r="Q1001" s="105">
        <f t="shared" ca="1" si="671"/>
        <v>0</v>
      </c>
      <c r="R1001" s="105">
        <f t="shared" ca="1" si="671"/>
        <v>0</v>
      </c>
      <c r="S1001" s="105">
        <f t="shared" ca="1" si="671"/>
        <v>0</v>
      </c>
      <c r="T1001" s="105">
        <f t="shared" ca="1" si="671"/>
        <v>0</v>
      </c>
      <c r="U1001" s="105">
        <f t="shared" ca="1" si="671"/>
        <v>0</v>
      </c>
      <c r="V1001" s="105">
        <f t="shared" ca="1" si="671"/>
        <v>0</v>
      </c>
      <c r="W1001" s="105">
        <f t="shared" ca="1" si="671"/>
        <v>0</v>
      </c>
      <c r="X1001" s="105">
        <f t="shared" ca="1" si="671"/>
        <v>0</v>
      </c>
      <c r="Y1001" s="105">
        <f t="shared" ca="1" si="671"/>
        <v>0</v>
      </c>
      <c r="Z1001" s="105">
        <f t="shared" ca="1" si="671"/>
        <v>0</v>
      </c>
      <c r="AA1001" s="105">
        <f t="shared" ca="1" si="671"/>
        <v>0</v>
      </c>
      <c r="AB1001" s="105">
        <f t="shared" ca="1" si="671"/>
        <v>0</v>
      </c>
      <c r="AC1001" s="105">
        <f t="shared" ca="1" si="671"/>
        <v>0</v>
      </c>
    </row>
    <row r="1002" spans="1:29">
      <c r="A1002" s="5" t="str">
        <f t="shared" si="669"/>
        <v>ESOP Notes</v>
      </c>
      <c r="E1002" s="105" t="str">
        <f t="shared" si="670"/>
        <v>NA</v>
      </c>
      <c r="F1002" s="105" t="str">
        <f t="shared" si="670"/>
        <v>NA</v>
      </c>
      <c r="G1002" s="105" t="str">
        <f t="shared" si="670"/>
        <v>NA</v>
      </c>
      <c r="H1002" s="106" t="str">
        <f t="shared" si="670"/>
        <v>NA</v>
      </c>
      <c r="I1002" s="105">
        <f t="shared" ca="1" si="670"/>
        <v>0</v>
      </c>
      <c r="J1002" s="105">
        <f t="shared" ca="1" si="670"/>
        <v>0</v>
      </c>
      <c r="K1002" s="105">
        <f t="shared" ca="1" si="670"/>
        <v>0</v>
      </c>
      <c r="L1002" s="105">
        <f t="shared" ca="1" si="670"/>
        <v>0</v>
      </c>
      <c r="M1002" s="105">
        <f t="shared" ca="1" si="670"/>
        <v>0</v>
      </c>
      <c r="N1002" s="105">
        <f t="shared" ca="1" si="670"/>
        <v>0</v>
      </c>
      <c r="O1002" s="105">
        <f t="shared" ca="1" si="671"/>
        <v>0</v>
      </c>
      <c r="P1002" s="105">
        <f t="shared" ca="1" si="671"/>
        <v>0</v>
      </c>
      <c r="Q1002" s="105">
        <f t="shared" ca="1" si="671"/>
        <v>0</v>
      </c>
      <c r="R1002" s="105">
        <f t="shared" ca="1" si="671"/>
        <v>0</v>
      </c>
      <c r="S1002" s="105">
        <f t="shared" ca="1" si="671"/>
        <v>0</v>
      </c>
      <c r="T1002" s="105">
        <f t="shared" ca="1" si="671"/>
        <v>0</v>
      </c>
      <c r="U1002" s="105">
        <f t="shared" ca="1" si="671"/>
        <v>0</v>
      </c>
      <c r="V1002" s="105">
        <f t="shared" ca="1" si="671"/>
        <v>0</v>
      </c>
      <c r="W1002" s="105">
        <f t="shared" ca="1" si="671"/>
        <v>0</v>
      </c>
      <c r="X1002" s="105">
        <f t="shared" ca="1" si="671"/>
        <v>0</v>
      </c>
      <c r="Y1002" s="105">
        <f t="shared" ca="1" si="671"/>
        <v>0</v>
      </c>
      <c r="Z1002" s="105">
        <f t="shared" ca="1" si="671"/>
        <v>0</v>
      </c>
      <c r="AA1002" s="105">
        <f t="shared" ca="1" si="671"/>
        <v>0</v>
      </c>
      <c r="AB1002" s="105">
        <f t="shared" ca="1" si="671"/>
        <v>0</v>
      </c>
      <c r="AC1002" s="105">
        <f t="shared" ca="1" si="671"/>
        <v>0</v>
      </c>
    </row>
    <row r="1003" spans="1:29">
      <c r="A1003" s="5" t="str">
        <f t="shared" si="669"/>
        <v>Placement 1</v>
      </c>
      <c r="E1003" s="105" t="str">
        <f t="shared" si="670"/>
        <v>NA</v>
      </c>
      <c r="F1003" s="105" t="str">
        <f t="shared" si="670"/>
        <v>NA</v>
      </c>
      <c r="G1003" s="105" t="str">
        <f t="shared" si="670"/>
        <v>NA</v>
      </c>
      <c r="H1003" s="106" t="str">
        <f t="shared" si="670"/>
        <v>NA</v>
      </c>
      <c r="I1003" s="105">
        <f t="shared" ca="1" si="670"/>
        <v>0</v>
      </c>
      <c r="J1003" s="105">
        <f t="shared" ca="1" si="670"/>
        <v>0</v>
      </c>
      <c r="K1003" s="105">
        <f t="shared" ca="1" si="670"/>
        <v>0</v>
      </c>
      <c r="L1003" s="105">
        <f t="shared" ca="1" si="670"/>
        <v>0</v>
      </c>
      <c r="M1003" s="105">
        <f t="shared" ca="1" si="670"/>
        <v>0</v>
      </c>
      <c r="N1003" s="105">
        <f t="shared" ca="1" si="670"/>
        <v>0</v>
      </c>
      <c r="O1003" s="105">
        <f t="shared" ca="1" si="671"/>
        <v>0</v>
      </c>
      <c r="P1003" s="105">
        <f t="shared" ca="1" si="671"/>
        <v>0</v>
      </c>
      <c r="Q1003" s="105">
        <f t="shared" ca="1" si="671"/>
        <v>0</v>
      </c>
      <c r="R1003" s="105">
        <f t="shared" ca="1" si="671"/>
        <v>0</v>
      </c>
      <c r="S1003" s="105">
        <f t="shared" ca="1" si="671"/>
        <v>0</v>
      </c>
      <c r="T1003" s="105">
        <f t="shared" ca="1" si="671"/>
        <v>0</v>
      </c>
      <c r="U1003" s="105">
        <f t="shared" ca="1" si="671"/>
        <v>0</v>
      </c>
      <c r="V1003" s="105">
        <f t="shared" ca="1" si="671"/>
        <v>0</v>
      </c>
      <c r="W1003" s="105">
        <f t="shared" ca="1" si="671"/>
        <v>0</v>
      </c>
      <c r="X1003" s="105">
        <f t="shared" ca="1" si="671"/>
        <v>0</v>
      </c>
      <c r="Y1003" s="105">
        <f t="shared" ca="1" si="671"/>
        <v>0</v>
      </c>
      <c r="Z1003" s="105">
        <f t="shared" ca="1" si="671"/>
        <v>0</v>
      </c>
      <c r="AA1003" s="105">
        <f t="shared" ca="1" si="671"/>
        <v>0</v>
      </c>
      <c r="AB1003" s="105">
        <f t="shared" ca="1" si="671"/>
        <v>0</v>
      </c>
      <c r="AC1003" s="105">
        <f t="shared" ca="1" si="671"/>
        <v>0</v>
      </c>
    </row>
    <row r="1004" spans="1:29">
      <c r="A1004" s="5" t="str">
        <f t="shared" si="669"/>
        <v>Placement 2</v>
      </c>
      <c r="E1004" s="105" t="str">
        <f t="shared" si="670"/>
        <v>NA</v>
      </c>
      <c r="F1004" s="105" t="str">
        <f t="shared" si="670"/>
        <v>NA</v>
      </c>
      <c r="G1004" s="105" t="str">
        <f t="shared" si="670"/>
        <v>NA</v>
      </c>
      <c r="H1004" s="106" t="str">
        <f t="shared" si="670"/>
        <v>NA</v>
      </c>
      <c r="I1004" s="105">
        <f t="shared" ca="1" si="670"/>
        <v>0</v>
      </c>
      <c r="J1004" s="105">
        <f t="shared" ca="1" si="670"/>
        <v>0</v>
      </c>
      <c r="K1004" s="105">
        <f t="shared" ca="1" si="670"/>
        <v>0</v>
      </c>
      <c r="L1004" s="105">
        <f t="shared" ca="1" si="670"/>
        <v>0</v>
      </c>
      <c r="M1004" s="105">
        <f t="shared" ca="1" si="670"/>
        <v>0</v>
      </c>
      <c r="N1004" s="105">
        <f t="shared" ca="1" si="670"/>
        <v>0</v>
      </c>
      <c r="O1004" s="105">
        <f t="shared" ca="1" si="671"/>
        <v>0</v>
      </c>
      <c r="P1004" s="105">
        <f t="shared" ca="1" si="671"/>
        <v>0</v>
      </c>
      <c r="Q1004" s="105">
        <f t="shared" ca="1" si="671"/>
        <v>0</v>
      </c>
      <c r="R1004" s="105">
        <f t="shared" ca="1" si="671"/>
        <v>0</v>
      </c>
      <c r="S1004" s="105">
        <f t="shared" ca="1" si="671"/>
        <v>0</v>
      </c>
      <c r="T1004" s="105">
        <f t="shared" ca="1" si="671"/>
        <v>0</v>
      </c>
      <c r="U1004" s="105">
        <f t="shared" ca="1" si="671"/>
        <v>0</v>
      </c>
      <c r="V1004" s="105">
        <f t="shared" ca="1" si="671"/>
        <v>0</v>
      </c>
      <c r="W1004" s="105">
        <f t="shared" ca="1" si="671"/>
        <v>0</v>
      </c>
      <c r="X1004" s="105">
        <f t="shared" ca="1" si="671"/>
        <v>0</v>
      </c>
      <c r="Y1004" s="105">
        <f t="shared" ca="1" si="671"/>
        <v>0</v>
      </c>
      <c r="Z1004" s="105">
        <f t="shared" ca="1" si="671"/>
        <v>0</v>
      </c>
      <c r="AA1004" s="105">
        <f t="shared" ca="1" si="671"/>
        <v>0</v>
      </c>
      <c r="AB1004" s="105">
        <f t="shared" ca="1" si="671"/>
        <v>0</v>
      </c>
      <c r="AC1004" s="105">
        <f t="shared" ca="1" si="671"/>
        <v>0</v>
      </c>
    </row>
    <row r="1005" spans="1:29">
      <c r="A1005" s="5" t="str">
        <f t="shared" si="669"/>
        <v>Sr Sub Notes</v>
      </c>
      <c r="D1005" s="55"/>
      <c r="E1005" s="105" t="str">
        <f t="shared" si="670"/>
        <v>NA</v>
      </c>
      <c r="F1005" s="105" t="str">
        <f t="shared" si="670"/>
        <v>NA</v>
      </c>
      <c r="G1005" s="105" t="str">
        <f t="shared" si="670"/>
        <v>NA</v>
      </c>
      <c r="H1005" s="106" t="str">
        <f t="shared" si="670"/>
        <v>NA</v>
      </c>
      <c r="I1005" s="105">
        <f t="shared" ca="1" si="670"/>
        <v>0</v>
      </c>
      <c r="J1005" s="105">
        <f t="shared" ca="1" si="670"/>
        <v>0</v>
      </c>
      <c r="K1005" s="105">
        <f t="shared" ca="1" si="670"/>
        <v>0</v>
      </c>
      <c r="L1005" s="105">
        <f t="shared" ca="1" si="670"/>
        <v>0</v>
      </c>
      <c r="M1005" s="105">
        <f t="shared" ca="1" si="670"/>
        <v>0</v>
      </c>
      <c r="N1005" s="105">
        <f t="shared" ca="1" si="670"/>
        <v>0</v>
      </c>
      <c r="O1005" s="105">
        <f t="shared" ca="1" si="671"/>
        <v>0</v>
      </c>
      <c r="P1005" s="105">
        <f t="shared" ca="1" si="671"/>
        <v>0</v>
      </c>
      <c r="Q1005" s="105">
        <f t="shared" ca="1" si="671"/>
        <v>0</v>
      </c>
      <c r="R1005" s="105">
        <f t="shared" ca="1" si="671"/>
        <v>0</v>
      </c>
      <c r="S1005" s="105">
        <f t="shared" ca="1" si="671"/>
        <v>0</v>
      </c>
      <c r="T1005" s="105">
        <f t="shared" ca="1" si="671"/>
        <v>0</v>
      </c>
      <c r="U1005" s="105">
        <f t="shared" ca="1" si="671"/>
        <v>0</v>
      </c>
      <c r="V1005" s="105">
        <f t="shared" ca="1" si="671"/>
        <v>0</v>
      </c>
      <c r="W1005" s="105">
        <f t="shared" ca="1" si="671"/>
        <v>0</v>
      </c>
      <c r="X1005" s="105">
        <f t="shared" ca="1" si="671"/>
        <v>0</v>
      </c>
      <c r="Y1005" s="105">
        <f t="shared" ca="1" si="671"/>
        <v>0</v>
      </c>
      <c r="Z1005" s="105">
        <f t="shared" ca="1" si="671"/>
        <v>0</v>
      </c>
      <c r="AA1005" s="105">
        <f t="shared" ca="1" si="671"/>
        <v>0</v>
      </c>
      <c r="AB1005" s="105">
        <f t="shared" ca="1" si="671"/>
        <v>0</v>
      </c>
      <c r="AC1005" s="105">
        <f t="shared" ca="1" si="671"/>
        <v>0</v>
      </c>
    </row>
    <row r="1006" spans="1:29">
      <c r="A1006" s="5" t="str">
        <f t="shared" si="669"/>
        <v>Jr. Sub Notes</v>
      </c>
      <c r="D1006" s="55"/>
      <c r="E1006" s="105" t="str">
        <f t="shared" si="670"/>
        <v>NA</v>
      </c>
      <c r="F1006" s="105" t="str">
        <f t="shared" si="670"/>
        <v>NA</v>
      </c>
      <c r="G1006" s="105" t="str">
        <f t="shared" si="670"/>
        <v>NA</v>
      </c>
      <c r="H1006" s="106" t="str">
        <f t="shared" si="670"/>
        <v>NA</v>
      </c>
      <c r="I1006" s="105">
        <f t="shared" ca="1" si="670"/>
        <v>0</v>
      </c>
      <c r="J1006" s="105">
        <f t="shared" ca="1" si="670"/>
        <v>0</v>
      </c>
      <c r="K1006" s="105">
        <f t="shared" ca="1" si="670"/>
        <v>0</v>
      </c>
      <c r="L1006" s="105">
        <f t="shared" ca="1" si="670"/>
        <v>0</v>
      </c>
      <c r="M1006" s="105">
        <f t="shared" ca="1" si="670"/>
        <v>0</v>
      </c>
      <c r="N1006" s="105">
        <f t="shared" ca="1" si="670"/>
        <v>0</v>
      </c>
      <c r="O1006" s="105">
        <f t="shared" ca="1" si="671"/>
        <v>0</v>
      </c>
      <c r="P1006" s="105">
        <f t="shared" ca="1" si="671"/>
        <v>0</v>
      </c>
      <c r="Q1006" s="105">
        <f t="shared" ca="1" si="671"/>
        <v>0</v>
      </c>
      <c r="R1006" s="105">
        <f t="shared" ca="1" si="671"/>
        <v>0</v>
      </c>
      <c r="S1006" s="105">
        <f t="shared" ca="1" si="671"/>
        <v>0</v>
      </c>
      <c r="T1006" s="105">
        <f t="shared" ca="1" si="671"/>
        <v>0</v>
      </c>
      <c r="U1006" s="105">
        <f t="shared" ca="1" si="671"/>
        <v>0</v>
      </c>
      <c r="V1006" s="105">
        <f t="shared" ca="1" si="671"/>
        <v>0</v>
      </c>
      <c r="W1006" s="105">
        <f t="shared" ca="1" si="671"/>
        <v>0</v>
      </c>
      <c r="X1006" s="105">
        <f t="shared" ca="1" si="671"/>
        <v>0</v>
      </c>
      <c r="Y1006" s="105">
        <f t="shared" ca="1" si="671"/>
        <v>0</v>
      </c>
      <c r="Z1006" s="105">
        <f t="shared" ca="1" si="671"/>
        <v>0</v>
      </c>
      <c r="AA1006" s="105">
        <f t="shared" ca="1" si="671"/>
        <v>0</v>
      </c>
      <c r="AB1006" s="105">
        <f t="shared" ca="1" si="671"/>
        <v>0</v>
      </c>
      <c r="AC1006" s="105">
        <f t="shared" ca="1" si="671"/>
        <v>0</v>
      </c>
    </row>
    <row r="1007" spans="1:29">
      <c r="A1007" s="77" t="str">
        <f t="shared" si="669"/>
        <v>Total Interest Expense</v>
      </c>
      <c r="E1007" s="107" t="str">
        <f t="shared" si="670"/>
        <v>NA</v>
      </c>
      <c r="F1007" s="107" t="str">
        <f t="shared" si="670"/>
        <v>NA</v>
      </c>
      <c r="G1007" s="107" t="str">
        <f t="shared" si="670"/>
        <v>NA</v>
      </c>
      <c r="H1007" s="108" t="str">
        <f t="shared" si="670"/>
        <v>NA</v>
      </c>
      <c r="I1007" s="107">
        <f t="shared" ca="1" si="670"/>
        <v>-4.4038581072720628E-2</v>
      </c>
      <c r="J1007" s="107">
        <f t="shared" ca="1" si="670"/>
        <v>3.3456176855602084E-3</v>
      </c>
      <c r="K1007" s="107">
        <f t="shared" ca="1" si="670"/>
        <v>0</v>
      </c>
      <c r="L1007" s="107">
        <f t="shared" ca="1" si="670"/>
        <v>0</v>
      </c>
      <c r="M1007" s="107">
        <f t="shared" ca="1" si="670"/>
        <v>0</v>
      </c>
      <c r="N1007" s="107">
        <f t="shared" ca="1" si="670"/>
        <v>0</v>
      </c>
      <c r="O1007" s="107">
        <f t="shared" ca="1" si="671"/>
        <v>0</v>
      </c>
      <c r="P1007" s="107">
        <f t="shared" ca="1" si="671"/>
        <v>0</v>
      </c>
      <c r="Q1007" s="107">
        <f t="shared" ca="1" si="671"/>
        <v>0</v>
      </c>
      <c r="R1007" s="107">
        <f t="shared" ca="1" si="671"/>
        <v>0</v>
      </c>
      <c r="S1007" s="107">
        <f t="shared" ca="1" si="671"/>
        <v>0</v>
      </c>
      <c r="T1007" s="107">
        <f t="shared" ca="1" si="671"/>
        <v>0</v>
      </c>
      <c r="U1007" s="107">
        <f t="shared" ca="1" si="671"/>
        <v>0</v>
      </c>
      <c r="V1007" s="107">
        <f t="shared" ca="1" si="671"/>
        <v>0</v>
      </c>
      <c r="W1007" s="107">
        <f t="shared" ca="1" si="671"/>
        <v>0</v>
      </c>
      <c r="X1007" s="107">
        <f t="shared" ca="1" si="671"/>
        <v>0</v>
      </c>
      <c r="Y1007" s="107">
        <f t="shared" ca="1" si="671"/>
        <v>0</v>
      </c>
      <c r="Z1007" s="107">
        <f t="shared" ca="1" si="671"/>
        <v>0</v>
      </c>
      <c r="AA1007" s="107">
        <f t="shared" ca="1" si="671"/>
        <v>0</v>
      </c>
      <c r="AB1007" s="107">
        <f t="shared" ca="1" si="671"/>
        <v>0</v>
      </c>
      <c r="AC1007" s="107">
        <f t="shared" ca="1" si="671"/>
        <v>0</v>
      </c>
    </row>
    <row r="1008" spans="1:29">
      <c r="D1008" s="55"/>
      <c r="E1008" s="105"/>
      <c r="F1008" s="105"/>
      <c r="G1008" s="105"/>
      <c r="H1008" s="106"/>
      <c r="I1008" s="105"/>
      <c r="J1008" s="105"/>
      <c r="K1008" s="105"/>
      <c r="L1008" s="105"/>
      <c r="M1008" s="105"/>
      <c r="N1008" s="105"/>
      <c r="O1008" s="105"/>
      <c r="P1008" s="105"/>
      <c r="Q1008" s="105"/>
      <c r="R1008" s="105"/>
      <c r="S1008" s="105"/>
      <c r="T1008" s="105"/>
      <c r="U1008" s="105"/>
      <c r="V1008" s="105"/>
      <c r="W1008" s="105"/>
      <c r="X1008" s="105"/>
      <c r="Y1008" s="105"/>
      <c r="Z1008" s="105"/>
      <c r="AA1008" s="105"/>
      <c r="AB1008" s="105"/>
      <c r="AC1008" s="105"/>
    </row>
    <row r="1009" spans="1:29">
      <c r="A1009" s="77" t="str">
        <f>A101</f>
        <v>Income b/f Taxes and Gains</v>
      </c>
      <c r="E1009" s="105" t="str">
        <f t="shared" ref="E1009:N1009" si="672">IF(ISERR(+E101/E$69),"NA",E101/E$69)</f>
        <v>NA</v>
      </c>
      <c r="F1009" s="105" t="str">
        <f t="shared" si="672"/>
        <v>NA</v>
      </c>
      <c r="G1009" s="105" t="str">
        <f t="shared" si="672"/>
        <v>NA</v>
      </c>
      <c r="H1009" s="106" t="str">
        <f t="shared" si="672"/>
        <v>NA</v>
      </c>
      <c r="I1009" s="105">
        <f t="shared" ca="1" si="672"/>
        <v>0.97140170260142344</v>
      </c>
      <c r="J1009" s="105">
        <f t="shared" ca="1" si="672"/>
        <v>0.9193592753956521</v>
      </c>
      <c r="K1009" s="105">
        <f t="shared" ca="1" si="672"/>
        <v>0.97345332670720586</v>
      </c>
      <c r="L1009" s="105">
        <f t="shared" ca="1" si="672"/>
        <v>1.0217193606785</v>
      </c>
      <c r="M1009" s="105">
        <f t="shared" ca="1" si="672"/>
        <v>1.0736087940280925</v>
      </c>
      <c r="N1009" s="105">
        <f t="shared" ca="1" si="672"/>
        <v>1.1376121032310342</v>
      </c>
      <c r="O1009" s="105">
        <f t="shared" ref="O1009:AC1009" ca="1" si="673">IF(ISERR(+O101/O$69),"NA",O101/O$69)</f>
        <v>1.2200377711795007</v>
      </c>
      <c r="P1009" s="105">
        <f t="shared" ca="1" si="673"/>
        <v>1.3253053413711224</v>
      </c>
      <c r="Q1009" s="105">
        <f t="shared" ca="1" si="673"/>
        <v>1.4376376984444827</v>
      </c>
      <c r="R1009" s="105">
        <f t="shared" ca="1" si="673"/>
        <v>1.5807982817382857</v>
      </c>
      <c r="S1009" s="105">
        <f t="shared" ca="1" si="673"/>
        <v>1.7541343444674233</v>
      </c>
      <c r="T1009" s="105">
        <f t="shared" ca="1" si="673"/>
        <v>1.9435466597846893</v>
      </c>
      <c r="U1009" s="105">
        <f t="shared" ca="1" si="673"/>
        <v>2.1604426814234223</v>
      </c>
      <c r="V1009" s="105">
        <f t="shared" ca="1" si="673"/>
        <v>2.4392962262791165</v>
      </c>
      <c r="W1009" s="105">
        <f t="shared" ca="1" si="673"/>
        <v>2.7889230425813913</v>
      </c>
      <c r="X1009" s="105">
        <f t="shared" ca="1" si="673"/>
        <v>3.2071142511942368</v>
      </c>
      <c r="Y1009" s="105">
        <f t="shared" ca="1" si="673"/>
        <v>3.8066527591590438</v>
      </c>
      <c r="Z1009" s="105">
        <f t="shared" ca="1" si="673"/>
        <v>4.8043731182335323</v>
      </c>
      <c r="AA1009" s="105">
        <f t="shared" ca="1" si="673"/>
        <v>5.9148279530912982</v>
      </c>
      <c r="AB1009" s="105">
        <f t="shared" ca="1" si="673"/>
        <v>7.29509014701173</v>
      </c>
      <c r="AC1009" s="105">
        <f t="shared" ca="1" si="673"/>
        <v>8.4900543569109921</v>
      </c>
    </row>
    <row r="1010" spans="1:29">
      <c r="D1010" s="55"/>
      <c r="E1010" s="105"/>
      <c r="F1010" s="105"/>
      <c r="G1010" s="105"/>
      <c r="H1010" s="106"/>
      <c r="I1010" s="105"/>
      <c r="J1010" s="105"/>
      <c r="K1010" s="105"/>
      <c r="L1010" s="105"/>
      <c r="M1010" s="105"/>
      <c r="N1010" s="105"/>
      <c r="O1010" s="105"/>
      <c r="P1010" s="105"/>
      <c r="Q1010" s="105"/>
      <c r="R1010" s="105"/>
      <c r="S1010" s="105"/>
      <c r="T1010" s="105"/>
      <c r="U1010" s="105"/>
      <c r="V1010" s="105"/>
      <c r="W1010" s="105"/>
      <c r="X1010" s="105"/>
      <c r="Y1010" s="105"/>
      <c r="Z1010" s="105"/>
      <c r="AA1010" s="105"/>
      <c r="AB1010" s="105"/>
      <c r="AC1010" s="105"/>
    </row>
    <row r="1011" spans="1:29">
      <c r="A1011" s="5" t="str">
        <f>A103</f>
        <v>Gain on Sale of Assets</v>
      </c>
      <c r="D1011" s="55"/>
      <c r="E1011" s="105" t="str">
        <f t="shared" ref="E1011:N1012" si="674">IF(ISERR(+E103/E$69),"NA",E103/E$69)</f>
        <v>NA</v>
      </c>
      <c r="F1011" s="105" t="str">
        <f t="shared" si="674"/>
        <v>NA</v>
      </c>
      <c r="G1011" s="105" t="str">
        <f t="shared" si="674"/>
        <v>NA</v>
      </c>
      <c r="H1011" s="106" t="str">
        <f t="shared" si="674"/>
        <v>NA</v>
      </c>
      <c r="I1011" s="105">
        <f t="shared" si="674"/>
        <v>0</v>
      </c>
      <c r="J1011" s="105">
        <f t="shared" ca="1" si="674"/>
        <v>0</v>
      </c>
      <c r="K1011" s="105">
        <f t="shared" ca="1" si="674"/>
        <v>0</v>
      </c>
      <c r="L1011" s="105">
        <f t="shared" ca="1" si="674"/>
        <v>0</v>
      </c>
      <c r="M1011" s="105">
        <f t="shared" ca="1" si="674"/>
        <v>0</v>
      </c>
      <c r="N1011" s="105">
        <f t="shared" ca="1" si="674"/>
        <v>0</v>
      </c>
      <c r="O1011" s="105">
        <f t="shared" ref="O1011:AC1012" ca="1" si="675">IF(ISERR(+O103/O$69),"NA",O103/O$69)</f>
        <v>0</v>
      </c>
      <c r="P1011" s="105">
        <f t="shared" ca="1" si="675"/>
        <v>0</v>
      </c>
      <c r="Q1011" s="105">
        <f t="shared" ca="1" si="675"/>
        <v>0</v>
      </c>
      <c r="R1011" s="105">
        <f t="shared" ca="1" si="675"/>
        <v>0</v>
      </c>
      <c r="S1011" s="105">
        <f t="shared" ca="1" si="675"/>
        <v>0</v>
      </c>
      <c r="T1011" s="105">
        <f t="shared" ca="1" si="675"/>
        <v>0</v>
      </c>
      <c r="U1011" s="105">
        <f t="shared" ca="1" si="675"/>
        <v>0</v>
      </c>
      <c r="V1011" s="105">
        <f t="shared" ca="1" si="675"/>
        <v>0</v>
      </c>
      <c r="W1011" s="105">
        <f t="shared" ca="1" si="675"/>
        <v>0</v>
      </c>
      <c r="X1011" s="105">
        <f t="shared" ca="1" si="675"/>
        <v>0</v>
      </c>
      <c r="Y1011" s="105">
        <f t="shared" ca="1" si="675"/>
        <v>0</v>
      </c>
      <c r="Z1011" s="105">
        <f t="shared" ca="1" si="675"/>
        <v>0</v>
      </c>
      <c r="AA1011" s="105">
        <f t="shared" ca="1" si="675"/>
        <v>0</v>
      </c>
      <c r="AB1011" s="105">
        <f t="shared" ca="1" si="675"/>
        <v>0</v>
      </c>
      <c r="AC1011" s="105">
        <f t="shared" ca="1" si="675"/>
        <v>0</v>
      </c>
    </row>
    <row r="1012" spans="1:29">
      <c r="A1012" s="77" t="str">
        <f>A104</f>
        <v>Income b/f Taxes</v>
      </c>
      <c r="D1012" s="55"/>
      <c r="E1012" s="105" t="str">
        <f t="shared" si="674"/>
        <v>NA</v>
      </c>
      <c r="F1012" s="105" t="str">
        <f t="shared" si="674"/>
        <v>NA</v>
      </c>
      <c r="G1012" s="105" t="str">
        <f t="shared" si="674"/>
        <v>NA</v>
      </c>
      <c r="H1012" s="106" t="str">
        <f t="shared" si="674"/>
        <v>NA</v>
      </c>
      <c r="I1012" s="105">
        <f t="shared" ca="1" si="674"/>
        <v>0.97140170260142344</v>
      </c>
      <c r="J1012" s="105">
        <f t="shared" ca="1" si="674"/>
        <v>0.9193592753956521</v>
      </c>
      <c r="K1012" s="105">
        <f t="shared" ca="1" si="674"/>
        <v>0.97345332670720586</v>
      </c>
      <c r="L1012" s="105">
        <f t="shared" ca="1" si="674"/>
        <v>1.0217193606785</v>
      </c>
      <c r="M1012" s="105">
        <f t="shared" ca="1" si="674"/>
        <v>1.0736087940280925</v>
      </c>
      <c r="N1012" s="105">
        <f t="shared" ca="1" si="674"/>
        <v>1.1376121032310342</v>
      </c>
      <c r="O1012" s="105">
        <f t="shared" ca="1" si="675"/>
        <v>1.2200377711795007</v>
      </c>
      <c r="P1012" s="105">
        <f t="shared" ca="1" si="675"/>
        <v>1.3253053413711224</v>
      </c>
      <c r="Q1012" s="105">
        <f t="shared" ca="1" si="675"/>
        <v>1.4376376984444827</v>
      </c>
      <c r="R1012" s="105">
        <f t="shared" ca="1" si="675"/>
        <v>1.5807982817382857</v>
      </c>
      <c r="S1012" s="105">
        <f t="shared" ca="1" si="675"/>
        <v>1.7541343444674233</v>
      </c>
      <c r="T1012" s="105">
        <f t="shared" ca="1" si="675"/>
        <v>1.9435466597846893</v>
      </c>
      <c r="U1012" s="105">
        <f t="shared" ca="1" si="675"/>
        <v>2.1604426814234223</v>
      </c>
      <c r="V1012" s="105">
        <f t="shared" ca="1" si="675"/>
        <v>2.4392962262791165</v>
      </c>
      <c r="W1012" s="105">
        <f t="shared" ca="1" si="675"/>
        <v>2.7889230425813913</v>
      </c>
      <c r="X1012" s="105">
        <f t="shared" ca="1" si="675"/>
        <v>3.2071142511942368</v>
      </c>
      <c r="Y1012" s="105">
        <f t="shared" ca="1" si="675"/>
        <v>3.8066527591590438</v>
      </c>
      <c r="Z1012" s="105">
        <f t="shared" ca="1" si="675"/>
        <v>4.8043731182335323</v>
      </c>
      <c r="AA1012" s="105">
        <f t="shared" ca="1" si="675"/>
        <v>5.9148279530912982</v>
      </c>
      <c r="AB1012" s="105">
        <f t="shared" ca="1" si="675"/>
        <v>7.29509014701173</v>
      </c>
      <c r="AC1012" s="105">
        <f t="shared" ca="1" si="675"/>
        <v>8.4900543569109921</v>
      </c>
    </row>
    <row r="1013" spans="1:29">
      <c r="D1013" s="55"/>
      <c r="E1013" s="105"/>
      <c r="F1013" s="105"/>
      <c r="G1013" s="105"/>
      <c r="H1013" s="106"/>
      <c r="I1013" s="105"/>
      <c r="J1013" s="105"/>
      <c r="K1013" s="105"/>
      <c r="L1013" s="105"/>
      <c r="M1013" s="105"/>
      <c r="N1013" s="105"/>
      <c r="O1013" s="105"/>
      <c r="P1013" s="105"/>
      <c r="Q1013" s="105"/>
      <c r="R1013" s="105"/>
      <c r="S1013" s="105"/>
      <c r="T1013" s="105"/>
      <c r="U1013" s="105"/>
      <c r="V1013" s="105"/>
      <c r="W1013" s="105"/>
      <c r="X1013" s="105"/>
      <c r="Y1013" s="105"/>
      <c r="Z1013" s="105"/>
      <c r="AA1013" s="105"/>
      <c r="AB1013" s="105"/>
      <c r="AC1013" s="105"/>
    </row>
    <row r="1014" spans="1:29">
      <c r="A1014" s="5" t="str">
        <f>A106</f>
        <v>Income Taxes</v>
      </c>
      <c r="E1014" s="105" t="str">
        <f t="shared" ref="E1014:N1015" si="676">IF(ISERR(+E106/E$69),"NA",E106/E$69)</f>
        <v>NA</v>
      </c>
      <c r="F1014" s="105" t="str">
        <f t="shared" si="676"/>
        <v>NA</v>
      </c>
      <c r="G1014" s="105" t="str">
        <f t="shared" si="676"/>
        <v>NA</v>
      </c>
      <c r="H1014" s="106" t="str">
        <f t="shared" si="676"/>
        <v>NA</v>
      </c>
      <c r="I1014" s="105">
        <f t="shared" ca="1" si="676"/>
        <v>0</v>
      </c>
      <c r="J1014" s="105">
        <f t="shared" ca="1" si="676"/>
        <v>0</v>
      </c>
      <c r="K1014" s="105">
        <f t="shared" ca="1" si="676"/>
        <v>0</v>
      </c>
      <c r="L1014" s="105">
        <f t="shared" ca="1" si="676"/>
        <v>0.14381742149993254</v>
      </c>
      <c r="M1014" s="105">
        <f t="shared" ca="1" si="676"/>
        <v>0.36502698996955146</v>
      </c>
      <c r="N1014" s="105">
        <f t="shared" ca="1" si="676"/>
        <v>0.38678811509855171</v>
      </c>
      <c r="O1014" s="105">
        <f t="shared" ref="O1014:AC1015" ca="1" si="677">IF(ISERR(+O106/O$69),"NA",O106/O$69)</f>
        <v>0.41481284220103026</v>
      </c>
      <c r="P1014" s="105">
        <f t="shared" ca="1" si="677"/>
        <v>0.45060381606618166</v>
      </c>
      <c r="Q1014" s="105">
        <f t="shared" ca="1" si="677"/>
        <v>0.48879681747112408</v>
      </c>
      <c r="R1014" s="105">
        <f t="shared" ca="1" si="677"/>
        <v>0.5374714157910172</v>
      </c>
      <c r="S1014" s="105">
        <f t="shared" ca="1" si="677"/>
        <v>0.596405677118924</v>
      </c>
      <c r="T1014" s="105">
        <f t="shared" ca="1" si="677"/>
        <v>0.66080586432679445</v>
      </c>
      <c r="U1014" s="105">
        <f t="shared" ca="1" si="677"/>
        <v>0.73455051168396357</v>
      </c>
      <c r="V1014" s="105">
        <f t="shared" ca="1" si="677"/>
        <v>0.82936071693489966</v>
      </c>
      <c r="W1014" s="105">
        <f t="shared" ca="1" si="677"/>
        <v>0.94823383447767318</v>
      </c>
      <c r="X1014" s="105">
        <f t="shared" ca="1" si="677"/>
        <v>1.0904188454060404</v>
      </c>
      <c r="Y1014" s="105">
        <f t="shared" ca="1" si="677"/>
        <v>1.294261938114075</v>
      </c>
      <c r="Z1014" s="105">
        <f t="shared" ca="1" si="677"/>
        <v>1.633486860199401</v>
      </c>
      <c r="AA1014" s="105">
        <f t="shared" ca="1" si="677"/>
        <v>2.0110415040510414</v>
      </c>
      <c r="AB1014" s="105">
        <f t="shared" ca="1" si="677"/>
        <v>2.4803306499839897</v>
      </c>
      <c r="AC1014" s="105">
        <f t="shared" ca="1" si="677"/>
        <v>2.8866184813497404</v>
      </c>
    </row>
    <row r="1015" spans="1:29" ht="12" thickBot="1">
      <c r="A1015" s="77" t="str">
        <f>A107</f>
        <v>Net Income</v>
      </c>
      <c r="E1015" s="109" t="str">
        <f t="shared" si="676"/>
        <v>NA</v>
      </c>
      <c r="F1015" s="109" t="str">
        <f t="shared" si="676"/>
        <v>NA</v>
      </c>
      <c r="G1015" s="109" t="str">
        <f t="shared" si="676"/>
        <v>NA</v>
      </c>
      <c r="H1015" s="110" t="str">
        <f t="shared" si="676"/>
        <v>NA</v>
      </c>
      <c r="I1015" s="109">
        <f t="shared" ca="1" si="676"/>
        <v>0.97140170260142344</v>
      </c>
      <c r="J1015" s="109">
        <f t="shared" ca="1" si="676"/>
        <v>0.9193592753956521</v>
      </c>
      <c r="K1015" s="109">
        <f t="shared" ca="1" si="676"/>
        <v>0.97345332670720586</v>
      </c>
      <c r="L1015" s="109">
        <f t="shared" ca="1" si="676"/>
        <v>0.87790193917856751</v>
      </c>
      <c r="M1015" s="109">
        <f t="shared" ca="1" si="676"/>
        <v>0.70858180405854099</v>
      </c>
      <c r="N1015" s="109">
        <f t="shared" ca="1" si="676"/>
        <v>0.75082398813248263</v>
      </c>
      <c r="O1015" s="109">
        <f t="shared" ca="1" si="677"/>
        <v>0.80522492897847042</v>
      </c>
      <c r="P1015" s="109">
        <f t="shared" ca="1" si="677"/>
        <v>0.87470152530494083</v>
      </c>
      <c r="Q1015" s="109">
        <f t="shared" ca="1" si="677"/>
        <v>0.9488408809733585</v>
      </c>
      <c r="R1015" s="109">
        <f t="shared" ca="1" si="677"/>
        <v>1.0433268659472685</v>
      </c>
      <c r="S1015" s="109">
        <f t="shared" ca="1" si="677"/>
        <v>1.1577286673484994</v>
      </c>
      <c r="T1015" s="109">
        <f t="shared" ca="1" si="677"/>
        <v>1.2827407954578949</v>
      </c>
      <c r="U1015" s="109">
        <f t="shared" ca="1" si="677"/>
        <v>1.4258921697394586</v>
      </c>
      <c r="V1015" s="109">
        <f t="shared" ca="1" si="677"/>
        <v>1.6099355093442169</v>
      </c>
      <c r="W1015" s="109">
        <f t="shared" ca="1" si="677"/>
        <v>1.8406892081037181</v>
      </c>
      <c r="X1015" s="109">
        <f t="shared" ca="1" si="677"/>
        <v>2.1166954057881959</v>
      </c>
      <c r="Y1015" s="109">
        <f t="shared" ca="1" si="677"/>
        <v>2.5123908210449684</v>
      </c>
      <c r="Z1015" s="109">
        <f t="shared" ca="1" si="677"/>
        <v>3.1708862580341317</v>
      </c>
      <c r="AA1015" s="109">
        <f t="shared" ca="1" si="677"/>
        <v>3.9037864490402567</v>
      </c>
      <c r="AB1015" s="109">
        <f t="shared" ca="1" si="677"/>
        <v>4.8147594970277403</v>
      </c>
      <c r="AC1015" s="109">
        <f t="shared" ca="1" si="677"/>
        <v>5.603435875561253</v>
      </c>
    </row>
    <row r="1016" spans="1:29" ht="12" thickTop="1">
      <c r="E1016" s="105"/>
      <c r="F1016" s="105"/>
      <c r="G1016" s="105"/>
      <c r="H1016" s="106"/>
      <c r="I1016" s="105"/>
      <c r="J1016" s="105"/>
      <c r="K1016" s="105"/>
      <c r="L1016" s="105"/>
      <c r="M1016" s="105"/>
      <c r="N1016" s="105"/>
      <c r="O1016" s="105"/>
      <c r="P1016" s="105"/>
      <c r="Q1016" s="105"/>
      <c r="R1016" s="105"/>
      <c r="S1016" s="105"/>
      <c r="T1016" s="105"/>
      <c r="U1016" s="105"/>
      <c r="V1016" s="105"/>
      <c r="W1016" s="105"/>
      <c r="X1016" s="105"/>
      <c r="Y1016" s="105"/>
      <c r="Z1016" s="105"/>
      <c r="AA1016" s="105"/>
      <c r="AB1016" s="105"/>
      <c r="AC1016" s="105"/>
    </row>
    <row r="1017" spans="1:29">
      <c r="A1017" s="5" t="str">
        <f>A109</f>
        <v>Preferred Dividends</v>
      </c>
      <c r="E1017" s="105" t="str">
        <f t="shared" ref="E1017:N1018" si="678">IF(ISERR(+E109/E$69),"NA",E109/E$69)</f>
        <v>NA</v>
      </c>
      <c r="F1017" s="105" t="str">
        <f t="shared" si="678"/>
        <v>NA</v>
      </c>
      <c r="G1017" s="105" t="str">
        <f t="shared" si="678"/>
        <v>NA</v>
      </c>
      <c r="H1017" s="106" t="str">
        <f t="shared" si="678"/>
        <v>NA</v>
      </c>
      <c r="I1017" s="105">
        <f t="shared" ca="1" si="678"/>
        <v>0</v>
      </c>
      <c r="J1017" s="105">
        <f t="shared" ca="1" si="678"/>
        <v>0</v>
      </c>
      <c r="K1017" s="105">
        <f t="shared" ca="1" si="678"/>
        <v>0</v>
      </c>
      <c r="L1017" s="105">
        <f t="shared" ca="1" si="678"/>
        <v>0</v>
      </c>
      <c r="M1017" s="105">
        <f t="shared" ca="1" si="678"/>
        <v>0</v>
      </c>
      <c r="N1017" s="105">
        <f t="shared" ca="1" si="678"/>
        <v>0</v>
      </c>
      <c r="O1017" s="105">
        <f t="shared" ref="O1017:AC1018" ca="1" si="679">IF(ISERR(+O109/O$69),"NA",O109/O$69)</f>
        <v>0</v>
      </c>
      <c r="P1017" s="105">
        <f t="shared" ca="1" si="679"/>
        <v>0</v>
      </c>
      <c r="Q1017" s="105">
        <f t="shared" ca="1" si="679"/>
        <v>0</v>
      </c>
      <c r="R1017" s="105">
        <f t="shared" ca="1" si="679"/>
        <v>0</v>
      </c>
      <c r="S1017" s="105">
        <f t="shared" ca="1" si="679"/>
        <v>0</v>
      </c>
      <c r="T1017" s="105">
        <f t="shared" ca="1" si="679"/>
        <v>0</v>
      </c>
      <c r="U1017" s="105">
        <f t="shared" ca="1" si="679"/>
        <v>0</v>
      </c>
      <c r="V1017" s="105">
        <f t="shared" ca="1" si="679"/>
        <v>0</v>
      </c>
      <c r="W1017" s="105">
        <f t="shared" ca="1" si="679"/>
        <v>0</v>
      </c>
      <c r="X1017" s="105">
        <f t="shared" ca="1" si="679"/>
        <v>0</v>
      </c>
      <c r="Y1017" s="105">
        <f t="shared" ca="1" si="679"/>
        <v>0</v>
      </c>
      <c r="Z1017" s="105">
        <f t="shared" ca="1" si="679"/>
        <v>0</v>
      </c>
      <c r="AA1017" s="105">
        <f t="shared" ca="1" si="679"/>
        <v>0</v>
      </c>
      <c r="AB1017" s="105">
        <f t="shared" ca="1" si="679"/>
        <v>0</v>
      </c>
      <c r="AC1017" s="105">
        <f t="shared" ca="1" si="679"/>
        <v>0</v>
      </c>
    </row>
    <row r="1018" spans="1:29" ht="12" thickBot="1">
      <c r="A1018" s="77" t="str">
        <f>A110</f>
        <v>Net Income Available to Common</v>
      </c>
      <c r="E1018" s="109" t="str">
        <f t="shared" si="678"/>
        <v>NA</v>
      </c>
      <c r="F1018" s="109" t="str">
        <f t="shared" si="678"/>
        <v>NA</v>
      </c>
      <c r="G1018" s="109" t="str">
        <f t="shared" si="678"/>
        <v>NA</v>
      </c>
      <c r="H1018" s="110" t="str">
        <f t="shared" si="678"/>
        <v>NA</v>
      </c>
      <c r="I1018" s="109">
        <f t="shared" ca="1" si="678"/>
        <v>0.97140170260142344</v>
      </c>
      <c r="J1018" s="109">
        <f t="shared" ca="1" si="678"/>
        <v>0.9193592753956521</v>
      </c>
      <c r="K1018" s="109">
        <f t="shared" ca="1" si="678"/>
        <v>0.97345332670720586</v>
      </c>
      <c r="L1018" s="109">
        <f t="shared" ca="1" si="678"/>
        <v>0.87790193917856751</v>
      </c>
      <c r="M1018" s="109">
        <f t="shared" ca="1" si="678"/>
        <v>0.70858180405854099</v>
      </c>
      <c r="N1018" s="109">
        <f t="shared" ca="1" si="678"/>
        <v>0.75082398813248263</v>
      </c>
      <c r="O1018" s="109">
        <f t="shared" ca="1" si="679"/>
        <v>0.80522492897847042</v>
      </c>
      <c r="P1018" s="109">
        <f t="shared" ca="1" si="679"/>
        <v>0.87470152530494083</v>
      </c>
      <c r="Q1018" s="109">
        <f t="shared" ca="1" si="679"/>
        <v>0.9488408809733585</v>
      </c>
      <c r="R1018" s="109">
        <f t="shared" ca="1" si="679"/>
        <v>1.0433268659472685</v>
      </c>
      <c r="S1018" s="109">
        <f t="shared" ca="1" si="679"/>
        <v>1.1577286673484994</v>
      </c>
      <c r="T1018" s="109">
        <f t="shared" ca="1" si="679"/>
        <v>1.2827407954578949</v>
      </c>
      <c r="U1018" s="109">
        <f t="shared" ca="1" si="679"/>
        <v>1.4258921697394586</v>
      </c>
      <c r="V1018" s="109">
        <f t="shared" ca="1" si="679"/>
        <v>1.6099355093442169</v>
      </c>
      <c r="W1018" s="109">
        <f t="shared" ca="1" si="679"/>
        <v>1.8406892081037181</v>
      </c>
      <c r="X1018" s="109">
        <f t="shared" ca="1" si="679"/>
        <v>2.1166954057881959</v>
      </c>
      <c r="Y1018" s="109">
        <f t="shared" ca="1" si="679"/>
        <v>2.5123908210449684</v>
      </c>
      <c r="Z1018" s="109">
        <f t="shared" ca="1" si="679"/>
        <v>3.1708862580341317</v>
      </c>
      <c r="AA1018" s="109">
        <f t="shared" ca="1" si="679"/>
        <v>3.9037864490402567</v>
      </c>
      <c r="AB1018" s="109">
        <f t="shared" ca="1" si="679"/>
        <v>4.8147594970277403</v>
      </c>
      <c r="AC1018" s="109">
        <f t="shared" ca="1" si="679"/>
        <v>5.603435875561253</v>
      </c>
    </row>
    <row r="1019" spans="1:29" ht="12" thickTop="1">
      <c r="E1019" s="105"/>
      <c r="F1019" s="105"/>
      <c r="G1019" s="105"/>
      <c r="H1019" s="106"/>
      <c r="I1019" s="105"/>
      <c r="J1019" s="105"/>
      <c r="K1019" s="105"/>
      <c r="L1019" s="105"/>
      <c r="M1019" s="105"/>
      <c r="N1019" s="105"/>
      <c r="O1019" s="105"/>
      <c r="P1019" s="105"/>
      <c r="Q1019" s="105"/>
      <c r="R1019" s="105"/>
      <c r="S1019" s="105"/>
      <c r="T1019" s="105"/>
      <c r="U1019" s="105"/>
      <c r="V1019" s="105"/>
      <c r="W1019" s="105"/>
      <c r="X1019" s="105"/>
      <c r="Y1019" s="105"/>
      <c r="Z1019" s="105"/>
      <c r="AA1019" s="105"/>
      <c r="AB1019" s="105"/>
      <c r="AC1019" s="105"/>
    </row>
    <row r="1020" spans="1:29">
      <c r="A1020" s="5" t="str">
        <f>A112</f>
        <v>Common Dividends</v>
      </c>
      <c r="E1020" s="105" t="str">
        <f t="shared" ref="E1020:N1020" si="680">IF(ISERR(+E112/E$69),"NA",E112/E$69)</f>
        <v>NA</v>
      </c>
      <c r="F1020" s="105" t="str">
        <f t="shared" si="680"/>
        <v>NA</v>
      </c>
      <c r="G1020" s="105" t="str">
        <f t="shared" si="680"/>
        <v>NA</v>
      </c>
      <c r="H1020" s="106" t="str">
        <f t="shared" si="680"/>
        <v>NA</v>
      </c>
      <c r="I1020" s="105">
        <f t="shared" ca="1" si="680"/>
        <v>0</v>
      </c>
      <c r="J1020" s="105">
        <f t="shared" ca="1" si="680"/>
        <v>0</v>
      </c>
      <c r="K1020" s="105">
        <f t="shared" ca="1" si="680"/>
        <v>0</v>
      </c>
      <c r="L1020" s="105">
        <f t="shared" ca="1" si="680"/>
        <v>0</v>
      </c>
      <c r="M1020" s="105">
        <f t="shared" ca="1" si="680"/>
        <v>0</v>
      </c>
      <c r="N1020" s="105">
        <f t="shared" ca="1" si="680"/>
        <v>0</v>
      </c>
      <c r="O1020" s="105">
        <f t="shared" ref="O1020:AC1020" ca="1" si="681">IF(ISERR(+O112/O$69),"NA",O112/O$69)</f>
        <v>0</v>
      </c>
      <c r="P1020" s="105">
        <f t="shared" ca="1" si="681"/>
        <v>0</v>
      </c>
      <c r="Q1020" s="105">
        <f t="shared" ca="1" si="681"/>
        <v>0</v>
      </c>
      <c r="R1020" s="105">
        <f t="shared" ca="1" si="681"/>
        <v>0</v>
      </c>
      <c r="S1020" s="105">
        <f t="shared" ca="1" si="681"/>
        <v>0</v>
      </c>
      <c r="T1020" s="105">
        <f t="shared" ca="1" si="681"/>
        <v>0</v>
      </c>
      <c r="U1020" s="105">
        <f t="shared" ca="1" si="681"/>
        <v>0</v>
      </c>
      <c r="V1020" s="105">
        <f t="shared" ca="1" si="681"/>
        <v>0</v>
      </c>
      <c r="W1020" s="105">
        <f t="shared" ca="1" si="681"/>
        <v>0</v>
      </c>
      <c r="X1020" s="105">
        <f t="shared" ca="1" si="681"/>
        <v>0</v>
      </c>
      <c r="Y1020" s="105">
        <f t="shared" ca="1" si="681"/>
        <v>0</v>
      </c>
      <c r="Z1020" s="105">
        <f t="shared" ca="1" si="681"/>
        <v>0</v>
      </c>
      <c r="AA1020" s="105">
        <f t="shared" ca="1" si="681"/>
        <v>0</v>
      </c>
      <c r="AB1020" s="105">
        <f t="shared" ca="1" si="681"/>
        <v>0</v>
      </c>
      <c r="AC1020" s="105">
        <f t="shared" ca="1" si="681"/>
        <v>0</v>
      </c>
    </row>
    <row r="1022" spans="1:29" ht="12" thickBot="1"/>
    <row r="1023" spans="1:29" ht="12.75" thickTop="1" thickBot="1">
      <c r="A1023" s="19" t="s">
        <v>1122</v>
      </c>
      <c r="E1023" s="73">
        <f>E580</f>
        <v>1996</v>
      </c>
      <c r="F1023" s="73">
        <f>F580</f>
        <v>1997</v>
      </c>
      <c r="G1023" s="73">
        <f>G580</f>
        <v>1998</v>
      </c>
      <c r="H1023" s="86" t="str">
        <f ca="1">$H$579&amp;"/"&amp;TEXT($H$580,"0")</f>
        <v>6 M/1999</v>
      </c>
      <c r="I1023" s="86" t="str">
        <f ca="1">$I$579&amp;"/"&amp;TEXT($I$580,"0")</f>
        <v>6 M/1999</v>
      </c>
      <c r="J1023" s="166">
        <f t="shared" ref="J1023:AC1023" si="682">J580</f>
        <v>2000</v>
      </c>
      <c r="K1023" s="166">
        <f t="shared" si="682"/>
        <v>2001</v>
      </c>
      <c r="L1023" s="166">
        <f t="shared" si="682"/>
        <v>2002</v>
      </c>
      <c r="M1023" s="166">
        <f t="shared" si="682"/>
        <v>2003</v>
      </c>
      <c r="N1023" s="166">
        <f t="shared" si="682"/>
        <v>2004</v>
      </c>
      <c r="O1023" s="166">
        <f t="shared" si="682"/>
        <v>2005</v>
      </c>
      <c r="P1023" s="166">
        <f t="shared" si="682"/>
        <v>2006</v>
      </c>
      <c r="Q1023" s="166">
        <f t="shared" si="682"/>
        <v>2007</v>
      </c>
      <c r="R1023" s="166">
        <f t="shared" si="682"/>
        <v>2008</v>
      </c>
      <c r="S1023" s="166">
        <f t="shared" si="682"/>
        <v>2009</v>
      </c>
      <c r="T1023" s="166">
        <f t="shared" si="682"/>
        <v>2010</v>
      </c>
      <c r="U1023" s="166">
        <f t="shared" si="682"/>
        <v>2011</v>
      </c>
      <c r="V1023" s="166">
        <f t="shared" si="682"/>
        <v>2012</v>
      </c>
      <c r="W1023" s="166">
        <f t="shared" si="682"/>
        <v>2013</v>
      </c>
      <c r="X1023" s="166">
        <f t="shared" si="682"/>
        <v>2014</v>
      </c>
      <c r="Y1023" s="166">
        <f t="shared" si="682"/>
        <v>2015</v>
      </c>
      <c r="Z1023" s="166">
        <f t="shared" si="682"/>
        <v>2016</v>
      </c>
      <c r="AA1023" s="166">
        <f t="shared" si="682"/>
        <v>2017</v>
      </c>
      <c r="AB1023" s="166">
        <f t="shared" si="682"/>
        <v>2018</v>
      </c>
      <c r="AC1023" s="166">
        <f t="shared" si="682"/>
        <v>2019</v>
      </c>
    </row>
    <row r="1024" spans="1:29" ht="12" thickTop="1">
      <c r="A1024" s="224" t="s">
        <v>1123</v>
      </c>
      <c r="J1024" s="75"/>
    </row>
    <row r="1025" spans="1:29">
      <c r="A1025" s="74"/>
      <c r="B1025" s="74" t="s">
        <v>671</v>
      </c>
      <c r="C1025"/>
      <c r="I1025" s="5">
        <f t="shared" ref="I1025:AC1025" ca="1" si="683">I118</f>
        <v>-501.12434572607458</v>
      </c>
      <c r="J1025" s="75">
        <f t="shared" ca="1" si="683"/>
        <v>6242.9363945444502</v>
      </c>
      <c r="K1025" s="5">
        <f t="shared" ca="1" si="683"/>
        <v>5273.7733750655825</v>
      </c>
      <c r="L1025" s="5">
        <f t="shared" ca="1" si="683"/>
        <v>4375.9903704739781</v>
      </c>
      <c r="M1025" s="5">
        <f t="shared" ca="1" si="683"/>
        <v>3279.8935874275576</v>
      </c>
      <c r="N1025" s="5">
        <f t="shared" ca="1" si="683"/>
        <v>3136.9537144069855</v>
      </c>
      <c r="O1025" s="5">
        <f t="shared" ca="1" si="683"/>
        <v>2930.5183325741032</v>
      </c>
      <c r="P1025" s="5">
        <f t="shared" ca="1" si="683"/>
        <v>2731.6482001003096</v>
      </c>
      <c r="Q1025" s="5">
        <f t="shared" ca="1" si="683"/>
        <v>2592.5487303193668</v>
      </c>
      <c r="R1025" s="5">
        <f t="shared" ca="1" si="683"/>
        <v>2477.0588102792776</v>
      </c>
      <c r="S1025" s="5">
        <f t="shared" ca="1" si="683"/>
        <v>2395.9019076827549</v>
      </c>
      <c r="T1025" s="5">
        <f t="shared" ca="1" si="683"/>
        <v>2316.2915736891382</v>
      </c>
      <c r="U1025" s="5">
        <f t="shared" ca="1" si="683"/>
        <v>2260.1640831229488</v>
      </c>
      <c r="V1025" s="5">
        <f t="shared" ca="1" si="683"/>
        <v>2205.4082788538226</v>
      </c>
      <c r="W1025" s="5">
        <f t="shared" ca="1" si="683"/>
        <v>2180.6574486779473</v>
      </c>
      <c r="X1025" s="5">
        <f t="shared" ca="1" si="683"/>
        <v>2151.761791335437</v>
      </c>
      <c r="Y1025" s="5">
        <f t="shared" ca="1" si="683"/>
        <v>2131.752821221382</v>
      </c>
      <c r="Z1025" s="5">
        <f t="shared" ca="1" si="683"/>
        <v>2091.8231662067151</v>
      </c>
      <c r="AA1025" s="5">
        <f t="shared" ca="1" si="683"/>
        <v>2085.8218953458486</v>
      </c>
      <c r="AB1025" s="5">
        <f t="shared" ca="1" si="683"/>
        <v>2095.6092449249859</v>
      </c>
      <c r="AC1025" s="5">
        <f t="shared" ca="1" si="683"/>
        <v>2132.7322648468544</v>
      </c>
    </row>
    <row r="1026" spans="1:29">
      <c r="A1026" s="74"/>
      <c r="B1026" s="74"/>
      <c r="C1026"/>
      <c r="J1026" s="75"/>
    </row>
    <row r="1027" spans="1:29">
      <c r="A1027" s="70" t="s">
        <v>923</v>
      </c>
      <c r="B1027" s="5" t="str">
        <f>A119</f>
        <v>Depreciation &amp; Amortization</v>
      </c>
      <c r="C1027"/>
      <c r="I1027" s="5">
        <f t="shared" ref="I1027:AC1027" ca="1" si="684">I119</f>
        <v>0</v>
      </c>
      <c r="J1027" s="75">
        <f t="shared" ca="1" si="684"/>
        <v>0</v>
      </c>
      <c r="K1027" s="5">
        <f t="shared" si="684"/>
        <v>0</v>
      </c>
      <c r="L1027" s="5">
        <f t="shared" si="684"/>
        <v>0</v>
      </c>
      <c r="M1027" s="5">
        <f t="shared" si="684"/>
        <v>0</v>
      </c>
      <c r="N1027" s="5">
        <f t="shared" si="684"/>
        <v>0</v>
      </c>
      <c r="O1027" s="5">
        <f t="shared" si="684"/>
        <v>4.3794061069212393</v>
      </c>
      <c r="P1027" s="5">
        <f t="shared" ca="1" si="684"/>
        <v>4.7347913013252478</v>
      </c>
      <c r="Q1027" s="5">
        <f t="shared" ca="1" si="684"/>
        <v>7.1018340606587129</v>
      </c>
      <c r="R1027" s="5">
        <f t="shared" si="684"/>
        <v>6.0602935036541092</v>
      </c>
      <c r="S1027" s="5">
        <f t="shared" ca="1" si="684"/>
        <v>5.134621601663329</v>
      </c>
      <c r="T1027" s="5">
        <f t="shared" si="684"/>
        <v>4.3136934004570406</v>
      </c>
      <c r="U1027" s="5">
        <f t="shared" si="684"/>
        <v>3.6160470859451221</v>
      </c>
      <c r="V1027" s="5">
        <f t="shared" si="684"/>
        <v>2.9690276563928304</v>
      </c>
      <c r="W1027" s="5">
        <f t="shared" si="684"/>
        <v>2.4348443565521936</v>
      </c>
      <c r="X1027" s="5">
        <f t="shared" si="684"/>
        <v>1.9752031273747968</v>
      </c>
      <c r="Y1027" s="5">
        <f t="shared" si="684"/>
        <v>1.556639308963266</v>
      </c>
      <c r="Z1027" s="5">
        <f t="shared" si="684"/>
        <v>1.1435136510314272</v>
      </c>
      <c r="AA1027" s="5">
        <f t="shared" si="684"/>
        <v>0.87442728015961602</v>
      </c>
      <c r="AB1027" s="5">
        <f t="shared" si="684"/>
        <v>0.67267199847163439</v>
      </c>
      <c r="AC1027" s="5">
        <f t="shared" si="684"/>
        <v>0.5559855604294327</v>
      </c>
    </row>
    <row r="1028" spans="1:29">
      <c r="A1028" s="74"/>
      <c r="B1028" s="5" t="s">
        <v>1124</v>
      </c>
      <c r="C1028"/>
      <c r="I1028" s="5">
        <f t="shared" ref="I1028:R1028" si="685">-I132</f>
        <v>0</v>
      </c>
      <c r="J1028" s="75">
        <f t="shared" si="685"/>
        <v>0</v>
      </c>
      <c r="K1028" s="5">
        <f t="shared" si="685"/>
        <v>0</v>
      </c>
      <c r="L1028" s="5">
        <f t="shared" si="685"/>
        <v>0</v>
      </c>
      <c r="M1028" s="5">
        <f t="shared" si="685"/>
        <v>0</v>
      </c>
      <c r="N1028" s="5">
        <f t="shared" si="685"/>
        <v>0</v>
      </c>
      <c r="O1028" s="5">
        <f t="shared" si="685"/>
        <v>0</v>
      </c>
      <c r="P1028" s="5">
        <f t="shared" si="685"/>
        <v>0</v>
      </c>
      <c r="Q1028" s="5">
        <f t="shared" si="685"/>
        <v>0</v>
      </c>
      <c r="R1028" s="5">
        <f t="shared" si="685"/>
        <v>0</v>
      </c>
      <c r="S1028" s="5">
        <f t="shared" ref="S1028:AC1028" si="686">-S132</f>
        <v>0</v>
      </c>
      <c r="T1028" s="5">
        <f t="shared" si="686"/>
        <v>0</v>
      </c>
      <c r="U1028" s="5">
        <f t="shared" si="686"/>
        <v>0</v>
      </c>
      <c r="V1028" s="5">
        <f t="shared" si="686"/>
        <v>0</v>
      </c>
      <c r="W1028" s="5">
        <f t="shared" si="686"/>
        <v>0</v>
      </c>
      <c r="X1028" s="5">
        <f t="shared" si="686"/>
        <v>0</v>
      </c>
      <c r="Y1028" s="5">
        <f t="shared" si="686"/>
        <v>0</v>
      </c>
      <c r="Z1028" s="5">
        <f t="shared" si="686"/>
        <v>0</v>
      </c>
      <c r="AA1028" s="5">
        <f t="shared" si="686"/>
        <v>0</v>
      </c>
      <c r="AB1028" s="5">
        <f t="shared" si="686"/>
        <v>0</v>
      </c>
      <c r="AC1028" s="5">
        <f t="shared" si="686"/>
        <v>0</v>
      </c>
    </row>
    <row r="1029" spans="1:29">
      <c r="A1029" s="74"/>
      <c r="B1029" s="5" t="str">
        <f>A121</f>
        <v>Deferred Income Taxes</v>
      </c>
      <c r="C1029"/>
      <c r="I1029" s="5">
        <f t="shared" ref="I1029:AC1029" ca="1" si="687">I121</f>
        <v>-3.7315654718329143</v>
      </c>
      <c r="J1029" s="75">
        <f t="shared" ca="1" si="687"/>
        <v>0</v>
      </c>
      <c r="K1029" s="5">
        <f t="shared" ca="1" si="687"/>
        <v>-822.03644666825733</v>
      </c>
      <c r="L1029" s="5">
        <f t="shared" ca="1" si="687"/>
        <v>-337.88229610145333</v>
      </c>
      <c r="M1029" s="5">
        <f t="shared" ca="1" si="687"/>
        <v>671.06960122191663</v>
      </c>
      <c r="N1029" s="5">
        <f t="shared" ca="1" si="687"/>
        <v>622.09931123161164</v>
      </c>
      <c r="O1029" s="5">
        <f t="shared" ca="1" si="687"/>
        <v>559.06892453605769</v>
      </c>
      <c r="P1029" s="5">
        <f t="shared" ca="1" si="687"/>
        <v>519.17685078679494</v>
      </c>
      <c r="Q1029" s="5">
        <f t="shared" ca="1" si="687"/>
        <v>507.78322467958003</v>
      </c>
      <c r="R1029" s="5">
        <f t="shared" ca="1" si="687"/>
        <v>490.43977186527445</v>
      </c>
      <c r="S1029" s="5">
        <f t="shared" ca="1" si="687"/>
        <v>0</v>
      </c>
      <c r="T1029" s="5">
        <f t="shared" ca="1" si="687"/>
        <v>0</v>
      </c>
      <c r="U1029" s="5">
        <f t="shared" ca="1" si="687"/>
        <v>0</v>
      </c>
      <c r="V1029" s="5">
        <f t="shared" ca="1" si="687"/>
        <v>0</v>
      </c>
      <c r="W1029" s="5">
        <f t="shared" ca="1" si="687"/>
        <v>0</v>
      </c>
      <c r="X1029" s="5">
        <f t="shared" ca="1" si="687"/>
        <v>0</v>
      </c>
      <c r="Y1029" s="5">
        <f t="shared" si="687"/>
        <v>0</v>
      </c>
      <c r="Z1029" s="5">
        <f t="shared" ca="1" si="687"/>
        <v>0</v>
      </c>
      <c r="AA1029" s="5">
        <f t="shared" ca="1" si="687"/>
        <v>0</v>
      </c>
      <c r="AB1029" s="5">
        <f t="shared" ca="1" si="687"/>
        <v>0</v>
      </c>
      <c r="AC1029" s="5">
        <f t="shared" ca="1" si="687"/>
        <v>0</v>
      </c>
    </row>
    <row r="1030" spans="1:29">
      <c r="A1030" s="74"/>
      <c r="B1030" s="5" t="str">
        <f>A120</f>
        <v>Contribution from ESOP</v>
      </c>
      <c r="C1030"/>
      <c r="I1030" s="5">
        <f t="shared" ref="I1030:AC1030" si="688">I120</f>
        <v>0</v>
      </c>
      <c r="J1030" s="75">
        <f t="shared" si="688"/>
        <v>0</v>
      </c>
      <c r="K1030" s="5">
        <f t="shared" si="688"/>
        <v>0</v>
      </c>
      <c r="L1030" s="5">
        <f t="shared" si="688"/>
        <v>0</v>
      </c>
      <c r="M1030" s="5">
        <f t="shared" si="688"/>
        <v>0</v>
      </c>
      <c r="N1030" s="5">
        <f t="shared" si="688"/>
        <v>0</v>
      </c>
      <c r="O1030" s="5">
        <f t="shared" si="688"/>
        <v>0</v>
      </c>
      <c r="P1030" s="5">
        <f t="shared" si="688"/>
        <v>0</v>
      </c>
      <c r="Q1030" s="5">
        <f t="shared" si="688"/>
        <v>0</v>
      </c>
      <c r="R1030" s="5">
        <f t="shared" si="688"/>
        <v>0</v>
      </c>
      <c r="S1030" s="5">
        <f t="shared" si="688"/>
        <v>0</v>
      </c>
      <c r="T1030" s="5">
        <f t="shared" si="688"/>
        <v>0</v>
      </c>
      <c r="U1030" s="5">
        <f t="shared" si="688"/>
        <v>0</v>
      </c>
      <c r="V1030" s="5">
        <f t="shared" si="688"/>
        <v>0</v>
      </c>
      <c r="W1030" s="5">
        <f t="shared" si="688"/>
        <v>0</v>
      </c>
      <c r="X1030" s="5">
        <f t="shared" si="688"/>
        <v>0</v>
      </c>
      <c r="Y1030" s="5">
        <f t="shared" si="688"/>
        <v>0</v>
      </c>
      <c r="Z1030" s="5">
        <f t="shared" si="688"/>
        <v>0</v>
      </c>
      <c r="AA1030" s="5">
        <f t="shared" si="688"/>
        <v>0</v>
      </c>
      <c r="AB1030" s="5">
        <f t="shared" si="688"/>
        <v>0</v>
      </c>
      <c r="AC1030" s="5">
        <f t="shared" si="688"/>
        <v>0</v>
      </c>
    </row>
    <row r="1031" spans="1:29">
      <c r="A1031" s="74"/>
      <c r="B1031" s="5" t="str">
        <f>A122</f>
        <v>Non-Cash Interest and Dividends</v>
      </c>
      <c r="C1031"/>
      <c r="I1031" s="5">
        <f t="shared" ref="I1031:AC1031" ca="1" si="689">I122</f>
        <v>0</v>
      </c>
      <c r="J1031" s="75">
        <f t="shared" ca="1" si="689"/>
        <v>0</v>
      </c>
      <c r="K1031" s="5">
        <f t="shared" ca="1" si="689"/>
        <v>0</v>
      </c>
      <c r="L1031" s="5">
        <f t="shared" ca="1" si="689"/>
        <v>0</v>
      </c>
      <c r="M1031" s="5">
        <f t="shared" ca="1" si="689"/>
        <v>0</v>
      </c>
      <c r="N1031" s="5">
        <f t="shared" ca="1" si="689"/>
        <v>0</v>
      </c>
      <c r="O1031" s="5">
        <f t="shared" ca="1" si="689"/>
        <v>0</v>
      </c>
      <c r="P1031" s="5">
        <f t="shared" ca="1" si="689"/>
        <v>0</v>
      </c>
      <c r="Q1031" s="5">
        <f t="shared" ca="1" si="689"/>
        <v>0</v>
      </c>
      <c r="R1031" s="5">
        <f t="shared" ca="1" si="689"/>
        <v>0</v>
      </c>
      <c r="S1031" s="5">
        <f t="shared" ca="1" si="689"/>
        <v>0</v>
      </c>
      <c r="T1031" s="5">
        <f t="shared" ca="1" si="689"/>
        <v>0</v>
      </c>
      <c r="U1031" s="5">
        <f t="shared" ca="1" si="689"/>
        <v>0</v>
      </c>
      <c r="V1031" s="5">
        <f t="shared" ca="1" si="689"/>
        <v>0</v>
      </c>
      <c r="W1031" s="5">
        <f t="shared" ca="1" si="689"/>
        <v>0</v>
      </c>
      <c r="X1031" s="5">
        <f t="shared" ca="1" si="689"/>
        <v>0</v>
      </c>
      <c r="Y1031" s="5">
        <f t="shared" ca="1" si="689"/>
        <v>0</v>
      </c>
      <c r="Z1031" s="5">
        <f t="shared" ca="1" si="689"/>
        <v>0</v>
      </c>
      <c r="AA1031" s="5">
        <f t="shared" ca="1" si="689"/>
        <v>0</v>
      </c>
      <c r="AB1031" s="5">
        <f t="shared" ca="1" si="689"/>
        <v>0</v>
      </c>
      <c r="AC1031" s="5">
        <f t="shared" ca="1" si="689"/>
        <v>0</v>
      </c>
    </row>
    <row r="1032" spans="1:29">
      <c r="A1032" s="74"/>
      <c r="B1032" s="74" t="s">
        <v>1125</v>
      </c>
      <c r="C1032"/>
      <c r="I1032" s="5">
        <f t="shared" ref="I1032:R1032" si="690">-I606</f>
        <v>0</v>
      </c>
      <c r="J1032" s="75">
        <f t="shared" si="690"/>
        <v>0</v>
      </c>
      <c r="K1032" s="5">
        <f t="shared" si="690"/>
        <v>0</v>
      </c>
      <c r="L1032" s="5">
        <f t="shared" si="690"/>
        <v>0</v>
      </c>
      <c r="M1032" s="5">
        <f t="shared" si="690"/>
        <v>0</v>
      </c>
      <c r="N1032" s="5">
        <f t="shared" si="690"/>
        <v>0</v>
      </c>
      <c r="O1032" s="5">
        <f t="shared" si="690"/>
        <v>0</v>
      </c>
      <c r="P1032" s="5">
        <f t="shared" si="690"/>
        <v>0</v>
      </c>
      <c r="Q1032" s="5">
        <f t="shared" si="690"/>
        <v>0</v>
      </c>
      <c r="R1032" s="5">
        <f t="shared" si="690"/>
        <v>0</v>
      </c>
      <c r="S1032" s="5">
        <f t="shared" ref="S1032:AC1032" si="691">-S606</f>
        <v>0</v>
      </c>
      <c r="T1032" s="5">
        <f t="shared" si="691"/>
        <v>0</v>
      </c>
      <c r="U1032" s="5">
        <f t="shared" si="691"/>
        <v>0</v>
      </c>
      <c r="V1032" s="5">
        <f t="shared" si="691"/>
        <v>0</v>
      </c>
      <c r="W1032" s="5">
        <f t="shared" si="691"/>
        <v>0</v>
      </c>
      <c r="X1032" s="5">
        <f t="shared" si="691"/>
        <v>0</v>
      </c>
      <c r="Y1032" s="5">
        <f t="shared" si="691"/>
        <v>0</v>
      </c>
      <c r="Z1032" s="5">
        <f t="shared" si="691"/>
        <v>0</v>
      </c>
      <c r="AA1032" s="5">
        <f t="shared" si="691"/>
        <v>0</v>
      </c>
      <c r="AB1032" s="5">
        <f t="shared" si="691"/>
        <v>0</v>
      </c>
      <c r="AC1032" s="5">
        <f t="shared" si="691"/>
        <v>0</v>
      </c>
    </row>
    <row r="1033" spans="1:29">
      <c r="A1033" s="74"/>
      <c r="J1033" s="75"/>
    </row>
    <row r="1034" spans="1:29">
      <c r="A1034" s="70" t="s">
        <v>1126</v>
      </c>
      <c r="B1034" s="5" t="str">
        <f t="shared" ref="B1034:B1039" si="692">A451</f>
        <v>Accounts Receivable</v>
      </c>
      <c r="I1034" s="5">
        <f t="shared" ref="I1034:R1034" ca="1" si="693">-I451+H451</f>
        <v>0</v>
      </c>
      <c r="J1034" s="75">
        <f t="shared" ca="1" si="693"/>
        <v>0</v>
      </c>
      <c r="K1034" s="5">
        <f t="shared" ca="1" si="693"/>
        <v>0</v>
      </c>
      <c r="L1034" s="5">
        <f t="shared" ca="1" si="693"/>
        <v>0</v>
      </c>
      <c r="M1034" s="5">
        <f t="shared" ca="1" si="693"/>
        <v>0</v>
      </c>
      <c r="N1034" s="5">
        <f t="shared" ca="1" si="693"/>
        <v>0</v>
      </c>
      <c r="O1034" s="5">
        <f t="shared" ca="1" si="693"/>
        <v>0</v>
      </c>
      <c r="P1034" s="5">
        <f t="shared" ca="1" si="693"/>
        <v>0</v>
      </c>
      <c r="Q1034" s="5">
        <f t="shared" ca="1" si="693"/>
        <v>0</v>
      </c>
      <c r="R1034" s="5">
        <f t="shared" ca="1" si="693"/>
        <v>0</v>
      </c>
      <c r="S1034" s="5">
        <f t="shared" ref="S1034:AC1034" ca="1" si="694">-S451+R451</f>
        <v>0</v>
      </c>
      <c r="T1034" s="5">
        <f t="shared" ca="1" si="694"/>
        <v>0</v>
      </c>
      <c r="U1034" s="5">
        <f t="shared" ca="1" si="694"/>
        <v>0</v>
      </c>
      <c r="V1034" s="5">
        <f t="shared" ca="1" si="694"/>
        <v>0</v>
      </c>
      <c r="W1034" s="5">
        <f t="shared" ca="1" si="694"/>
        <v>0</v>
      </c>
      <c r="X1034" s="5">
        <f t="shared" ca="1" si="694"/>
        <v>0</v>
      </c>
      <c r="Y1034" s="5">
        <f t="shared" ca="1" si="694"/>
        <v>0</v>
      </c>
      <c r="Z1034" s="5">
        <f t="shared" ca="1" si="694"/>
        <v>0</v>
      </c>
      <c r="AA1034" s="5">
        <f t="shared" ca="1" si="694"/>
        <v>0</v>
      </c>
      <c r="AB1034" s="5">
        <f t="shared" ca="1" si="694"/>
        <v>0</v>
      </c>
      <c r="AC1034" s="5">
        <f t="shared" ca="1" si="694"/>
        <v>0</v>
      </c>
    </row>
    <row r="1035" spans="1:29">
      <c r="A1035" s="225" t="s">
        <v>1127</v>
      </c>
      <c r="B1035" s="5" t="str">
        <f t="shared" si="692"/>
        <v>Inventories</v>
      </c>
      <c r="I1035" s="5">
        <f t="shared" ref="I1035:R1035" ca="1" si="695">-I452+H452</f>
        <v>0</v>
      </c>
      <c r="J1035" s="75">
        <f t="shared" ca="1" si="695"/>
        <v>0</v>
      </c>
      <c r="K1035" s="5">
        <f t="shared" ca="1" si="695"/>
        <v>0</v>
      </c>
      <c r="L1035" s="5">
        <f t="shared" ca="1" si="695"/>
        <v>0</v>
      </c>
      <c r="M1035" s="5">
        <f t="shared" ca="1" si="695"/>
        <v>0</v>
      </c>
      <c r="N1035" s="5">
        <f t="shared" ca="1" si="695"/>
        <v>0</v>
      </c>
      <c r="O1035" s="5">
        <f t="shared" ca="1" si="695"/>
        <v>0</v>
      </c>
      <c r="P1035" s="5">
        <f t="shared" ca="1" si="695"/>
        <v>0</v>
      </c>
      <c r="Q1035" s="5">
        <f t="shared" ca="1" si="695"/>
        <v>0</v>
      </c>
      <c r="R1035" s="5">
        <f t="shared" ca="1" si="695"/>
        <v>0</v>
      </c>
      <c r="S1035" s="5">
        <f t="shared" ref="S1035:AC1035" ca="1" si="696">-S452+R452</f>
        <v>0</v>
      </c>
      <c r="T1035" s="5">
        <f t="shared" ca="1" si="696"/>
        <v>0</v>
      </c>
      <c r="U1035" s="5">
        <f t="shared" ca="1" si="696"/>
        <v>0</v>
      </c>
      <c r="V1035" s="5">
        <f t="shared" ca="1" si="696"/>
        <v>0</v>
      </c>
      <c r="W1035" s="5">
        <f t="shared" ca="1" si="696"/>
        <v>0</v>
      </c>
      <c r="X1035" s="5">
        <f t="shared" ca="1" si="696"/>
        <v>0</v>
      </c>
      <c r="Y1035" s="5">
        <f t="shared" ca="1" si="696"/>
        <v>0</v>
      </c>
      <c r="Z1035" s="5">
        <f t="shared" ca="1" si="696"/>
        <v>0</v>
      </c>
      <c r="AA1035" s="5">
        <f t="shared" ca="1" si="696"/>
        <v>0</v>
      </c>
      <c r="AB1035" s="5">
        <f t="shared" ca="1" si="696"/>
        <v>0</v>
      </c>
      <c r="AC1035" s="5">
        <f t="shared" ca="1" si="696"/>
        <v>0</v>
      </c>
    </row>
    <row r="1036" spans="1:29">
      <c r="A1036" s="70" t="s">
        <v>1128</v>
      </c>
      <c r="B1036" s="5" t="str">
        <f t="shared" si="692"/>
        <v>Other Current Assets</v>
      </c>
      <c r="I1036" s="5">
        <f t="shared" ref="I1036:R1036" si="697">-I453+H453</f>
        <v>0</v>
      </c>
      <c r="J1036" s="75">
        <f t="shared" si="697"/>
        <v>0</v>
      </c>
      <c r="K1036" s="5">
        <f t="shared" si="697"/>
        <v>0</v>
      </c>
      <c r="L1036" s="5">
        <f t="shared" si="697"/>
        <v>0</v>
      </c>
      <c r="M1036" s="5">
        <f t="shared" si="697"/>
        <v>0</v>
      </c>
      <c r="N1036" s="5">
        <f t="shared" si="697"/>
        <v>0</v>
      </c>
      <c r="O1036" s="5">
        <f t="shared" si="697"/>
        <v>0</v>
      </c>
      <c r="P1036" s="5">
        <f t="shared" si="697"/>
        <v>0</v>
      </c>
      <c r="Q1036" s="5">
        <f t="shared" si="697"/>
        <v>0</v>
      </c>
      <c r="R1036" s="5">
        <f t="shared" si="697"/>
        <v>0</v>
      </c>
      <c r="S1036" s="5">
        <f t="shared" ref="S1036:AC1036" si="698">-S453+R453</f>
        <v>0</v>
      </c>
      <c r="T1036" s="5">
        <f t="shared" si="698"/>
        <v>0</v>
      </c>
      <c r="U1036" s="5">
        <f t="shared" si="698"/>
        <v>0</v>
      </c>
      <c r="V1036" s="5">
        <f t="shared" si="698"/>
        <v>0</v>
      </c>
      <c r="W1036" s="5">
        <f t="shared" si="698"/>
        <v>0</v>
      </c>
      <c r="X1036" s="5">
        <f t="shared" si="698"/>
        <v>0</v>
      </c>
      <c r="Y1036" s="5">
        <f t="shared" si="698"/>
        <v>0</v>
      </c>
      <c r="Z1036" s="5">
        <f t="shared" si="698"/>
        <v>0</v>
      </c>
      <c r="AA1036" s="5">
        <f t="shared" si="698"/>
        <v>0</v>
      </c>
      <c r="AB1036" s="5">
        <f t="shared" si="698"/>
        <v>0</v>
      </c>
      <c r="AC1036" s="5">
        <f t="shared" si="698"/>
        <v>0</v>
      </c>
    </row>
    <row r="1037" spans="1:29">
      <c r="A1037" s="74"/>
      <c r="B1037" s="5" t="str">
        <f t="shared" si="692"/>
        <v>Accounts Payable</v>
      </c>
      <c r="I1037" s="5">
        <f t="shared" ref="I1037:R1037" ca="1" si="699">I454-H454</f>
        <v>0</v>
      </c>
      <c r="J1037" s="75">
        <f t="shared" ca="1" si="699"/>
        <v>0</v>
      </c>
      <c r="K1037" s="5">
        <f t="shared" ca="1" si="699"/>
        <v>0</v>
      </c>
      <c r="L1037" s="5">
        <f t="shared" ca="1" si="699"/>
        <v>0</v>
      </c>
      <c r="M1037" s="5">
        <f t="shared" ca="1" si="699"/>
        <v>0</v>
      </c>
      <c r="N1037" s="5">
        <f t="shared" ca="1" si="699"/>
        <v>0</v>
      </c>
      <c r="O1037" s="5">
        <f t="shared" ca="1" si="699"/>
        <v>0</v>
      </c>
      <c r="P1037" s="5">
        <f t="shared" ca="1" si="699"/>
        <v>0</v>
      </c>
      <c r="Q1037" s="5">
        <f t="shared" ca="1" si="699"/>
        <v>0</v>
      </c>
      <c r="R1037" s="5">
        <f t="shared" ca="1" si="699"/>
        <v>0</v>
      </c>
      <c r="S1037" s="5">
        <f t="shared" ref="S1037:AC1037" ca="1" si="700">S454-R454</f>
        <v>0</v>
      </c>
      <c r="T1037" s="5">
        <f t="shared" ca="1" si="700"/>
        <v>0</v>
      </c>
      <c r="U1037" s="5">
        <f t="shared" ca="1" si="700"/>
        <v>0</v>
      </c>
      <c r="V1037" s="5">
        <f t="shared" ca="1" si="700"/>
        <v>0</v>
      </c>
      <c r="W1037" s="5">
        <f t="shared" ca="1" si="700"/>
        <v>0</v>
      </c>
      <c r="X1037" s="5">
        <f t="shared" ca="1" si="700"/>
        <v>0</v>
      </c>
      <c r="Y1037" s="5">
        <f t="shared" ca="1" si="700"/>
        <v>0</v>
      </c>
      <c r="Z1037" s="5">
        <f t="shared" ca="1" si="700"/>
        <v>0</v>
      </c>
      <c r="AA1037" s="5">
        <f t="shared" ca="1" si="700"/>
        <v>0</v>
      </c>
      <c r="AB1037" s="5">
        <f t="shared" ca="1" si="700"/>
        <v>0</v>
      </c>
      <c r="AC1037" s="5">
        <f t="shared" ca="1" si="700"/>
        <v>0</v>
      </c>
    </row>
    <row r="1038" spans="1:29">
      <c r="A1038" s="74"/>
      <c r="B1038" s="5" t="str">
        <f t="shared" si="692"/>
        <v>Accrued Liabilities</v>
      </c>
      <c r="I1038" s="5">
        <f t="shared" ref="I1038:R1038" ca="1" si="701">I455-H455</f>
        <v>0</v>
      </c>
      <c r="J1038" s="75">
        <f t="shared" ca="1" si="701"/>
        <v>0</v>
      </c>
      <c r="K1038" s="5">
        <f t="shared" ca="1" si="701"/>
        <v>0</v>
      </c>
      <c r="L1038" s="5">
        <f t="shared" ca="1" si="701"/>
        <v>0</v>
      </c>
      <c r="M1038" s="5">
        <f t="shared" ca="1" si="701"/>
        <v>0</v>
      </c>
      <c r="N1038" s="5">
        <f t="shared" ca="1" si="701"/>
        <v>0</v>
      </c>
      <c r="O1038" s="5">
        <f t="shared" ca="1" si="701"/>
        <v>0</v>
      </c>
      <c r="P1038" s="5">
        <f t="shared" ca="1" si="701"/>
        <v>0</v>
      </c>
      <c r="Q1038" s="5">
        <f t="shared" ca="1" si="701"/>
        <v>0</v>
      </c>
      <c r="R1038" s="5">
        <f t="shared" ca="1" si="701"/>
        <v>0</v>
      </c>
      <c r="S1038" s="5">
        <f t="shared" ref="S1038:AC1038" ca="1" si="702">S455-R455</f>
        <v>0</v>
      </c>
      <c r="T1038" s="5">
        <f t="shared" ca="1" si="702"/>
        <v>0</v>
      </c>
      <c r="U1038" s="5">
        <f t="shared" ca="1" si="702"/>
        <v>0</v>
      </c>
      <c r="V1038" s="5">
        <f t="shared" ca="1" si="702"/>
        <v>0</v>
      </c>
      <c r="W1038" s="5">
        <f t="shared" ca="1" si="702"/>
        <v>0</v>
      </c>
      <c r="X1038" s="5">
        <f t="shared" ca="1" si="702"/>
        <v>0</v>
      </c>
      <c r="Y1038" s="5">
        <f t="shared" ca="1" si="702"/>
        <v>0</v>
      </c>
      <c r="Z1038" s="5">
        <f t="shared" ca="1" si="702"/>
        <v>0</v>
      </c>
      <c r="AA1038" s="5">
        <f t="shared" ca="1" si="702"/>
        <v>0</v>
      </c>
      <c r="AB1038" s="5">
        <f t="shared" ca="1" si="702"/>
        <v>0</v>
      </c>
      <c r="AC1038" s="5">
        <f t="shared" ca="1" si="702"/>
        <v>0</v>
      </c>
    </row>
    <row r="1039" spans="1:29">
      <c r="A1039" s="74"/>
      <c r="B1039" s="5" t="str">
        <f t="shared" si="692"/>
        <v>Other Payables</v>
      </c>
      <c r="I1039" s="5">
        <f t="shared" ref="I1039:R1039" si="703">I456-H456</f>
        <v>0</v>
      </c>
      <c r="J1039" s="75">
        <f t="shared" si="703"/>
        <v>0</v>
      </c>
      <c r="K1039" s="5">
        <f t="shared" si="703"/>
        <v>0</v>
      </c>
      <c r="L1039" s="5">
        <f t="shared" si="703"/>
        <v>0</v>
      </c>
      <c r="M1039" s="5">
        <f t="shared" si="703"/>
        <v>0</v>
      </c>
      <c r="N1039" s="5">
        <f t="shared" si="703"/>
        <v>0</v>
      </c>
      <c r="O1039" s="5">
        <f t="shared" si="703"/>
        <v>0</v>
      </c>
      <c r="P1039" s="5">
        <f t="shared" si="703"/>
        <v>0</v>
      </c>
      <c r="Q1039" s="5">
        <f t="shared" si="703"/>
        <v>0</v>
      </c>
      <c r="R1039" s="5">
        <f t="shared" si="703"/>
        <v>0</v>
      </c>
      <c r="S1039" s="5">
        <f t="shared" ref="S1039:AC1039" si="704">S456-R456</f>
        <v>0</v>
      </c>
      <c r="T1039" s="5">
        <f t="shared" si="704"/>
        <v>0</v>
      </c>
      <c r="U1039" s="5">
        <f t="shared" si="704"/>
        <v>0</v>
      </c>
      <c r="V1039" s="5">
        <f t="shared" si="704"/>
        <v>0</v>
      </c>
      <c r="W1039" s="5">
        <f t="shared" si="704"/>
        <v>0</v>
      </c>
      <c r="X1039" s="5">
        <f t="shared" si="704"/>
        <v>0</v>
      </c>
      <c r="Y1039" s="5">
        <f t="shared" si="704"/>
        <v>0</v>
      </c>
      <c r="Z1039" s="5">
        <f t="shared" si="704"/>
        <v>0</v>
      </c>
      <c r="AA1039" s="5">
        <f t="shared" si="704"/>
        <v>0</v>
      </c>
      <c r="AB1039" s="5">
        <f t="shared" si="704"/>
        <v>0</v>
      </c>
      <c r="AC1039" s="5">
        <f t="shared" si="704"/>
        <v>0</v>
      </c>
    </row>
    <row r="1040" spans="1:29">
      <c r="A1040" s="224" t="str">
        <f>A1024</f>
        <v>Cash Flow From Operating Activities:</v>
      </c>
      <c r="I1040" s="50">
        <f t="shared" ref="I1040:R1040" ca="1" si="705">SUM(I1025:I1039)</f>
        <v>-504.85591119790752</v>
      </c>
      <c r="J1040" s="286">
        <f t="shared" ca="1" si="705"/>
        <v>6242.9363945444502</v>
      </c>
      <c r="K1040" s="50">
        <f t="shared" ca="1" si="705"/>
        <v>4451.7369283973248</v>
      </c>
      <c r="L1040" s="50">
        <f t="shared" ca="1" si="705"/>
        <v>4038.1080743725247</v>
      </c>
      <c r="M1040" s="50">
        <f t="shared" ca="1" si="705"/>
        <v>3950.9631886494744</v>
      </c>
      <c r="N1040" s="50">
        <f t="shared" ca="1" si="705"/>
        <v>3759.0530256385973</v>
      </c>
      <c r="O1040" s="50">
        <f t="shared" ca="1" si="705"/>
        <v>3493.966663217082</v>
      </c>
      <c r="P1040" s="50">
        <f t="shared" ca="1" si="705"/>
        <v>3255.5598421884301</v>
      </c>
      <c r="Q1040" s="50">
        <f t="shared" ca="1" si="705"/>
        <v>3107.4337890596057</v>
      </c>
      <c r="R1040" s="50">
        <f t="shared" ca="1" si="705"/>
        <v>2973.5588756482061</v>
      </c>
      <c r="S1040" s="50">
        <f t="shared" ref="S1040:AC1040" ca="1" si="706">SUM(S1025:S1039)</f>
        <v>2401.0365292844181</v>
      </c>
      <c r="T1040" s="50">
        <f t="shared" ca="1" si="706"/>
        <v>2320.6052670895951</v>
      </c>
      <c r="U1040" s="50">
        <f t="shared" ca="1" si="706"/>
        <v>2263.7801302088938</v>
      </c>
      <c r="V1040" s="50">
        <f t="shared" ca="1" si="706"/>
        <v>2208.3773065102155</v>
      </c>
      <c r="W1040" s="50">
        <f t="shared" ca="1" si="706"/>
        <v>2183.0922930344996</v>
      </c>
      <c r="X1040" s="50">
        <f t="shared" ca="1" si="706"/>
        <v>2153.7369944628117</v>
      </c>
      <c r="Y1040" s="50">
        <f t="shared" ca="1" si="706"/>
        <v>2133.3094605303454</v>
      </c>
      <c r="Z1040" s="50">
        <f t="shared" ca="1" si="706"/>
        <v>2092.9666798577464</v>
      </c>
      <c r="AA1040" s="50">
        <f t="shared" ca="1" si="706"/>
        <v>2086.6963226260082</v>
      </c>
      <c r="AB1040" s="50">
        <f t="shared" ca="1" si="706"/>
        <v>2096.2819169234576</v>
      </c>
      <c r="AC1040" s="50">
        <f t="shared" ca="1" si="706"/>
        <v>2133.2882504072836</v>
      </c>
    </row>
    <row r="1041" spans="1:29">
      <c r="A1041" s="74"/>
      <c r="J1041" s="75"/>
    </row>
    <row r="1042" spans="1:29">
      <c r="A1042" s="74"/>
      <c r="J1042" s="75"/>
    </row>
    <row r="1043" spans="1:29">
      <c r="A1043" s="224" t="s">
        <v>1129</v>
      </c>
      <c r="J1043" s="75"/>
    </row>
    <row r="1044" spans="1:29">
      <c r="B1044" s="5" t="str">
        <f>A124</f>
        <v>Net Proceeds from Sale of Assets</v>
      </c>
      <c r="I1044" s="5">
        <f t="shared" ref="I1044:AC1044" si="707">I124</f>
        <v>0</v>
      </c>
      <c r="J1044" s="75">
        <f t="shared" si="707"/>
        <v>0</v>
      </c>
      <c r="K1044" s="5">
        <f t="shared" si="707"/>
        <v>0</v>
      </c>
      <c r="L1044" s="5">
        <f t="shared" si="707"/>
        <v>0</v>
      </c>
      <c r="M1044" s="5">
        <f t="shared" si="707"/>
        <v>0</v>
      </c>
      <c r="N1044" s="5">
        <f t="shared" si="707"/>
        <v>0</v>
      </c>
      <c r="O1044" s="5">
        <f t="shared" si="707"/>
        <v>0</v>
      </c>
      <c r="P1044" s="5">
        <f t="shared" si="707"/>
        <v>0</v>
      </c>
      <c r="Q1044" s="5">
        <f t="shared" si="707"/>
        <v>0</v>
      </c>
      <c r="R1044" s="5">
        <f t="shared" si="707"/>
        <v>0</v>
      </c>
      <c r="S1044" s="5">
        <f t="shared" si="707"/>
        <v>0</v>
      </c>
      <c r="T1044" s="5">
        <f t="shared" si="707"/>
        <v>0</v>
      </c>
      <c r="U1044" s="5">
        <f t="shared" si="707"/>
        <v>0</v>
      </c>
      <c r="V1044" s="5">
        <f t="shared" si="707"/>
        <v>0</v>
      </c>
      <c r="W1044" s="5">
        <f t="shared" si="707"/>
        <v>0</v>
      </c>
      <c r="X1044" s="5">
        <f t="shared" si="707"/>
        <v>0</v>
      </c>
      <c r="Y1044" s="5">
        <f t="shared" si="707"/>
        <v>0</v>
      </c>
      <c r="Z1044" s="5">
        <f t="shared" si="707"/>
        <v>0</v>
      </c>
      <c r="AA1044" s="5">
        <f t="shared" si="707"/>
        <v>0</v>
      </c>
      <c r="AB1044" s="5">
        <f t="shared" si="707"/>
        <v>0</v>
      </c>
      <c r="AC1044" s="5">
        <f t="shared" si="707"/>
        <v>0</v>
      </c>
    </row>
    <row r="1045" spans="1:29">
      <c r="B1045" s="5" t="str">
        <f>A128</f>
        <v>Total Capital Expenditures</v>
      </c>
      <c r="I1045" s="5">
        <f t="shared" ref="I1045:R1045" si="708">-I128</f>
        <v>0</v>
      </c>
      <c r="J1045" s="75">
        <f t="shared" si="708"/>
        <v>0</v>
      </c>
      <c r="K1045" s="5">
        <f t="shared" si="708"/>
        <v>0</v>
      </c>
      <c r="L1045" s="5">
        <f t="shared" si="708"/>
        <v>0</v>
      </c>
      <c r="M1045" s="5">
        <f t="shared" si="708"/>
        <v>0</v>
      </c>
      <c r="N1045" s="5">
        <f t="shared" si="708"/>
        <v>0</v>
      </c>
      <c r="O1045" s="5">
        <f t="shared" si="708"/>
        <v>-25.811</v>
      </c>
      <c r="P1045" s="5">
        <f t="shared" si="708"/>
        <v>-5.5119999999999996</v>
      </c>
      <c r="Q1045" s="5">
        <f t="shared" si="708"/>
        <v>-16.2</v>
      </c>
      <c r="R1045" s="5">
        <f t="shared" si="708"/>
        <v>0</v>
      </c>
      <c r="S1045" s="5">
        <f t="shared" ref="S1045:AC1045" si="709">-S128</f>
        <v>0</v>
      </c>
      <c r="T1045" s="5">
        <f t="shared" si="709"/>
        <v>0</v>
      </c>
      <c r="U1045" s="5">
        <f t="shared" si="709"/>
        <v>0</v>
      </c>
      <c r="V1045" s="5">
        <f t="shared" si="709"/>
        <v>0</v>
      </c>
      <c r="W1045" s="5">
        <f t="shared" si="709"/>
        <v>0</v>
      </c>
      <c r="X1045" s="5">
        <f t="shared" si="709"/>
        <v>0</v>
      </c>
      <c r="Y1045" s="5">
        <f t="shared" si="709"/>
        <v>0</v>
      </c>
      <c r="Z1045" s="5">
        <f t="shared" si="709"/>
        <v>0</v>
      </c>
      <c r="AA1045" s="5">
        <f t="shared" si="709"/>
        <v>0</v>
      </c>
      <c r="AB1045" s="5">
        <f t="shared" si="709"/>
        <v>0</v>
      </c>
      <c r="AC1045" s="5">
        <f t="shared" si="709"/>
        <v>0</v>
      </c>
    </row>
    <row r="1046" spans="1:29">
      <c r="B1046" s="5" t="str">
        <f>A123</f>
        <v>Increase/(Decrease) in Other Liabilities</v>
      </c>
      <c r="I1046" s="5">
        <f t="shared" ref="I1046:AC1046" si="710">I123</f>
        <v>0</v>
      </c>
      <c r="J1046" s="75">
        <f t="shared" si="710"/>
        <v>0</v>
      </c>
      <c r="K1046" s="5">
        <f t="shared" si="710"/>
        <v>0</v>
      </c>
      <c r="L1046" s="5">
        <f t="shared" si="710"/>
        <v>0</v>
      </c>
      <c r="M1046" s="5">
        <f t="shared" si="710"/>
        <v>0</v>
      </c>
      <c r="N1046" s="5">
        <f t="shared" si="710"/>
        <v>0</v>
      </c>
      <c r="O1046" s="5">
        <f t="shared" si="710"/>
        <v>0</v>
      </c>
      <c r="P1046" s="5">
        <f t="shared" si="710"/>
        <v>0</v>
      </c>
      <c r="Q1046" s="5">
        <f t="shared" si="710"/>
        <v>0</v>
      </c>
      <c r="R1046" s="5">
        <f t="shared" si="710"/>
        <v>0</v>
      </c>
      <c r="S1046" s="5">
        <f t="shared" si="710"/>
        <v>0</v>
      </c>
      <c r="T1046" s="5">
        <f t="shared" si="710"/>
        <v>0</v>
      </c>
      <c r="U1046" s="5">
        <f t="shared" si="710"/>
        <v>0</v>
      </c>
      <c r="V1046" s="5">
        <f t="shared" si="710"/>
        <v>0</v>
      </c>
      <c r="W1046" s="5">
        <f t="shared" si="710"/>
        <v>0</v>
      </c>
      <c r="X1046" s="5">
        <f t="shared" si="710"/>
        <v>0</v>
      </c>
      <c r="Y1046" s="5">
        <f t="shared" si="710"/>
        <v>0</v>
      </c>
      <c r="Z1046" s="5">
        <f t="shared" si="710"/>
        <v>0</v>
      </c>
      <c r="AA1046" s="5">
        <f t="shared" si="710"/>
        <v>0</v>
      </c>
      <c r="AB1046" s="5">
        <f t="shared" si="710"/>
        <v>0</v>
      </c>
      <c r="AC1046" s="5">
        <f t="shared" si="710"/>
        <v>0</v>
      </c>
    </row>
    <row r="1047" spans="1:29">
      <c r="B1047" s="5" t="str">
        <f>A131</f>
        <v>Increase/(Decrease) in Other Assets</v>
      </c>
      <c r="I1047" s="5">
        <f t="shared" ref="I1047:R1047" si="711">-I131</f>
        <v>0</v>
      </c>
      <c r="J1047" s="75">
        <f t="shared" si="711"/>
        <v>0</v>
      </c>
      <c r="K1047" s="5">
        <f t="shared" si="711"/>
        <v>0</v>
      </c>
      <c r="L1047" s="5">
        <f t="shared" si="711"/>
        <v>0</v>
      </c>
      <c r="M1047" s="5">
        <f t="shared" si="711"/>
        <v>0</v>
      </c>
      <c r="N1047" s="5">
        <f t="shared" si="711"/>
        <v>0</v>
      </c>
      <c r="O1047" s="5">
        <f t="shared" si="711"/>
        <v>0</v>
      </c>
      <c r="P1047" s="5">
        <f t="shared" si="711"/>
        <v>0</v>
      </c>
      <c r="Q1047" s="5">
        <f t="shared" si="711"/>
        <v>0</v>
      </c>
      <c r="R1047" s="5">
        <f t="shared" si="711"/>
        <v>0</v>
      </c>
      <c r="S1047" s="5">
        <f t="shared" ref="S1047:AC1047" si="712">-S131</f>
        <v>0</v>
      </c>
      <c r="T1047" s="5">
        <f t="shared" si="712"/>
        <v>0</v>
      </c>
      <c r="U1047" s="5">
        <f t="shared" si="712"/>
        <v>0</v>
      </c>
      <c r="V1047" s="5">
        <f t="shared" si="712"/>
        <v>0</v>
      </c>
      <c r="W1047" s="5">
        <f t="shared" si="712"/>
        <v>0</v>
      </c>
      <c r="X1047" s="5">
        <f t="shared" si="712"/>
        <v>0</v>
      </c>
      <c r="Y1047" s="5">
        <f t="shared" si="712"/>
        <v>0</v>
      </c>
      <c r="Z1047" s="5">
        <f t="shared" si="712"/>
        <v>0</v>
      </c>
      <c r="AA1047" s="5">
        <f t="shared" si="712"/>
        <v>0</v>
      </c>
      <c r="AB1047" s="5">
        <f t="shared" si="712"/>
        <v>0</v>
      </c>
      <c r="AC1047" s="5">
        <f t="shared" si="712"/>
        <v>0</v>
      </c>
    </row>
    <row r="1048" spans="1:29">
      <c r="A1048" s="226" t="str">
        <f>A1043</f>
        <v>Cash Flow From Investing Activities:</v>
      </c>
      <c r="I1048" s="50">
        <f t="shared" ref="I1048:R1048" si="713">SUM(I1044:I1047)</f>
        <v>0</v>
      </c>
      <c r="J1048" s="286">
        <f t="shared" si="713"/>
        <v>0</v>
      </c>
      <c r="K1048" s="50">
        <f t="shared" si="713"/>
        <v>0</v>
      </c>
      <c r="L1048" s="50">
        <f t="shared" si="713"/>
        <v>0</v>
      </c>
      <c r="M1048" s="50">
        <f t="shared" si="713"/>
        <v>0</v>
      </c>
      <c r="N1048" s="50">
        <f t="shared" si="713"/>
        <v>0</v>
      </c>
      <c r="O1048" s="50">
        <f t="shared" si="713"/>
        <v>-25.811</v>
      </c>
      <c r="P1048" s="50">
        <f t="shared" si="713"/>
        <v>-5.5119999999999996</v>
      </c>
      <c r="Q1048" s="50">
        <f t="shared" si="713"/>
        <v>-16.2</v>
      </c>
      <c r="R1048" s="50">
        <f t="shared" si="713"/>
        <v>0</v>
      </c>
      <c r="S1048" s="50">
        <f t="shared" ref="S1048:AC1048" si="714">SUM(S1044:S1047)</f>
        <v>0</v>
      </c>
      <c r="T1048" s="50">
        <f t="shared" si="714"/>
        <v>0</v>
      </c>
      <c r="U1048" s="50">
        <f t="shared" si="714"/>
        <v>0</v>
      </c>
      <c r="V1048" s="50">
        <f t="shared" si="714"/>
        <v>0</v>
      </c>
      <c r="W1048" s="50">
        <f t="shared" si="714"/>
        <v>0</v>
      </c>
      <c r="X1048" s="50">
        <f t="shared" si="714"/>
        <v>0</v>
      </c>
      <c r="Y1048" s="50">
        <f t="shared" si="714"/>
        <v>0</v>
      </c>
      <c r="Z1048" s="50">
        <f t="shared" si="714"/>
        <v>0</v>
      </c>
      <c r="AA1048" s="50">
        <f t="shared" si="714"/>
        <v>0</v>
      </c>
      <c r="AB1048" s="50">
        <f t="shared" si="714"/>
        <v>0</v>
      </c>
      <c r="AC1048" s="50">
        <f t="shared" si="714"/>
        <v>0</v>
      </c>
    </row>
    <row r="1049" spans="1:29">
      <c r="J1049" s="75"/>
    </row>
    <row r="1050" spans="1:29">
      <c r="A1050" s="224" t="s">
        <v>1130</v>
      </c>
      <c r="J1050" s="75"/>
    </row>
    <row r="1051" spans="1:29">
      <c r="B1051" s="74" t="s">
        <v>1131</v>
      </c>
      <c r="I1051" s="5">
        <f t="shared" ref="I1051:R1051" ca="1" si="715">-I139</f>
        <v>0</v>
      </c>
      <c r="J1051" s="75">
        <f t="shared" ca="1" si="715"/>
        <v>0</v>
      </c>
      <c r="K1051" s="5">
        <f t="shared" ca="1" si="715"/>
        <v>0</v>
      </c>
      <c r="L1051" s="5">
        <f t="shared" ca="1" si="715"/>
        <v>0</v>
      </c>
      <c r="M1051" s="5">
        <f t="shared" ca="1" si="715"/>
        <v>0</v>
      </c>
      <c r="N1051" s="5">
        <f t="shared" ca="1" si="715"/>
        <v>0</v>
      </c>
      <c r="O1051" s="5">
        <f t="shared" ca="1" si="715"/>
        <v>0</v>
      </c>
      <c r="P1051" s="5">
        <f t="shared" ca="1" si="715"/>
        <v>0</v>
      </c>
      <c r="Q1051" s="5">
        <f t="shared" ca="1" si="715"/>
        <v>0</v>
      </c>
      <c r="R1051" s="5">
        <f t="shared" ca="1" si="715"/>
        <v>0</v>
      </c>
      <c r="S1051" s="5">
        <f t="shared" ref="S1051:AC1051" ca="1" si="716">-S139</f>
        <v>0</v>
      </c>
      <c r="T1051" s="5">
        <f t="shared" ca="1" si="716"/>
        <v>0</v>
      </c>
      <c r="U1051" s="5">
        <f t="shared" ca="1" si="716"/>
        <v>0</v>
      </c>
      <c r="V1051" s="5">
        <f t="shared" ca="1" si="716"/>
        <v>0</v>
      </c>
      <c r="W1051" s="5">
        <f t="shared" ca="1" si="716"/>
        <v>0</v>
      </c>
      <c r="X1051" s="5">
        <f t="shared" ca="1" si="716"/>
        <v>0</v>
      </c>
      <c r="Y1051" s="5">
        <f t="shared" ca="1" si="716"/>
        <v>0</v>
      </c>
      <c r="Z1051" s="5">
        <f t="shared" ca="1" si="716"/>
        <v>0</v>
      </c>
      <c r="AA1051" s="5">
        <f t="shared" ca="1" si="716"/>
        <v>0</v>
      </c>
      <c r="AB1051" s="5">
        <f t="shared" ca="1" si="716"/>
        <v>0</v>
      </c>
      <c r="AC1051" s="5">
        <f t="shared" ca="1" si="716"/>
        <v>0</v>
      </c>
    </row>
    <row r="1052" spans="1:29">
      <c r="B1052" s="74" t="s">
        <v>1132</v>
      </c>
      <c r="I1052" s="5">
        <f t="shared" ref="I1052:R1052" ca="1" si="717">-SUM(I133:I138)</f>
        <v>0</v>
      </c>
      <c r="J1052" s="75">
        <f t="shared" ca="1" si="717"/>
        <v>0</v>
      </c>
      <c r="K1052" s="5">
        <f t="shared" ca="1" si="717"/>
        <v>0</v>
      </c>
      <c r="L1052" s="5">
        <f t="shared" ca="1" si="717"/>
        <v>0</v>
      </c>
      <c r="M1052" s="5">
        <f t="shared" ca="1" si="717"/>
        <v>0</v>
      </c>
      <c r="N1052" s="5">
        <f t="shared" ca="1" si="717"/>
        <v>0</v>
      </c>
      <c r="O1052" s="5">
        <f t="shared" ca="1" si="717"/>
        <v>0</v>
      </c>
      <c r="P1052" s="5">
        <f t="shared" ca="1" si="717"/>
        <v>0</v>
      </c>
      <c r="Q1052" s="5">
        <f t="shared" ca="1" si="717"/>
        <v>0</v>
      </c>
      <c r="R1052" s="5">
        <f t="shared" ca="1" si="717"/>
        <v>0</v>
      </c>
      <c r="S1052" s="5">
        <f t="shared" ref="S1052:AC1052" ca="1" si="718">-SUM(S133:S138)</f>
        <v>0</v>
      </c>
      <c r="T1052" s="5">
        <f t="shared" ca="1" si="718"/>
        <v>0</v>
      </c>
      <c r="U1052" s="5">
        <f t="shared" ca="1" si="718"/>
        <v>0</v>
      </c>
      <c r="V1052" s="5">
        <f t="shared" ca="1" si="718"/>
        <v>0</v>
      </c>
      <c r="W1052" s="5">
        <f t="shared" ca="1" si="718"/>
        <v>0</v>
      </c>
      <c r="X1052" s="5">
        <f t="shared" ca="1" si="718"/>
        <v>0</v>
      </c>
      <c r="Y1052" s="5">
        <f t="shared" ca="1" si="718"/>
        <v>0</v>
      </c>
      <c r="Z1052" s="5">
        <f t="shared" ca="1" si="718"/>
        <v>0</v>
      </c>
      <c r="AA1052" s="5">
        <f t="shared" ca="1" si="718"/>
        <v>0</v>
      </c>
      <c r="AB1052" s="5">
        <f t="shared" ca="1" si="718"/>
        <v>0</v>
      </c>
      <c r="AC1052" s="5">
        <f t="shared" ca="1" si="718"/>
        <v>0</v>
      </c>
    </row>
    <row r="1053" spans="1:29">
      <c r="B1053" s="74" t="s">
        <v>1133</v>
      </c>
      <c r="I1053" s="5">
        <f t="shared" ref="I1053:R1053" si="719">SUM(I145:I153)</f>
        <v>0</v>
      </c>
      <c r="J1053" s="75">
        <f t="shared" si="719"/>
        <v>0</v>
      </c>
      <c r="K1053" s="5">
        <f t="shared" si="719"/>
        <v>0</v>
      </c>
      <c r="L1053" s="5">
        <f t="shared" si="719"/>
        <v>0</v>
      </c>
      <c r="M1053" s="5">
        <f t="shared" si="719"/>
        <v>0</v>
      </c>
      <c r="N1053" s="5">
        <f t="shared" si="719"/>
        <v>0</v>
      </c>
      <c r="O1053" s="5">
        <f t="shared" si="719"/>
        <v>0</v>
      </c>
      <c r="P1053" s="5">
        <f t="shared" si="719"/>
        <v>0</v>
      </c>
      <c r="Q1053" s="5">
        <f t="shared" si="719"/>
        <v>0</v>
      </c>
      <c r="R1053" s="5">
        <f t="shared" si="719"/>
        <v>0</v>
      </c>
      <c r="S1053" s="5">
        <f t="shared" ref="S1053:AC1053" si="720">SUM(S145:S153)</f>
        <v>0</v>
      </c>
      <c r="T1053" s="5">
        <f t="shared" si="720"/>
        <v>0</v>
      </c>
      <c r="U1053" s="5">
        <f t="shared" si="720"/>
        <v>0</v>
      </c>
      <c r="V1053" s="5">
        <f t="shared" si="720"/>
        <v>0</v>
      </c>
      <c r="W1053" s="5">
        <f t="shared" si="720"/>
        <v>0</v>
      </c>
      <c r="X1053" s="5">
        <f t="shared" si="720"/>
        <v>0</v>
      </c>
      <c r="Y1053" s="5">
        <f t="shared" si="720"/>
        <v>0</v>
      </c>
      <c r="Z1053" s="5">
        <f t="shared" si="720"/>
        <v>0</v>
      </c>
      <c r="AA1053" s="5">
        <f t="shared" si="720"/>
        <v>0</v>
      </c>
      <c r="AB1053" s="5">
        <f t="shared" si="720"/>
        <v>0</v>
      </c>
      <c r="AC1053" s="5">
        <f t="shared" si="720"/>
        <v>0</v>
      </c>
    </row>
    <row r="1054" spans="1:29">
      <c r="B1054" s="74" t="s">
        <v>1134</v>
      </c>
      <c r="I1054" s="5">
        <f t="shared" ref="I1054:AC1054" ca="1" si="721">I156</f>
        <v>504.85591119790752</v>
      </c>
      <c r="J1054" s="75">
        <f t="shared" ca="1" si="721"/>
        <v>0</v>
      </c>
      <c r="K1054" s="5">
        <f t="shared" ca="1" si="721"/>
        <v>0</v>
      </c>
      <c r="L1054" s="5">
        <f t="shared" ca="1" si="721"/>
        <v>0</v>
      </c>
      <c r="M1054" s="5">
        <f t="shared" ca="1" si="721"/>
        <v>0</v>
      </c>
      <c r="N1054" s="5">
        <f t="shared" ca="1" si="721"/>
        <v>0</v>
      </c>
      <c r="O1054" s="5">
        <f t="shared" ca="1" si="721"/>
        <v>0</v>
      </c>
      <c r="P1054" s="5">
        <f t="shared" ca="1" si="721"/>
        <v>0</v>
      </c>
      <c r="Q1054" s="5">
        <f t="shared" ca="1" si="721"/>
        <v>0</v>
      </c>
      <c r="R1054" s="5">
        <f t="shared" ca="1" si="721"/>
        <v>0</v>
      </c>
      <c r="S1054" s="5">
        <f t="shared" ca="1" si="721"/>
        <v>0</v>
      </c>
      <c r="T1054" s="5">
        <f t="shared" ca="1" si="721"/>
        <v>0</v>
      </c>
      <c r="U1054" s="5">
        <f t="shared" ca="1" si="721"/>
        <v>0</v>
      </c>
      <c r="V1054" s="5">
        <f t="shared" ca="1" si="721"/>
        <v>0</v>
      </c>
      <c r="W1054" s="5">
        <f t="shared" ca="1" si="721"/>
        <v>0</v>
      </c>
      <c r="X1054" s="5">
        <f t="shared" ca="1" si="721"/>
        <v>0</v>
      </c>
      <c r="Y1054" s="5">
        <f t="shared" ca="1" si="721"/>
        <v>0</v>
      </c>
      <c r="Z1054" s="5">
        <f t="shared" ca="1" si="721"/>
        <v>0</v>
      </c>
      <c r="AA1054" s="5">
        <f t="shared" ca="1" si="721"/>
        <v>0</v>
      </c>
      <c r="AB1054" s="5">
        <f t="shared" ca="1" si="721"/>
        <v>0</v>
      </c>
      <c r="AC1054" s="5">
        <f t="shared" ca="1" si="721"/>
        <v>0</v>
      </c>
    </row>
    <row r="1055" spans="1:29">
      <c r="B1055" s="74" t="s">
        <v>1135</v>
      </c>
      <c r="I1055" s="5">
        <f t="shared" ref="I1055:AC1055" ca="1" si="722">I157</f>
        <v>0</v>
      </c>
      <c r="J1055" s="75">
        <f t="shared" ca="1" si="722"/>
        <v>0</v>
      </c>
      <c r="K1055" s="5">
        <f t="shared" ca="1" si="722"/>
        <v>0</v>
      </c>
      <c r="L1055" s="5">
        <f t="shared" ca="1" si="722"/>
        <v>0</v>
      </c>
      <c r="M1055" s="5">
        <f t="shared" ca="1" si="722"/>
        <v>0</v>
      </c>
      <c r="N1055" s="5">
        <f t="shared" ca="1" si="722"/>
        <v>0</v>
      </c>
      <c r="O1055" s="5">
        <f t="shared" ca="1" si="722"/>
        <v>0</v>
      </c>
      <c r="P1055" s="5">
        <f t="shared" ca="1" si="722"/>
        <v>0</v>
      </c>
      <c r="Q1055" s="5">
        <f t="shared" ca="1" si="722"/>
        <v>0</v>
      </c>
      <c r="R1055" s="5">
        <f t="shared" ca="1" si="722"/>
        <v>0</v>
      </c>
      <c r="S1055" s="5">
        <f t="shared" ca="1" si="722"/>
        <v>0</v>
      </c>
      <c r="T1055" s="5">
        <f t="shared" ca="1" si="722"/>
        <v>0</v>
      </c>
      <c r="U1055" s="5">
        <f t="shared" ca="1" si="722"/>
        <v>0</v>
      </c>
      <c r="V1055" s="5">
        <f t="shared" ca="1" si="722"/>
        <v>0</v>
      </c>
      <c r="W1055" s="5">
        <f t="shared" ca="1" si="722"/>
        <v>0</v>
      </c>
      <c r="X1055" s="5">
        <f t="shared" ca="1" si="722"/>
        <v>0</v>
      </c>
      <c r="Y1055" s="5">
        <f t="shared" ca="1" si="722"/>
        <v>0</v>
      </c>
      <c r="Z1055" s="5">
        <f t="shared" ca="1" si="722"/>
        <v>0</v>
      </c>
      <c r="AA1055" s="5">
        <f t="shared" ca="1" si="722"/>
        <v>0</v>
      </c>
      <c r="AB1055" s="5">
        <f t="shared" ca="1" si="722"/>
        <v>0</v>
      </c>
      <c r="AC1055" s="5">
        <f t="shared" ca="1" si="722"/>
        <v>0</v>
      </c>
    </row>
    <row r="1056" spans="1:29">
      <c r="A1056" s="226" t="str">
        <f>A1050</f>
        <v>Cash Flow From Financing Activities:</v>
      </c>
      <c r="I1056" s="50">
        <f t="shared" ref="I1056:R1056" ca="1" si="723">SUM(I1051:I1055)</f>
        <v>504.85591119790752</v>
      </c>
      <c r="J1056" s="286">
        <f t="shared" ca="1" si="723"/>
        <v>0</v>
      </c>
      <c r="K1056" s="50">
        <f t="shared" ca="1" si="723"/>
        <v>0</v>
      </c>
      <c r="L1056" s="50">
        <f t="shared" ca="1" si="723"/>
        <v>0</v>
      </c>
      <c r="M1056" s="50">
        <f t="shared" ca="1" si="723"/>
        <v>0</v>
      </c>
      <c r="N1056" s="50">
        <f t="shared" ca="1" si="723"/>
        <v>0</v>
      </c>
      <c r="O1056" s="50">
        <f t="shared" ca="1" si="723"/>
        <v>0</v>
      </c>
      <c r="P1056" s="50">
        <f t="shared" ca="1" si="723"/>
        <v>0</v>
      </c>
      <c r="Q1056" s="50">
        <f t="shared" ca="1" si="723"/>
        <v>0</v>
      </c>
      <c r="R1056" s="50">
        <f t="shared" ca="1" si="723"/>
        <v>0</v>
      </c>
      <c r="S1056" s="50">
        <f t="shared" ref="S1056:AC1056" ca="1" si="724">SUM(S1051:S1055)</f>
        <v>0</v>
      </c>
      <c r="T1056" s="50">
        <f t="shared" ca="1" si="724"/>
        <v>0</v>
      </c>
      <c r="U1056" s="50">
        <f t="shared" ca="1" si="724"/>
        <v>0</v>
      </c>
      <c r="V1056" s="50">
        <f t="shared" ca="1" si="724"/>
        <v>0</v>
      </c>
      <c r="W1056" s="50">
        <f t="shared" ca="1" si="724"/>
        <v>0</v>
      </c>
      <c r="X1056" s="50">
        <f t="shared" ca="1" si="724"/>
        <v>0</v>
      </c>
      <c r="Y1056" s="50">
        <f t="shared" ca="1" si="724"/>
        <v>0</v>
      </c>
      <c r="Z1056" s="50">
        <f t="shared" ca="1" si="724"/>
        <v>0</v>
      </c>
      <c r="AA1056" s="50">
        <f t="shared" ca="1" si="724"/>
        <v>0</v>
      </c>
      <c r="AB1056" s="50">
        <f t="shared" ca="1" si="724"/>
        <v>0</v>
      </c>
      <c r="AC1056" s="50">
        <f t="shared" ca="1" si="724"/>
        <v>0</v>
      </c>
    </row>
    <row r="1057" spans="1:29">
      <c r="J1057" s="75"/>
    </row>
    <row r="1058" spans="1:29" ht="12" thickBot="1">
      <c r="A1058" s="224" t="s">
        <v>1136</v>
      </c>
      <c r="I1058" s="60">
        <f t="shared" ref="I1058:R1058" ca="1" si="725">I1056+I1048+I1040</f>
        <v>0</v>
      </c>
      <c r="J1058" s="287">
        <f t="shared" ca="1" si="725"/>
        <v>6242.9363945444502</v>
      </c>
      <c r="K1058" s="60">
        <f t="shared" ca="1" si="725"/>
        <v>4451.7369283973248</v>
      </c>
      <c r="L1058" s="60">
        <f t="shared" ca="1" si="725"/>
        <v>4038.1080743725247</v>
      </c>
      <c r="M1058" s="60">
        <f t="shared" ca="1" si="725"/>
        <v>3950.9631886494744</v>
      </c>
      <c r="N1058" s="60">
        <f t="shared" ca="1" si="725"/>
        <v>3759.0530256385973</v>
      </c>
      <c r="O1058" s="60">
        <f t="shared" ca="1" si="725"/>
        <v>3468.1556632170818</v>
      </c>
      <c r="P1058" s="60">
        <f t="shared" ca="1" si="725"/>
        <v>3250.04784218843</v>
      </c>
      <c r="Q1058" s="60">
        <f t="shared" ca="1" si="725"/>
        <v>3091.2337890596059</v>
      </c>
      <c r="R1058" s="60">
        <f t="shared" ca="1" si="725"/>
        <v>2973.5588756482061</v>
      </c>
      <c r="S1058" s="60">
        <f t="shared" ref="S1058:AC1058" ca="1" si="726">S1056+S1048+S1040</f>
        <v>2401.0365292844181</v>
      </c>
      <c r="T1058" s="60">
        <f t="shared" ca="1" si="726"/>
        <v>2320.6052670895951</v>
      </c>
      <c r="U1058" s="60">
        <f t="shared" ca="1" si="726"/>
        <v>2263.7801302088938</v>
      </c>
      <c r="V1058" s="60">
        <f t="shared" ca="1" si="726"/>
        <v>2208.3773065102155</v>
      </c>
      <c r="W1058" s="60">
        <f t="shared" ca="1" si="726"/>
        <v>2183.0922930344996</v>
      </c>
      <c r="X1058" s="60">
        <f t="shared" ca="1" si="726"/>
        <v>2153.7369944628117</v>
      </c>
      <c r="Y1058" s="60">
        <f t="shared" ca="1" si="726"/>
        <v>2133.3094605303454</v>
      </c>
      <c r="Z1058" s="60">
        <f t="shared" ca="1" si="726"/>
        <v>2092.9666798577464</v>
      </c>
      <c r="AA1058" s="60">
        <f t="shared" ca="1" si="726"/>
        <v>2086.6963226260082</v>
      </c>
      <c r="AB1058" s="60">
        <f t="shared" ca="1" si="726"/>
        <v>2096.2819169234576</v>
      </c>
      <c r="AC1058" s="60">
        <f t="shared" ca="1" si="726"/>
        <v>2133.2882504072836</v>
      </c>
    </row>
    <row r="1059" spans="1:29" ht="12" thickTop="1"/>
  </sheetData>
  <printOptions horizontalCentered="1"/>
  <pageMargins left="0.25" right="0.25" top="0.4" bottom="0.75" header="0.5" footer="0.5"/>
  <pageSetup scale="84" fitToHeight="8" orientation="landscape" useFirstPageNumber="1" horizontalDpi="4294967292" verticalDpi="4294967292" r:id="rId1"/>
  <headerFooter alignWithMargins="0">
    <oddFooter>&amp;LFile:  G:\COMMON\FROM_LRF\LYCO1013.XLS&amp;CPage 21&amp;RUpdated by:  Frazier, Lamar</oddFooter>
  </headerFooter>
  <rowBreaks count="9" manualBreakCount="9">
    <brk id="53" max="65535" man="1"/>
    <brk id="108" max="65535" man="1"/>
    <brk id="160" max="65535" man="1"/>
    <brk id="212" max="65535" man="1"/>
    <brk id="476" max="65535" man="1"/>
    <brk id="488" max="65535" man="1"/>
    <brk id="517" max="65535" man="1"/>
    <brk id="650" max="65535" man="1"/>
    <brk id="751" max="6553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1" r:id="rId4" name="Button 15">
              <controlPr defaultSize="0" print="0" autoFill="0" autoLine="0" autoPict="0" macro="[0]!prt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9525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5" name="Button 35">
              <controlPr defaultSize="0" print="0" autoFill="0" autoLine="0" autoPict="0" macro="[0]!go">
                <anchor moveWithCells="1" sizeWithCells="1">
                  <from>
                    <xdr:col>1</xdr:col>
                    <xdr:colOff>9525</xdr:colOff>
                    <xdr:row>0</xdr:row>
                    <xdr:rowOff>0</xdr:rowOff>
                  </from>
                  <to>
                    <xdr:col>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6" name="Button 37">
              <controlPr defaultSize="0" print="0" autoFill="0" autoLine="0" autoPict="0" macro="[0]!Optimize">
                <anchor moveWithCells="1" sizeWithCells="1">
                  <from>
                    <xdr:col>1</xdr:col>
                    <xdr:colOff>9525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7" name="Button 38">
              <controlPr defaultSize="0" print="0" autoFill="0" autoLine="0" autoPict="0" macro="[0]!setcalc">
                <anchor moveWithCells="1" sizeWithCells="1">
                  <from>
                    <xdr:col>0</xdr:col>
                    <xdr:colOff>0</xdr:colOff>
                    <xdr:row>0</xdr:row>
                    <xdr:rowOff>152400</xdr:rowOff>
                  </from>
                  <to>
                    <xdr:col>1</xdr:col>
                    <xdr:colOff>9525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8" name="Button 53">
              <controlPr defaultSize="0" print="0" autoFill="0" autoLine="0" autoPict="0" macro="CFMACROS!$A$332">
                <anchor moveWithCells="1" sizeWithCells="1">
                  <from>
                    <xdr:col>2</xdr:col>
                    <xdr:colOff>466725</xdr:colOff>
                    <xdr:row>872</xdr:row>
                    <xdr:rowOff>123825</xdr:rowOff>
                  </from>
                  <to>
                    <xdr:col>4</xdr:col>
                    <xdr:colOff>9525</xdr:colOff>
                    <xdr:row>874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9" name="Button 54">
              <controlPr defaultSize="0" print="0" autoFill="0" autoLine="0" autoPict="0" macro="CFMACROS!$A$368">
                <anchor moveWithCells="1" sizeWithCells="1">
                  <from>
                    <xdr:col>11</xdr:col>
                    <xdr:colOff>0</xdr:colOff>
                    <xdr:row>873</xdr:row>
                    <xdr:rowOff>0</xdr:rowOff>
                  </from>
                  <to>
                    <xdr:col>12</xdr:col>
                    <xdr:colOff>0</xdr:colOff>
                    <xdr:row>875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10" name="Button 59">
              <controlPr defaultSize="0" print="0" autoFill="0" autoLine="0" autoPict="0" macro="[0]!_xludf.Clear">
                <anchor moveWithCells="1" siz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9525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11" name="Button 61">
              <controlPr defaultSize="0" print="0" autoFill="0" autoLine="0" autoPict="0" macro="[0]!inp">
                <anchor moveWithCells="1" sizeWithCells="1">
                  <from>
                    <xdr:col>2</xdr:col>
                    <xdr:colOff>0</xdr:colOff>
                    <xdr:row>0</xdr:row>
                    <xdr:rowOff>0</xdr:rowOff>
                  </from>
                  <to>
                    <xdr:col>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12" name="Button 63">
              <controlPr defaultSize="0" print="0" autoFill="0" autoLine="0" autoPict="0" macro="[0]!PP_Yield">
                <anchor moveWithCells="1" sizeWithCells="1">
                  <from>
                    <xdr:col>3</xdr:col>
                    <xdr:colOff>333375</xdr:colOff>
                    <xdr:row>775</xdr:row>
                    <xdr:rowOff>9525</xdr:rowOff>
                  </from>
                  <to>
                    <xdr:col>4</xdr:col>
                    <xdr:colOff>428625</xdr:colOff>
                    <xdr:row>776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13" name="Button 66">
              <controlPr defaultSize="0" print="0" autoFill="0" autoLine="0" autoPict="0" macro="[0]!PP_Yield">
                <anchor moveWithCells="1" sizeWithCells="1">
                  <from>
                    <xdr:col>3</xdr:col>
                    <xdr:colOff>333375</xdr:colOff>
                    <xdr:row>775</xdr:row>
                    <xdr:rowOff>9525</xdr:rowOff>
                  </from>
                  <to>
                    <xdr:col>4</xdr:col>
                    <xdr:colOff>428625</xdr:colOff>
                    <xdr:row>776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workbookViewId="0">
      <selection activeCell="H32" sqref="H32"/>
    </sheetView>
  </sheetViews>
  <sheetFormatPr defaultRowHeight="11.25"/>
  <cols>
    <col min="3" max="3" width="14.6640625" customWidth="1"/>
  </cols>
  <sheetData>
    <row r="1" spans="1:7" ht="12.75">
      <c r="A1" s="236" t="s">
        <v>1137</v>
      </c>
      <c r="B1" s="351" t="s">
        <v>1138</v>
      </c>
      <c r="C1" s="236" t="s">
        <v>1139</v>
      </c>
      <c r="D1" s="236"/>
      <c r="E1" s="236"/>
      <c r="F1" s="339" t="s">
        <v>1140</v>
      </c>
    </row>
    <row r="2" spans="1:7" ht="12.75">
      <c r="D2" s="236"/>
      <c r="E2" s="236"/>
      <c r="G2" t="s">
        <v>1141</v>
      </c>
    </row>
    <row r="3" spans="1:7" ht="12.75">
      <c r="D3" s="236"/>
      <c r="E3" s="231"/>
      <c r="G3" t="s">
        <v>1142</v>
      </c>
    </row>
    <row r="4" spans="1:7" ht="12.75">
      <c r="D4" s="236"/>
      <c r="G4" s="339" t="s">
        <v>1143</v>
      </c>
    </row>
    <row r="5" spans="1:7" ht="12.75">
      <c r="A5" s="236"/>
      <c r="D5" s="236"/>
      <c r="G5" t="s">
        <v>1144</v>
      </c>
    </row>
    <row r="6" spans="1:7" ht="12.75">
      <c r="A6" s="236"/>
      <c r="D6" s="236"/>
    </row>
    <row r="7" spans="1:7" ht="12.75">
      <c r="A7" s="236"/>
      <c r="B7" s="231"/>
      <c r="D7" s="236"/>
      <c r="E7" s="236"/>
    </row>
    <row r="8" spans="1:7">
      <c r="E8" t="s">
        <v>1145</v>
      </c>
    </row>
    <row r="9" spans="1:7"/>
    <row r="10" spans="1:7">
      <c r="A10" t="s">
        <v>1146</v>
      </c>
    </row>
    <row r="11" spans="1:7"/>
    <row r="12" spans="1:7">
      <c r="E12" s="339" t="s">
        <v>1147</v>
      </c>
    </row>
    <row r="13" spans="1:7"/>
    <row r="14" spans="1:7"/>
    <row r="15" spans="1:7"/>
    <row r="16" spans="1:7"/>
    <row r="17" spans="1:7"/>
    <row r="18" spans="1:7"/>
    <row r="23" spans="1:7">
      <c r="A23" s="201" t="s">
        <v>1148</v>
      </c>
      <c r="B23" s="202"/>
      <c r="C23" s="202"/>
      <c r="D23" s="202"/>
      <c r="E23" s="202"/>
      <c r="F23" s="202"/>
      <c r="G23" s="203"/>
    </row>
    <row r="24" spans="1:7">
      <c r="A24" s="204"/>
      <c r="B24" s="205">
        <v>160</v>
      </c>
      <c r="C24" s="205">
        <v>25</v>
      </c>
      <c r="D24" s="205">
        <v>300</v>
      </c>
      <c r="E24" s="205">
        <v>260</v>
      </c>
      <c r="F24" s="205" t="s">
        <v>1149</v>
      </c>
      <c r="G24" s="206"/>
    </row>
    <row r="25" spans="1:7">
      <c r="A25" s="207">
        <v>3</v>
      </c>
      <c r="B25" s="208">
        <v>50</v>
      </c>
      <c r="C25" s="208">
        <v>5</v>
      </c>
      <c r="D25" s="208">
        <v>200</v>
      </c>
      <c r="E25" s="208"/>
      <c r="F25" s="208" t="s">
        <v>1150</v>
      </c>
      <c r="G25" s="88"/>
    </row>
    <row r="26" spans="1:7">
      <c r="A26" s="207">
        <v>3</v>
      </c>
      <c r="B26" s="208">
        <v>50</v>
      </c>
      <c r="C26" s="208">
        <v>30</v>
      </c>
      <c r="D26" s="208">
        <v>200</v>
      </c>
      <c r="E26" s="208"/>
      <c r="F26" s="208" t="s">
        <v>1151</v>
      </c>
      <c r="G26" s="88"/>
    </row>
    <row r="27" spans="1:7">
      <c r="A27" s="207">
        <v>3</v>
      </c>
      <c r="B27" s="208">
        <v>50</v>
      </c>
      <c r="C27" s="208">
        <v>55</v>
      </c>
      <c r="D27" s="208">
        <v>200</v>
      </c>
      <c r="E27" s="208"/>
      <c r="F27" s="208" t="s">
        <v>1152</v>
      </c>
      <c r="G27" s="88"/>
    </row>
    <row r="28" spans="1:7">
      <c r="A28" s="207">
        <v>3</v>
      </c>
      <c r="B28" s="208">
        <v>50</v>
      </c>
      <c r="C28" s="208">
        <v>80</v>
      </c>
      <c r="D28" s="208">
        <v>200</v>
      </c>
      <c r="E28" s="208"/>
      <c r="F28" s="208" t="s">
        <v>1153</v>
      </c>
      <c r="G28" s="88"/>
    </row>
    <row r="29" spans="1:7">
      <c r="A29" s="207">
        <v>3</v>
      </c>
      <c r="B29" s="208">
        <v>50</v>
      </c>
      <c r="C29" s="208">
        <v>105</v>
      </c>
      <c r="D29" s="208">
        <v>200</v>
      </c>
      <c r="E29" s="208"/>
      <c r="F29" s="208" t="s">
        <v>1154</v>
      </c>
      <c r="G29" s="88"/>
    </row>
    <row r="30" spans="1:7">
      <c r="A30" s="207">
        <v>3</v>
      </c>
      <c r="B30" s="208">
        <v>50</v>
      </c>
      <c r="C30" s="208">
        <v>130</v>
      </c>
      <c r="D30" s="208">
        <v>200</v>
      </c>
      <c r="E30" s="208"/>
      <c r="F30" s="208" t="s">
        <v>1155</v>
      </c>
      <c r="G30" s="88"/>
    </row>
    <row r="31" spans="1:7">
      <c r="A31" s="207">
        <v>3</v>
      </c>
      <c r="B31" s="208">
        <v>50</v>
      </c>
      <c r="C31" s="208">
        <v>155</v>
      </c>
      <c r="D31" s="208">
        <v>200</v>
      </c>
      <c r="E31" s="208"/>
      <c r="F31" s="208" t="s">
        <v>1156</v>
      </c>
      <c r="G31" s="88"/>
    </row>
    <row r="32" spans="1:7">
      <c r="A32" s="207">
        <v>3</v>
      </c>
      <c r="B32" s="208">
        <v>50</v>
      </c>
      <c r="C32" s="208">
        <v>180</v>
      </c>
      <c r="D32" s="208">
        <v>200</v>
      </c>
      <c r="E32" s="208"/>
      <c r="F32" s="208" t="s">
        <v>1157</v>
      </c>
      <c r="G32" s="88"/>
    </row>
    <row r="33" spans="1:7" ht="12.75">
      <c r="A33" s="207">
        <v>3</v>
      </c>
      <c r="B33" s="208">
        <v>50</v>
      </c>
      <c r="C33" s="208">
        <v>205</v>
      </c>
      <c r="D33" s="208">
        <v>200</v>
      </c>
      <c r="E33" s="208"/>
      <c r="F33" s="209" t="s">
        <v>1158</v>
      </c>
      <c r="G33" s="88"/>
    </row>
    <row r="34" spans="1:7" ht="12.75">
      <c r="A34" s="210">
        <v>3</v>
      </c>
      <c r="B34" s="211">
        <v>100</v>
      </c>
      <c r="C34" s="211">
        <v>230</v>
      </c>
      <c r="D34" s="211">
        <v>100</v>
      </c>
      <c r="E34" s="211"/>
      <c r="G34" s="213"/>
    </row>
    <row r="37" spans="1:7">
      <c r="A37" s="201" t="s">
        <v>1159</v>
      </c>
      <c r="B37" s="202"/>
      <c r="C37" s="202"/>
      <c r="D37" s="203"/>
    </row>
    <row r="38" spans="1:7">
      <c r="A38" s="204">
        <v>1</v>
      </c>
      <c r="D38" s="206">
        <v>3</v>
      </c>
    </row>
    <row r="39" spans="1:7">
      <c r="A39" s="207">
        <v>2</v>
      </c>
      <c r="D39" s="88">
        <v>3</v>
      </c>
    </row>
    <row r="40" spans="1:7">
      <c r="A40" s="207">
        <v>3</v>
      </c>
      <c r="D40" s="88">
        <v>3</v>
      </c>
    </row>
    <row r="41" spans="1:7">
      <c r="A41" s="207">
        <v>4</v>
      </c>
      <c r="D41" s="88">
        <v>3</v>
      </c>
    </row>
    <row r="42" spans="1:7">
      <c r="A42" s="207">
        <v>5</v>
      </c>
      <c r="D42" s="88">
        <v>3</v>
      </c>
    </row>
    <row r="43" spans="1:7">
      <c r="A43" s="207">
        <v>6</v>
      </c>
      <c r="D43" s="88">
        <v>3</v>
      </c>
    </row>
    <row r="44" spans="1:7">
      <c r="A44" s="207">
        <v>7</v>
      </c>
      <c r="D44" s="88">
        <v>3</v>
      </c>
    </row>
    <row r="45" spans="1:7">
      <c r="A45" s="207">
        <v>8</v>
      </c>
      <c r="D45" s="88">
        <v>3</v>
      </c>
    </row>
    <row r="46" spans="1:7">
      <c r="A46" s="207">
        <v>9</v>
      </c>
      <c r="D46" s="88">
        <v>3</v>
      </c>
    </row>
    <row r="47" spans="1:7">
      <c r="A47" s="210">
        <v>10</v>
      </c>
      <c r="B47" s="211" t="s">
        <v>1160</v>
      </c>
      <c r="C47" s="211">
        <v>0</v>
      </c>
      <c r="D47" s="213">
        <v>0</v>
      </c>
    </row>
    <row r="52" spans="1:4" ht="12.75">
      <c r="A52" s="235" t="s">
        <v>1161</v>
      </c>
    </row>
    <row r="53" spans="1:4">
      <c r="A53" t="s">
        <v>1162</v>
      </c>
      <c r="B53" t="s">
        <v>1163</v>
      </c>
      <c r="D53" t="s">
        <v>1164</v>
      </c>
    </row>
    <row r="54" spans="1:4">
      <c r="A54" t="s">
        <v>1165</v>
      </c>
      <c r="B54" t="s">
        <v>736</v>
      </c>
      <c r="D54" t="s">
        <v>1166</v>
      </c>
    </row>
    <row r="55" spans="1:4">
      <c r="A55" t="s">
        <v>1167</v>
      </c>
      <c r="B55" t="s">
        <v>1168</v>
      </c>
      <c r="D55" t="s">
        <v>1169</v>
      </c>
    </row>
    <row r="56" spans="1:4">
      <c r="A56" t="s">
        <v>1170</v>
      </c>
      <c r="B56" t="s">
        <v>1171</v>
      </c>
      <c r="D56" t="s">
        <v>1172</v>
      </c>
    </row>
    <row r="57" spans="1:4">
      <c r="A57" t="s">
        <v>1173</v>
      </c>
      <c r="B57" t="s">
        <v>373</v>
      </c>
      <c r="D57" t="s">
        <v>1174</v>
      </c>
    </row>
    <row r="58" spans="1:4">
      <c r="A58" t="s">
        <v>1175</v>
      </c>
      <c r="B58" t="s">
        <v>1176</v>
      </c>
      <c r="D58" t="s">
        <v>1177</v>
      </c>
    </row>
    <row r="59" spans="1:4">
      <c r="A59" t="s">
        <v>1178</v>
      </c>
      <c r="B59" t="s">
        <v>1179</v>
      </c>
      <c r="D59" t="s">
        <v>1180</v>
      </c>
    </row>
    <row r="61" spans="1:4"/>
    <row r="62" spans="1:4"/>
    <row r="64" spans="1:4">
      <c r="A64" t="s">
        <v>1181</v>
      </c>
    </row>
    <row r="67" spans="1:1">
      <c r="A67" t="s">
        <v>1163</v>
      </c>
    </row>
    <row r="68" spans="1:1"/>
    <row r="69" spans="1:1"/>
    <row r="70" spans="1:1"/>
    <row r="71" spans="1:1"/>
    <row r="72" spans="1:1"/>
    <row r="73" spans="1:1"/>
    <row r="74" spans="1:1"/>
    <row r="75" spans="1:1"/>
    <row r="76" spans="1:1" ht="12.75"/>
    <row r="77" spans="1:1"/>
    <row r="78" spans="1:1" ht="12.75"/>
    <row r="79" spans="1:1"/>
    <row r="81" spans="1:7">
      <c r="A81" t="s">
        <v>1182</v>
      </c>
    </row>
    <row r="82" spans="1:7">
      <c r="D82">
        <v>416</v>
      </c>
      <c r="E82">
        <v>184</v>
      </c>
      <c r="F82" t="s">
        <v>1183</v>
      </c>
    </row>
    <row r="83" spans="1:7">
      <c r="A83">
        <v>1</v>
      </c>
      <c r="B83">
        <v>296</v>
      </c>
      <c r="C83">
        <v>103</v>
      </c>
      <c r="D83">
        <v>88</v>
      </c>
      <c r="F83" t="s">
        <v>1184</v>
      </c>
    </row>
    <row r="84" spans="1:7">
      <c r="A84">
        <v>2</v>
      </c>
      <c r="B84">
        <v>296</v>
      </c>
      <c r="C84">
        <v>126</v>
      </c>
      <c r="D84">
        <v>88</v>
      </c>
      <c r="F84" t="s">
        <v>1185</v>
      </c>
    </row>
    <row r="85" spans="1:7">
      <c r="A85">
        <v>5</v>
      </c>
      <c r="B85">
        <v>24</v>
      </c>
      <c r="C85">
        <v>15</v>
      </c>
      <c r="F85" t="s">
        <v>1186</v>
      </c>
    </row>
    <row r="86" spans="1:7">
      <c r="A86">
        <v>6</v>
      </c>
      <c r="B86">
        <v>167</v>
      </c>
      <c r="C86">
        <v>16</v>
      </c>
      <c r="D86">
        <v>218</v>
      </c>
      <c r="G86" s="15" t="s">
        <v>594</v>
      </c>
    </row>
    <row r="87" spans="1:7">
      <c r="A87">
        <v>5</v>
      </c>
      <c r="B87">
        <v>25</v>
      </c>
      <c r="C87">
        <v>41</v>
      </c>
      <c r="F87" t="s">
        <v>1187</v>
      </c>
    </row>
    <row r="88" spans="1:7">
      <c r="A88">
        <v>6</v>
      </c>
      <c r="B88">
        <v>166</v>
      </c>
      <c r="C88">
        <v>41</v>
      </c>
      <c r="D88">
        <v>219</v>
      </c>
      <c r="G88" s="246" t="s">
        <v>596</v>
      </c>
    </row>
    <row r="89" spans="1:7">
      <c r="A89">
        <v>5</v>
      </c>
      <c r="B89">
        <v>254</v>
      </c>
      <c r="C89">
        <v>65</v>
      </c>
      <c r="F89" t="s">
        <v>1188</v>
      </c>
    </row>
    <row r="90" spans="1:7">
      <c r="A90">
        <v>8</v>
      </c>
      <c r="B90">
        <v>254</v>
      </c>
      <c r="C90">
        <v>81</v>
      </c>
      <c r="D90">
        <v>132</v>
      </c>
      <c r="G90" s="215">
        <v>35430</v>
      </c>
    </row>
    <row r="91" spans="1:7">
      <c r="A91">
        <v>14</v>
      </c>
      <c r="B91">
        <v>26</v>
      </c>
      <c r="C91">
        <v>76</v>
      </c>
      <c r="D91">
        <v>200</v>
      </c>
      <c r="E91">
        <v>72</v>
      </c>
      <c r="F91" t="s">
        <v>1189</v>
      </c>
    </row>
    <row r="92" spans="1:7">
      <c r="A92">
        <v>11</v>
      </c>
      <c r="G92">
        <v>1</v>
      </c>
    </row>
    <row r="93" spans="1:7">
      <c r="A93">
        <v>12</v>
      </c>
      <c r="F93" s="129" t="s">
        <v>598</v>
      </c>
    </row>
    <row r="94" spans="1:7">
      <c r="A94">
        <v>12</v>
      </c>
      <c r="F94" s="129" t="s">
        <v>1190</v>
      </c>
    </row>
    <row r="95" spans="1:7">
      <c r="A95">
        <v>12</v>
      </c>
      <c r="F95" s="129" t="s">
        <v>1191</v>
      </c>
    </row>
    <row r="97" spans="1:5">
      <c r="A97" t="s">
        <v>736</v>
      </c>
    </row>
    <row r="98" spans="1:5">
      <c r="D98" t="s">
        <v>1192</v>
      </c>
      <c r="E98" t="s">
        <v>1193</v>
      </c>
    </row>
    <row r="99" spans="1:5">
      <c r="D99" t="s">
        <v>1194</v>
      </c>
      <c r="E99" t="s">
        <v>1195</v>
      </c>
    </row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4" spans="1:7">
      <c r="A114" t="s">
        <v>1196</v>
      </c>
    </row>
    <row r="115" spans="1:7">
      <c r="D115">
        <v>320</v>
      </c>
      <c r="E115">
        <v>112</v>
      </c>
      <c r="F115" t="s">
        <v>1197</v>
      </c>
    </row>
    <row r="116" spans="1:7">
      <c r="A116">
        <v>5</v>
      </c>
      <c r="B116">
        <v>65</v>
      </c>
      <c r="C116">
        <v>5</v>
      </c>
    </row>
    <row r="117" spans="1:7">
      <c r="A117">
        <v>5</v>
      </c>
      <c r="B117">
        <v>12</v>
      </c>
      <c r="C117">
        <v>58</v>
      </c>
      <c r="F117" t="s">
        <v>1198</v>
      </c>
    </row>
    <row r="118" spans="1:7">
      <c r="A118">
        <v>8</v>
      </c>
      <c r="B118">
        <v>13</v>
      </c>
      <c r="C118">
        <v>74</v>
      </c>
      <c r="D118">
        <v>160</v>
      </c>
      <c r="G118" s="215">
        <v>34972</v>
      </c>
    </row>
    <row r="119" spans="1:7">
      <c r="A119">
        <v>1</v>
      </c>
      <c r="B119">
        <v>225</v>
      </c>
      <c r="C119">
        <v>56</v>
      </c>
      <c r="D119">
        <v>88</v>
      </c>
      <c r="F119" t="s">
        <v>1184</v>
      </c>
    </row>
    <row r="120" spans="1:7">
      <c r="A120">
        <v>2</v>
      </c>
      <c r="B120">
        <v>226</v>
      </c>
      <c r="C120">
        <v>80</v>
      </c>
      <c r="D120">
        <v>88</v>
      </c>
      <c r="F120" t="s">
        <v>1185</v>
      </c>
    </row>
    <row r="121" spans="1:7">
      <c r="A121">
        <v>3</v>
      </c>
      <c r="B121">
        <v>12</v>
      </c>
      <c r="C121">
        <v>30</v>
      </c>
      <c r="D121">
        <v>200</v>
      </c>
      <c r="F121" t="s">
        <v>1199</v>
      </c>
    </row>
    <row r="122" spans="1:7">
      <c r="A122">
        <v>3</v>
      </c>
      <c r="B122">
        <v>12</v>
      </c>
      <c r="C122">
        <v>5</v>
      </c>
      <c r="D122">
        <v>300</v>
      </c>
      <c r="F122" t="s">
        <v>1200</v>
      </c>
    </row>
    <row r="126" spans="1:7">
      <c r="A126" t="s">
        <v>1168</v>
      </c>
    </row>
    <row r="127" spans="1:7"/>
    <row r="128" spans="1:7"/>
    <row r="129" spans="1:6"/>
    <row r="130" spans="1:6"/>
    <row r="131" spans="1:6"/>
    <row r="136" spans="1:6">
      <c r="A136" t="s">
        <v>1201</v>
      </c>
    </row>
    <row r="137" spans="1:6">
      <c r="D137">
        <v>320</v>
      </c>
      <c r="E137">
        <v>100</v>
      </c>
      <c r="F137" t="s">
        <v>1202</v>
      </c>
    </row>
    <row r="138" spans="1:6">
      <c r="A138">
        <v>3</v>
      </c>
      <c r="B138">
        <v>14</v>
      </c>
      <c r="C138">
        <v>10</v>
      </c>
      <c r="D138">
        <v>136</v>
      </c>
      <c r="F138" t="s">
        <v>1203</v>
      </c>
    </row>
    <row r="139" spans="1:6">
      <c r="A139">
        <v>3</v>
      </c>
      <c r="B139">
        <v>14</v>
      </c>
      <c r="C139">
        <v>40</v>
      </c>
      <c r="D139">
        <v>136</v>
      </c>
      <c r="F139" t="s">
        <v>1204</v>
      </c>
    </row>
    <row r="140" spans="1:6">
      <c r="A140">
        <v>1</v>
      </c>
      <c r="B140">
        <v>170</v>
      </c>
      <c r="C140">
        <v>10</v>
      </c>
      <c r="D140">
        <v>136</v>
      </c>
      <c r="F140" t="s">
        <v>1205</v>
      </c>
    </row>
    <row r="141" spans="1:6">
      <c r="A141">
        <v>3</v>
      </c>
      <c r="B141">
        <v>170</v>
      </c>
      <c r="C141">
        <v>40</v>
      </c>
      <c r="D141">
        <v>136</v>
      </c>
      <c r="F141" t="s">
        <v>1206</v>
      </c>
    </row>
    <row r="142" spans="1:6">
      <c r="A142">
        <v>2</v>
      </c>
      <c r="B142">
        <v>120</v>
      </c>
      <c r="C142">
        <v>70</v>
      </c>
      <c r="D142">
        <v>88</v>
      </c>
      <c r="F142" t="s">
        <v>1185</v>
      </c>
    </row>
    <row r="143" spans="1:6">
      <c r="A143">
        <v>5</v>
      </c>
      <c r="B143">
        <v>85</v>
      </c>
      <c r="C143">
        <v>14</v>
      </c>
    </row>
    <row r="146" spans="1:6">
      <c r="A146" t="s">
        <v>1171</v>
      </c>
    </row>
    <row r="147" spans="1:6"/>
    <row r="148" spans="1:6"/>
    <row r="149" spans="1:6"/>
    <row r="150" spans="1:6"/>
    <row r="151" spans="1:6"/>
    <row r="155" spans="1:6">
      <c r="A155" t="s">
        <v>1207</v>
      </c>
    </row>
    <row r="156" spans="1:6">
      <c r="D156">
        <v>320</v>
      </c>
      <c r="E156">
        <v>100</v>
      </c>
      <c r="F156" t="s">
        <v>1208</v>
      </c>
    </row>
    <row r="157" spans="1:6">
      <c r="A157">
        <v>3</v>
      </c>
      <c r="B157">
        <v>14</v>
      </c>
      <c r="C157">
        <v>10</v>
      </c>
      <c r="D157">
        <v>136</v>
      </c>
      <c r="F157" t="s">
        <v>1209</v>
      </c>
    </row>
    <row r="158" spans="1:6">
      <c r="A158">
        <v>3</v>
      </c>
      <c r="B158">
        <v>14</v>
      </c>
      <c r="C158">
        <v>40</v>
      </c>
      <c r="D158">
        <v>136</v>
      </c>
      <c r="F158" t="s">
        <v>1210</v>
      </c>
    </row>
    <row r="159" spans="1:6">
      <c r="A159">
        <v>3</v>
      </c>
      <c r="B159">
        <v>170</v>
      </c>
      <c r="C159">
        <v>10</v>
      </c>
      <c r="D159">
        <v>136</v>
      </c>
      <c r="F159" t="s">
        <v>1211</v>
      </c>
    </row>
    <row r="160" spans="1:6">
      <c r="A160">
        <v>3</v>
      </c>
      <c r="B160">
        <v>170</v>
      </c>
      <c r="C160">
        <v>40</v>
      </c>
      <c r="D160">
        <v>136</v>
      </c>
      <c r="F160" t="s">
        <v>1212</v>
      </c>
    </row>
    <row r="161" spans="1:6">
      <c r="A161">
        <v>2</v>
      </c>
      <c r="B161">
        <v>120</v>
      </c>
      <c r="C161">
        <v>70</v>
      </c>
      <c r="D161">
        <v>88</v>
      </c>
      <c r="F161" t="s">
        <v>1185</v>
      </c>
    </row>
    <row r="162" spans="1:6">
      <c r="A162">
        <v>5</v>
      </c>
      <c r="B162">
        <v>85</v>
      </c>
      <c r="C162">
        <v>14</v>
      </c>
    </row>
    <row r="165" spans="1:6">
      <c r="A165" t="s">
        <v>373</v>
      </c>
    </row>
    <row r="166" spans="1:6"/>
    <row r="167" spans="1:6"/>
    <row r="168" spans="1:6"/>
    <row r="169" spans="1:6"/>
    <row r="170" spans="1:6"/>
    <row r="174" spans="1:6">
      <c r="A174" t="s">
        <v>1213</v>
      </c>
    </row>
    <row r="175" spans="1:6">
      <c r="D175">
        <v>320</v>
      </c>
      <c r="E175">
        <v>100</v>
      </c>
      <c r="F175" t="s">
        <v>1214</v>
      </c>
    </row>
    <row r="176" spans="1:6">
      <c r="A176">
        <v>3</v>
      </c>
      <c r="B176">
        <v>10</v>
      </c>
      <c r="C176">
        <v>10</v>
      </c>
      <c r="D176">
        <v>140</v>
      </c>
      <c r="F176" t="s">
        <v>1215</v>
      </c>
    </row>
    <row r="177" spans="1:9">
      <c r="A177">
        <v>3</v>
      </c>
      <c r="B177">
        <v>10</v>
      </c>
      <c r="C177">
        <v>40</v>
      </c>
      <c r="D177">
        <v>140</v>
      </c>
      <c r="F177" t="s">
        <v>1216</v>
      </c>
    </row>
    <row r="178" spans="1:9">
      <c r="A178">
        <v>3</v>
      </c>
      <c r="B178">
        <v>170</v>
      </c>
      <c r="C178">
        <v>10</v>
      </c>
      <c r="D178">
        <v>140</v>
      </c>
      <c r="F178" t="s">
        <v>1212</v>
      </c>
    </row>
    <row r="179" spans="1:9">
      <c r="A179">
        <v>3</v>
      </c>
      <c r="B179">
        <v>170</v>
      </c>
      <c r="C179">
        <v>40</v>
      </c>
      <c r="D179">
        <v>140</v>
      </c>
      <c r="F179" t="s">
        <v>1212</v>
      </c>
    </row>
    <row r="180" spans="1:9">
      <c r="A180">
        <v>2</v>
      </c>
      <c r="B180">
        <v>120</v>
      </c>
      <c r="C180">
        <v>70</v>
      </c>
      <c r="D180">
        <v>88</v>
      </c>
      <c r="F180" t="s">
        <v>1185</v>
      </c>
    </row>
    <row r="181" spans="1:9">
      <c r="A181">
        <v>5</v>
      </c>
      <c r="B181">
        <v>85</v>
      </c>
      <c r="C181">
        <v>14</v>
      </c>
    </row>
    <row r="187" spans="1:9" ht="12.75">
      <c r="A187" t="s">
        <v>1217</v>
      </c>
      <c r="C187" t="s">
        <v>1218</v>
      </c>
      <c r="E187" t="s">
        <v>1219</v>
      </c>
      <c r="G187" t="s">
        <v>1220</v>
      </c>
      <c r="I187" s="235" t="s">
        <v>1221</v>
      </c>
    </row>
    <row r="188" spans="1:9"/>
    <row r="189" spans="1:9"/>
    <row r="190" spans="1:9"/>
    <row r="191" spans="1:9"/>
    <row r="192" spans="1:9"/>
    <row r="193" spans="1:9"/>
    <row r="194" spans="1:9"/>
    <row r="195" spans="1:9"/>
    <row r="196" spans="1:9"/>
    <row r="197" spans="1:9"/>
    <row r="198" spans="1:9"/>
    <row r="199" spans="1:9"/>
    <row r="200" spans="1:9"/>
    <row r="201" spans="1:9"/>
    <row r="202" spans="1:9">
      <c r="B202" s="208"/>
      <c r="C202" s="208"/>
      <c r="D202" s="208"/>
      <c r="E202" s="208"/>
    </row>
    <row r="203" spans="1:9"/>
    <row r="204" spans="1:9">
      <c r="A204" t="s">
        <v>1222</v>
      </c>
      <c r="B204" s="208"/>
      <c r="C204" s="208"/>
      <c r="D204" s="208"/>
      <c r="E204" s="208"/>
    </row>
    <row r="205" spans="1:9">
      <c r="B205" s="208">
        <v>160</v>
      </c>
      <c r="C205" s="208">
        <v>25</v>
      </c>
      <c r="D205" s="208">
        <v>280</v>
      </c>
      <c r="E205" s="208">
        <v>250</v>
      </c>
      <c r="F205" t="s">
        <v>1223</v>
      </c>
    </row>
    <row r="206" spans="1:9">
      <c r="A206">
        <v>4</v>
      </c>
      <c r="B206">
        <v>86</v>
      </c>
      <c r="C206">
        <v>220</v>
      </c>
      <c r="D206">
        <v>88</v>
      </c>
      <c r="F206" t="s">
        <v>1160</v>
      </c>
      <c r="G206">
        <v>1</v>
      </c>
    </row>
    <row r="207" spans="1:9">
      <c r="A207">
        <v>3</v>
      </c>
      <c r="B207">
        <v>17.5</v>
      </c>
      <c r="C207">
        <v>10</v>
      </c>
      <c r="D207">
        <v>235</v>
      </c>
      <c r="F207" t="s">
        <v>1224</v>
      </c>
      <c r="G207">
        <v>2</v>
      </c>
    </row>
    <row r="208" spans="1:9">
      <c r="A208">
        <v>3</v>
      </c>
      <c r="B208">
        <v>17.5</v>
      </c>
      <c r="C208">
        <v>40</v>
      </c>
      <c r="D208">
        <v>235</v>
      </c>
      <c r="F208" t="s">
        <v>1225</v>
      </c>
      <c r="G208">
        <v>3</v>
      </c>
    </row>
    <row r="209" spans="1:7">
      <c r="A209">
        <v>3</v>
      </c>
      <c r="B209">
        <v>17.5</v>
      </c>
      <c r="C209">
        <v>70</v>
      </c>
      <c r="D209">
        <v>235</v>
      </c>
      <c r="F209" t="s">
        <v>1226</v>
      </c>
      <c r="G209">
        <v>4</v>
      </c>
    </row>
    <row r="210" spans="1:7">
      <c r="A210">
        <v>3</v>
      </c>
      <c r="B210">
        <v>40</v>
      </c>
      <c r="C210">
        <v>130</v>
      </c>
      <c r="D210">
        <v>180</v>
      </c>
      <c r="F210" t="s">
        <v>1227</v>
      </c>
      <c r="G210">
        <v>5</v>
      </c>
    </row>
    <row r="211" spans="1:7">
      <c r="A211">
        <v>3</v>
      </c>
      <c r="B211">
        <v>65</v>
      </c>
      <c r="C211">
        <v>100</v>
      </c>
      <c r="D211">
        <v>140</v>
      </c>
      <c r="F211" t="s">
        <v>1228</v>
      </c>
      <c r="G211">
        <v>6</v>
      </c>
    </row>
    <row r="212" spans="1:7" ht="12.75">
      <c r="A212" s="236">
        <v>3</v>
      </c>
      <c r="B212" s="236">
        <v>65</v>
      </c>
      <c r="C212" s="236">
        <v>160</v>
      </c>
      <c r="D212" s="236">
        <v>140</v>
      </c>
      <c r="E212" s="236"/>
      <c r="F212" s="236" t="s">
        <v>1229</v>
      </c>
      <c r="G212">
        <v>7</v>
      </c>
    </row>
    <row r="213" spans="1:7">
      <c r="A213">
        <v>3</v>
      </c>
      <c r="B213">
        <v>17.5</v>
      </c>
      <c r="C213">
        <v>190</v>
      </c>
      <c r="D213">
        <v>235</v>
      </c>
      <c r="F213" t="s">
        <v>1230</v>
      </c>
      <c r="G213">
        <v>8</v>
      </c>
    </row>
    <row r="215" spans="1:7">
      <c r="A215" t="s">
        <v>1231</v>
      </c>
    </row>
    <row r="216" spans="1:7">
      <c r="B216" s="208">
        <v>160</v>
      </c>
      <c r="C216" s="208">
        <v>25</v>
      </c>
      <c r="D216" s="208">
        <v>260</v>
      </c>
      <c r="E216" s="208">
        <v>250</v>
      </c>
      <c r="F216" t="s">
        <v>1232</v>
      </c>
    </row>
    <row r="217" spans="1:7">
      <c r="A217">
        <v>3</v>
      </c>
      <c r="B217">
        <v>17.5</v>
      </c>
      <c r="C217">
        <v>10</v>
      </c>
      <c r="D217">
        <v>225</v>
      </c>
      <c r="F217" t="s">
        <v>1233</v>
      </c>
    </row>
    <row r="218" spans="1:7">
      <c r="A218">
        <v>3</v>
      </c>
      <c r="B218">
        <v>17.5</v>
      </c>
      <c r="C218">
        <v>40</v>
      </c>
      <c r="D218">
        <v>225</v>
      </c>
      <c r="F218" t="s">
        <v>1234</v>
      </c>
    </row>
    <row r="219" spans="1:7">
      <c r="A219">
        <v>3</v>
      </c>
      <c r="B219">
        <v>17.5</v>
      </c>
      <c r="C219">
        <v>70</v>
      </c>
      <c r="D219">
        <v>225</v>
      </c>
      <c r="F219" t="s">
        <v>1235</v>
      </c>
    </row>
    <row r="220" spans="1:7">
      <c r="A220">
        <v>3</v>
      </c>
      <c r="B220">
        <v>17.5</v>
      </c>
      <c r="C220">
        <v>100</v>
      </c>
      <c r="D220">
        <v>225</v>
      </c>
      <c r="F220" t="s">
        <v>1236</v>
      </c>
    </row>
    <row r="221" spans="1:7">
      <c r="A221">
        <v>3</v>
      </c>
      <c r="B221">
        <v>17.5</v>
      </c>
      <c r="C221">
        <v>130</v>
      </c>
      <c r="D221">
        <v>225</v>
      </c>
      <c r="F221" t="s">
        <v>1237</v>
      </c>
    </row>
    <row r="222" spans="1:7">
      <c r="A222">
        <v>3</v>
      </c>
      <c r="B222">
        <v>17.5</v>
      </c>
      <c r="C222">
        <v>160</v>
      </c>
      <c r="D222">
        <v>225</v>
      </c>
      <c r="F222" t="s">
        <v>1238</v>
      </c>
    </row>
    <row r="223" spans="1:7">
      <c r="A223">
        <v>3</v>
      </c>
      <c r="B223">
        <v>17.5</v>
      </c>
      <c r="C223">
        <v>190</v>
      </c>
      <c r="D223">
        <v>225</v>
      </c>
      <c r="F223" t="s">
        <v>1239</v>
      </c>
    </row>
    <row r="224" spans="1:7">
      <c r="A224">
        <v>4</v>
      </c>
      <c r="B224">
        <v>86</v>
      </c>
      <c r="C224">
        <v>220</v>
      </c>
      <c r="D224">
        <v>88</v>
      </c>
      <c r="F224" t="s">
        <v>1160</v>
      </c>
    </row>
    <row r="226" spans="1:6">
      <c r="A226" t="s">
        <v>1240</v>
      </c>
    </row>
    <row r="227" spans="1:6">
      <c r="B227" s="208">
        <v>160</v>
      </c>
      <c r="C227" s="208">
        <v>25</v>
      </c>
      <c r="D227" s="208">
        <v>260</v>
      </c>
      <c r="E227" s="208">
        <v>250</v>
      </c>
      <c r="F227" t="s">
        <v>1241</v>
      </c>
    </row>
    <row r="228" spans="1:6">
      <c r="A228">
        <v>3</v>
      </c>
      <c r="B228">
        <v>17.5</v>
      </c>
      <c r="C228">
        <v>10</v>
      </c>
      <c r="D228">
        <v>225</v>
      </c>
      <c r="F228" t="s">
        <v>1242</v>
      </c>
    </row>
    <row r="229" spans="1:6">
      <c r="A229">
        <v>3</v>
      </c>
      <c r="B229">
        <v>17.5</v>
      </c>
      <c r="C229">
        <v>40</v>
      </c>
      <c r="D229">
        <v>225</v>
      </c>
      <c r="F229" t="s">
        <v>1243</v>
      </c>
    </row>
    <row r="230" spans="1:6">
      <c r="A230">
        <v>3</v>
      </c>
      <c r="B230">
        <v>17.5</v>
      </c>
      <c r="C230">
        <v>70</v>
      </c>
      <c r="D230">
        <v>225</v>
      </c>
      <c r="F230" t="s">
        <v>1244</v>
      </c>
    </row>
    <row r="231" spans="1:6">
      <c r="A231">
        <v>3</v>
      </c>
      <c r="B231">
        <v>17.5</v>
      </c>
      <c r="C231">
        <v>100</v>
      </c>
      <c r="D231">
        <v>225</v>
      </c>
      <c r="F231" t="s">
        <v>1233</v>
      </c>
    </row>
    <row r="232" spans="1:6">
      <c r="A232">
        <v>3</v>
      </c>
      <c r="B232">
        <v>17.5</v>
      </c>
      <c r="C232">
        <v>130</v>
      </c>
      <c r="D232">
        <v>225</v>
      </c>
      <c r="F232" t="s">
        <v>1245</v>
      </c>
    </row>
    <row r="233" spans="1:6" ht="12.75">
      <c r="A233">
        <v>3</v>
      </c>
      <c r="B233">
        <v>17.5</v>
      </c>
      <c r="C233">
        <v>160</v>
      </c>
      <c r="D233">
        <v>225</v>
      </c>
      <c r="F233" s="235" t="s">
        <v>1246</v>
      </c>
    </row>
    <row r="234" spans="1:6" ht="12.75">
      <c r="A234">
        <v>3</v>
      </c>
      <c r="B234">
        <v>17.5</v>
      </c>
      <c r="C234">
        <v>190</v>
      </c>
      <c r="D234">
        <v>225</v>
      </c>
      <c r="F234" s="235" t="s">
        <v>1246</v>
      </c>
    </row>
    <row r="235" spans="1:6">
      <c r="A235">
        <v>4</v>
      </c>
      <c r="B235">
        <v>86</v>
      </c>
      <c r="C235">
        <v>220</v>
      </c>
      <c r="D235">
        <v>88</v>
      </c>
      <c r="F235" t="s">
        <v>1160</v>
      </c>
    </row>
    <row r="238" spans="1:6">
      <c r="A238" t="s">
        <v>1247</v>
      </c>
    </row>
    <row r="239" spans="1:6">
      <c r="B239" s="208">
        <v>160</v>
      </c>
      <c r="C239" s="208">
        <v>25</v>
      </c>
      <c r="D239" s="208">
        <v>300</v>
      </c>
      <c r="E239" s="208">
        <v>310</v>
      </c>
      <c r="F239" t="s">
        <v>1248</v>
      </c>
    </row>
    <row r="240" spans="1:6">
      <c r="A240">
        <v>3</v>
      </c>
      <c r="B240">
        <v>30</v>
      </c>
      <c r="C240">
        <v>10</v>
      </c>
      <c r="D240">
        <v>240</v>
      </c>
      <c r="F240" t="s">
        <v>1249</v>
      </c>
    </row>
    <row r="241" spans="1:8">
      <c r="A241">
        <v>3</v>
      </c>
      <c r="B241">
        <v>30</v>
      </c>
      <c r="C241">
        <v>40</v>
      </c>
      <c r="D241">
        <v>240</v>
      </c>
      <c r="F241" t="s">
        <v>734</v>
      </c>
    </row>
    <row r="242" spans="1:8">
      <c r="A242">
        <v>3</v>
      </c>
      <c r="B242">
        <v>30</v>
      </c>
      <c r="C242">
        <v>70</v>
      </c>
      <c r="D242">
        <v>240</v>
      </c>
      <c r="F242" t="s">
        <v>1250</v>
      </c>
    </row>
    <row r="243" spans="1:8">
      <c r="A243">
        <v>3</v>
      </c>
      <c r="B243">
        <v>30</v>
      </c>
      <c r="C243">
        <v>100</v>
      </c>
      <c r="D243">
        <v>240</v>
      </c>
      <c r="F243" t="s">
        <v>1251</v>
      </c>
    </row>
    <row r="244" spans="1:8">
      <c r="A244">
        <v>3</v>
      </c>
      <c r="B244">
        <v>30</v>
      </c>
      <c r="C244">
        <v>130</v>
      </c>
      <c r="D244">
        <v>240</v>
      </c>
      <c r="F244" t="s">
        <v>1252</v>
      </c>
    </row>
    <row r="245" spans="1:8">
      <c r="A245">
        <v>3</v>
      </c>
      <c r="B245">
        <v>30</v>
      </c>
      <c r="C245">
        <v>160</v>
      </c>
      <c r="D245">
        <v>240</v>
      </c>
      <c r="F245" t="s">
        <v>1253</v>
      </c>
    </row>
    <row r="246" spans="1:8">
      <c r="A246">
        <v>3</v>
      </c>
      <c r="B246">
        <v>40</v>
      </c>
      <c r="C246">
        <v>190</v>
      </c>
      <c r="D246">
        <v>220</v>
      </c>
      <c r="F246" t="s">
        <v>1254</v>
      </c>
    </row>
    <row r="247" spans="1:8">
      <c r="A247">
        <v>3</v>
      </c>
      <c r="B247">
        <v>20</v>
      </c>
      <c r="C247">
        <v>220</v>
      </c>
      <c r="D247">
        <v>260</v>
      </c>
      <c r="F247" t="s">
        <v>1255</v>
      </c>
    </row>
    <row r="248" spans="1:8" ht="12.75">
      <c r="A248">
        <v>3</v>
      </c>
      <c r="B248">
        <v>20</v>
      </c>
      <c r="C248">
        <v>250</v>
      </c>
      <c r="D248">
        <v>260</v>
      </c>
      <c r="F248" s="235" t="s">
        <v>1246</v>
      </c>
    </row>
    <row r="249" spans="1:8">
      <c r="A249">
        <v>4</v>
      </c>
      <c r="B249">
        <v>106</v>
      </c>
      <c r="C249">
        <v>280</v>
      </c>
      <c r="D249">
        <v>88</v>
      </c>
      <c r="F249" t="s">
        <v>1160</v>
      </c>
    </row>
    <row r="255" spans="1:8">
      <c r="A255" t="s">
        <v>1176</v>
      </c>
      <c r="C255" t="s">
        <v>1256</v>
      </c>
      <c r="D255" t="s">
        <v>1257</v>
      </c>
      <c r="E255" t="s">
        <v>1258</v>
      </c>
      <c r="F255" t="s">
        <v>1259</v>
      </c>
      <c r="G255" t="s">
        <v>25</v>
      </c>
      <c r="H255" t="s">
        <v>1260</v>
      </c>
    </row>
    <row r="256" spans="1:8"/>
    <row r="257" spans="1:8"/>
    <row r="258" spans="1:8"/>
    <row r="259" spans="1:8"/>
    <row r="260" spans="1:8"/>
    <row r="261" spans="1:8"/>
    <row r="262" spans="1:8"/>
    <row r="263" spans="1:8"/>
    <row r="264" spans="1:8" ht="12.75"/>
    <row r="265" spans="1:8" ht="12.75"/>
    <row r="266" spans="1:8"/>
    <row r="267" spans="1:8"/>
    <row r="268" spans="1:8"/>
    <row r="269" spans="1:8"/>
    <row r="270" spans="1:8"/>
    <row r="271" spans="1:8"/>
    <row r="275" spans="1:9">
      <c r="A275" t="s">
        <v>1261</v>
      </c>
      <c r="C275" t="s">
        <v>1262</v>
      </c>
      <c r="D275" t="s">
        <v>1263</v>
      </c>
      <c r="E275" t="s">
        <v>1264</v>
      </c>
    </row>
    <row r="276" spans="1:9">
      <c r="A276" s="208"/>
      <c r="B276" s="208">
        <v>49</v>
      </c>
      <c r="C276" s="208">
        <v>25</v>
      </c>
      <c r="D276" s="208">
        <v>613</v>
      </c>
      <c r="E276" s="208">
        <v>252</v>
      </c>
      <c r="F276" s="208" t="s">
        <v>1265</v>
      </c>
      <c r="G276" s="208"/>
    </row>
    <row r="277" spans="1:9">
      <c r="A277" s="208">
        <v>14</v>
      </c>
      <c r="B277" s="208">
        <v>36</v>
      </c>
      <c r="C277" s="208">
        <v>145</v>
      </c>
      <c r="D277" s="208">
        <v>550</v>
      </c>
      <c r="E277" s="208">
        <v>56</v>
      </c>
      <c r="F277" s="208" t="s">
        <v>1266</v>
      </c>
      <c r="G277" s="208"/>
      <c r="I277">
        <v>1</v>
      </c>
    </row>
    <row r="278" spans="1:9">
      <c r="A278" s="208">
        <v>3</v>
      </c>
      <c r="B278" s="208">
        <v>65</v>
      </c>
      <c r="C278" s="208">
        <v>166</v>
      </c>
      <c r="D278" s="208">
        <v>236</v>
      </c>
      <c r="E278" s="208"/>
      <c r="F278" s="208" t="s">
        <v>1267</v>
      </c>
      <c r="G278" s="208"/>
      <c r="I278">
        <v>2</v>
      </c>
    </row>
    <row r="279" spans="1:9" ht="12.75">
      <c r="A279" s="208">
        <v>3</v>
      </c>
      <c r="B279" s="208">
        <v>321</v>
      </c>
      <c r="C279" s="208">
        <v>166</v>
      </c>
      <c r="D279" s="208">
        <v>236</v>
      </c>
      <c r="E279" s="208"/>
      <c r="F279" s="209" t="s">
        <v>1268</v>
      </c>
      <c r="G279" s="208"/>
      <c r="I279">
        <v>3</v>
      </c>
    </row>
    <row r="280" spans="1:9">
      <c r="A280" s="208">
        <v>14</v>
      </c>
      <c r="B280" s="208">
        <v>35</v>
      </c>
      <c r="C280" s="208">
        <v>10</v>
      </c>
      <c r="D280" s="208">
        <v>340</v>
      </c>
      <c r="E280" s="208">
        <v>118</v>
      </c>
      <c r="F280" s="208" t="s">
        <v>1269</v>
      </c>
      <c r="G280" s="208"/>
      <c r="I280">
        <v>4</v>
      </c>
    </row>
    <row r="281" spans="1:9">
      <c r="A281" s="208">
        <v>3</v>
      </c>
      <c r="B281" s="208">
        <v>95</v>
      </c>
      <c r="C281" s="208">
        <v>100</v>
      </c>
      <c r="D281" s="208">
        <v>225</v>
      </c>
      <c r="E281" s="208"/>
      <c r="F281" s="208" t="s">
        <v>381</v>
      </c>
      <c r="G281" s="208"/>
      <c r="I281">
        <v>5</v>
      </c>
    </row>
    <row r="282" spans="1:9">
      <c r="A282" s="208">
        <v>3</v>
      </c>
      <c r="B282" s="208">
        <v>95</v>
      </c>
      <c r="C282" s="208">
        <v>75</v>
      </c>
      <c r="D282" s="208">
        <v>225</v>
      </c>
      <c r="E282" s="208"/>
      <c r="F282" s="208" t="s">
        <v>1270</v>
      </c>
      <c r="G282" s="208"/>
      <c r="I282">
        <v>6</v>
      </c>
    </row>
    <row r="283" spans="1:9">
      <c r="A283" s="208">
        <v>3</v>
      </c>
      <c r="B283" s="208">
        <v>95</v>
      </c>
      <c r="C283" s="208">
        <v>25</v>
      </c>
      <c r="D283" s="208">
        <v>225</v>
      </c>
      <c r="E283" s="208"/>
      <c r="F283" s="208" t="s">
        <v>1271</v>
      </c>
      <c r="G283" s="208"/>
      <c r="I283">
        <v>7</v>
      </c>
    </row>
    <row r="284" spans="1:9">
      <c r="A284" s="208">
        <v>3</v>
      </c>
      <c r="B284" s="208">
        <v>95</v>
      </c>
      <c r="C284" s="208">
        <v>50</v>
      </c>
      <c r="D284" s="208">
        <v>225</v>
      </c>
      <c r="E284" s="208"/>
      <c r="F284" s="208" t="s">
        <v>1272</v>
      </c>
      <c r="G284" s="208"/>
      <c r="I284">
        <v>8</v>
      </c>
    </row>
    <row r="285" spans="1:9">
      <c r="A285" s="208">
        <v>4</v>
      </c>
      <c r="B285" s="208">
        <v>320</v>
      </c>
      <c r="C285" s="208">
        <v>210</v>
      </c>
      <c r="D285" s="208">
        <v>88</v>
      </c>
      <c r="E285" s="208"/>
      <c r="F285" s="208" t="s">
        <v>1160</v>
      </c>
      <c r="G285" s="208"/>
      <c r="I285">
        <v>9</v>
      </c>
    </row>
    <row r="286" spans="1:9">
      <c r="A286" s="208">
        <v>3</v>
      </c>
      <c r="B286" s="208">
        <v>200</v>
      </c>
      <c r="C286" s="208">
        <v>210</v>
      </c>
      <c r="D286" s="208">
        <v>88</v>
      </c>
      <c r="E286" s="208"/>
      <c r="F286" s="208" t="s">
        <v>1184</v>
      </c>
      <c r="G286" s="208"/>
      <c r="I286">
        <v>10</v>
      </c>
    </row>
    <row r="287" spans="1:9">
      <c r="A287" s="208">
        <v>14</v>
      </c>
      <c r="B287" s="208">
        <v>390</v>
      </c>
      <c r="C287" s="208">
        <v>59</v>
      </c>
      <c r="D287" s="208">
        <v>200</v>
      </c>
      <c r="E287" s="208">
        <v>67</v>
      </c>
      <c r="F287" s="208" t="s">
        <v>1273</v>
      </c>
      <c r="G287" s="208"/>
      <c r="I287">
        <v>11</v>
      </c>
    </row>
    <row r="288" spans="1:9">
      <c r="A288" s="208">
        <v>11</v>
      </c>
      <c r="B288" s="208"/>
      <c r="C288" s="208"/>
      <c r="D288" s="208"/>
      <c r="E288" s="208"/>
      <c r="F288" s="208"/>
      <c r="G288" s="208">
        <v>2</v>
      </c>
      <c r="I288">
        <v>12</v>
      </c>
    </row>
    <row r="289" spans="1:9">
      <c r="A289" s="208">
        <v>12</v>
      </c>
      <c r="B289" s="208"/>
      <c r="C289" s="208"/>
      <c r="D289" s="208"/>
      <c r="E289" s="208"/>
      <c r="F289" s="208" t="s">
        <v>1274</v>
      </c>
      <c r="G289" s="208"/>
      <c r="I289">
        <v>13</v>
      </c>
    </row>
    <row r="290" spans="1:9">
      <c r="A290" s="208">
        <v>12</v>
      </c>
      <c r="B290" s="208"/>
      <c r="C290" s="208"/>
      <c r="D290" s="208"/>
      <c r="E290" s="208"/>
      <c r="F290" s="208" t="s">
        <v>1275</v>
      </c>
      <c r="G290" s="208"/>
      <c r="I290">
        <v>14</v>
      </c>
    </row>
    <row r="291" spans="1:9">
      <c r="A291" s="208">
        <v>12</v>
      </c>
      <c r="B291" s="208"/>
      <c r="C291" s="208"/>
      <c r="D291" s="208"/>
      <c r="E291" s="208"/>
      <c r="F291" s="208" t="s">
        <v>1276</v>
      </c>
      <c r="G291" s="208"/>
      <c r="I291">
        <v>15</v>
      </c>
    </row>
    <row r="292" spans="1:9">
      <c r="A292" s="208">
        <v>5</v>
      </c>
      <c r="B292" s="208">
        <v>390</v>
      </c>
      <c r="C292" s="208">
        <v>33</v>
      </c>
      <c r="D292" s="208"/>
      <c r="E292" s="208"/>
      <c r="G292" s="208"/>
      <c r="I292">
        <v>16</v>
      </c>
    </row>
    <row r="293" spans="1:9">
      <c r="A293" s="208">
        <v>5</v>
      </c>
      <c r="B293" s="208">
        <v>390</v>
      </c>
      <c r="C293" s="208">
        <v>10</v>
      </c>
      <c r="D293" s="208"/>
      <c r="E293" s="208"/>
      <c r="F293" s="208" t="s">
        <v>1277</v>
      </c>
      <c r="G293" s="208"/>
      <c r="I293">
        <v>18</v>
      </c>
    </row>
    <row r="294" spans="1:9">
      <c r="A294" s="208"/>
      <c r="B294" s="208"/>
      <c r="C294" s="208"/>
      <c r="D294" s="208"/>
      <c r="E294" s="208"/>
      <c r="F294" s="208"/>
      <c r="G294" s="208"/>
      <c r="I294">
        <v>19</v>
      </c>
    </row>
    <row r="295" spans="1:9">
      <c r="A295" s="208"/>
      <c r="B295" s="208"/>
      <c r="C295" s="208"/>
      <c r="D295" s="208"/>
      <c r="E295" s="208"/>
      <c r="F295" s="208"/>
      <c r="G295" s="208"/>
      <c r="I295">
        <v>20</v>
      </c>
    </row>
    <row r="296" spans="1:9">
      <c r="A296" t="s">
        <v>1179</v>
      </c>
      <c r="G296" s="208"/>
      <c r="I296">
        <v>21</v>
      </c>
    </row>
    <row r="297" spans="1:9">
      <c r="G297" s="69"/>
      <c r="I297">
        <v>22</v>
      </c>
    </row>
    <row r="298" spans="1:9">
      <c r="G298" s="208"/>
      <c r="I298">
        <v>23</v>
      </c>
    </row>
    <row r="299" spans="1:9"/>
    <row r="300" spans="1:9"/>
    <row r="301" spans="1:9"/>
    <row r="305" spans="1:6">
      <c r="A305" t="s">
        <v>1278</v>
      </c>
    </row>
    <row r="306" spans="1:6">
      <c r="D306">
        <v>320</v>
      </c>
      <c r="E306">
        <v>100</v>
      </c>
      <c r="F306" t="s">
        <v>1279</v>
      </c>
    </row>
    <row r="307" spans="1:6">
      <c r="A307">
        <v>3</v>
      </c>
      <c r="B307">
        <v>10</v>
      </c>
      <c r="C307">
        <v>10</v>
      </c>
      <c r="D307">
        <v>140</v>
      </c>
      <c r="F307" t="s">
        <v>1280</v>
      </c>
    </row>
    <row r="308" spans="1:6">
      <c r="A308">
        <v>3</v>
      </c>
      <c r="B308">
        <v>10</v>
      </c>
      <c r="C308">
        <v>40</v>
      </c>
      <c r="D308">
        <v>140</v>
      </c>
      <c r="F308" t="s">
        <v>1281</v>
      </c>
    </row>
    <row r="309" spans="1:6" ht="12.75">
      <c r="A309">
        <v>3</v>
      </c>
      <c r="B309">
        <v>170</v>
      </c>
      <c r="C309">
        <v>10</v>
      </c>
      <c r="D309">
        <v>140</v>
      </c>
      <c r="F309" s="235" t="s">
        <v>1282</v>
      </c>
    </row>
    <row r="310" spans="1:6" ht="12.75">
      <c r="A310">
        <v>3</v>
      </c>
      <c r="B310">
        <v>170</v>
      </c>
      <c r="C310">
        <v>40</v>
      </c>
      <c r="D310">
        <v>140</v>
      </c>
      <c r="F310" s="235" t="s">
        <v>1283</v>
      </c>
    </row>
    <row r="311" spans="1:6">
      <c r="A311">
        <v>2</v>
      </c>
      <c r="B311">
        <v>120</v>
      </c>
      <c r="C311">
        <v>70</v>
      </c>
      <c r="D311">
        <v>88</v>
      </c>
      <c r="F311" t="s">
        <v>1185</v>
      </c>
    </row>
    <row r="312" spans="1:6">
      <c r="A312">
        <v>5</v>
      </c>
      <c r="B312">
        <v>85</v>
      </c>
      <c r="C312">
        <v>14</v>
      </c>
    </row>
    <row r="332" spans="1:13" ht="12.75">
      <c r="A332" s="235" t="s">
        <v>1284</v>
      </c>
      <c r="C332" s="235" t="s">
        <v>1285</v>
      </c>
      <c r="D332" s="235" t="s">
        <v>1286</v>
      </c>
      <c r="E332" s="235" t="s">
        <v>1287</v>
      </c>
      <c r="F332" s="235" t="s">
        <v>1288</v>
      </c>
      <c r="G332" s="235" t="s">
        <v>1289</v>
      </c>
    </row>
    <row r="333" spans="1:13" ht="12.75">
      <c r="H333" s="351" t="s">
        <v>1290</v>
      </c>
      <c r="I333" s="236"/>
      <c r="J333" s="236"/>
      <c r="K333" s="236"/>
      <c r="L333" s="236"/>
      <c r="M333" s="236"/>
    </row>
    <row r="334" spans="1:13" ht="12.75">
      <c r="H334" t="s">
        <v>1291</v>
      </c>
    </row>
    <row r="335" spans="1:13" ht="12.75">
      <c r="H335" t="s">
        <v>1292</v>
      </c>
    </row>
    <row r="336" spans="1:13" ht="12.75">
      <c r="H336" s="339" t="s">
        <v>1293</v>
      </c>
    </row>
    <row r="337" spans="1:8" ht="12.75">
      <c r="H337" s="339" t="s">
        <v>1293</v>
      </c>
    </row>
    <row r="338" spans="1:8" ht="12.75">
      <c r="H338" s="308" t="s">
        <v>1294</v>
      </c>
    </row>
    <row r="339" spans="1:8" ht="12.75"/>
    <row r="340" spans="1:8" ht="12.75"/>
    <row r="341" spans="1:8" ht="12.75"/>
    <row r="342" spans="1:8" ht="12.75">
      <c r="H342" t="s">
        <v>1295</v>
      </c>
    </row>
    <row r="343" spans="1:8" ht="12.75">
      <c r="H343" t="s">
        <v>1296</v>
      </c>
    </row>
    <row r="344" spans="1:8" ht="12.75"/>
    <row r="345" spans="1:8" ht="12.75"/>
    <row r="346" spans="1:8"/>
    <row r="347" spans="1:8">
      <c r="H347" t="s">
        <v>1297</v>
      </c>
    </row>
    <row r="348" spans="1:8">
      <c r="H348" t="s">
        <v>1298</v>
      </c>
    </row>
    <row r="349" spans="1:8"/>
    <row r="350" spans="1:8"/>
    <row r="351" spans="1:8"/>
    <row r="352" spans="1:8"/>
    <row r="355" spans="1:7" ht="12.75">
      <c r="A355" s="235" t="s">
        <v>1299</v>
      </c>
    </row>
    <row r="356" spans="1:7" ht="12.75">
      <c r="D356">
        <v>320</v>
      </c>
      <c r="E356">
        <v>100</v>
      </c>
      <c r="F356" s="235" t="s">
        <v>1300</v>
      </c>
    </row>
    <row r="357" spans="1:7" ht="12.75">
      <c r="A357">
        <v>3</v>
      </c>
      <c r="B357">
        <v>10</v>
      </c>
      <c r="C357">
        <v>10</v>
      </c>
      <c r="D357">
        <v>140</v>
      </c>
      <c r="F357" s="235" t="s">
        <v>1301</v>
      </c>
    </row>
    <row r="358" spans="1:7" ht="12.75">
      <c r="A358">
        <v>3</v>
      </c>
      <c r="B358">
        <v>10</v>
      </c>
      <c r="C358">
        <v>40</v>
      </c>
      <c r="D358">
        <v>140</v>
      </c>
      <c r="F358" s="235" t="s">
        <v>1302</v>
      </c>
    </row>
    <row r="359" spans="1:7" ht="12.75">
      <c r="A359">
        <v>3</v>
      </c>
      <c r="B359">
        <v>170</v>
      </c>
      <c r="C359">
        <v>10</v>
      </c>
      <c r="D359">
        <v>140</v>
      </c>
      <c r="F359" s="235" t="s">
        <v>1303</v>
      </c>
    </row>
    <row r="360" spans="1:7" ht="12.75">
      <c r="A360">
        <v>3</v>
      </c>
      <c r="B360">
        <v>170</v>
      </c>
      <c r="C360">
        <v>40</v>
      </c>
      <c r="D360">
        <v>140</v>
      </c>
      <c r="F360" s="235" t="s">
        <v>1304</v>
      </c>
    </row>
    <row r="361" spans="1:7" ht="12.75">
      <c r="A361">
        <v>3</v>
      </c>
      <c r="B361">
        <v>10</v>
      </c>
      <c r="C361">
        <v>70</v>
      </c>
      <c r="D361">
        <v>140</v>
      </c>
      <c r="F361" s="235" t="s">
        <v>1305</v>
      </c>
    </row>
    <row r="362" spans="1:7">
      <c r="A362">
        <v>2</v>
      </c>
      <c r="B362">
        <v>170</v>
      </c>
      <c r="C362">
        <v>70</v>
      </c>
      <c r="D362">
        <v>140</v>
      </c>
      <c r="F362" t="s">
        <v>1185</v>
      </c>
    </row>
    <row r="363" spans="1:7">
      <c r="A363">
        <v>5</v>
      </c>
      <c r="B363">
        <v>85</v>
      </c>
      <c r="C363">
        <v>14</v>
      </c>
    </row>
    <row r="368" spans="1:7" ht="12.75">
      <c r="A368" s="235" t="s">
        <v>1306</v>
      </c>
      <c r="C368" s="235" t="s">
        <v>1307</v>
      </c>
      <c r="D368" s="235" t="s">
        <v>1308</v>
      </c>
      <c r="E368" s="235" t="s">
        <v>1309</v>
      </c>
      <c r="F368" s="235" t="s">
        <v>1310</v>
      </c>
      <c r="G368" s="235" t="s">
        <v>1311</v>
      </c>
    </row>
    <row r="369" spans="1:12" ht="12.75">
      <c r="H369" s="236"/>
      <c r="I369" s="236"/>
      <c r="J369" s="236"/>
      <c r="K369" s="236"/>
      <c r="L369" s="236"/>
    </row>
    <row r="370" spans="1:12" ht="12.75"/>
    <row r="371" spans="1:12" ht="12.75"/>
    <row r="372" spans="1:12" ht="12.75"/>
    <row r="373" spans="1:12" ht="12.75"/>
    <row r="374" spans="1:12" ht="12.75"/>
    <row r="375" spans="1:12" ht="12.75"/>
    <row r="376" spans="1:12" ht="12.75"/>
    <row r="377" spans="1:12" ht="12.75"/>
    <row r="378" spans="1:12" ht="12.75"/>
    <row r="379" spans="1:12" ht="12.75"/>
    <row r="380" spans="1:12" ht="12.75"/>
    <row r="381" spans="1:12" ht="12.75"/>
    <row r="382" spans="1:12"/>
    <row r="383" spans="1:12"/>
    <row r="384" spans="1:12"/>
    <row r="385" spans="1:7"/>
    <row r="386" spans="1:7"/>
    <row r="387" spans="1:7"/>
    <row r="388" spans="1:7"/>
    <row r="391" spans="1:7" ht="12.75">
      <c r="A391" s="235" t="s">
        <v>1312</v>
      </c>
    </row>
    <row r="392" spans="1:7" ht="12.75">
      <c r="D392">
        <v>320</v>
      </c>
      <c r="E392">
        <v>100</v>
      </c>
      <c r="F392" s="235" t="s">
        <v>1300</v>
      </c>
    </row>
    <row r="393" spans="1:7" ht="12.75">
      <c r="A393">
        <v>3</v>
      </c>
      <c r="B393">
        <v>10</v>
      </c>
      <c r="C393">
        <v>10</v>
      </c>
      <c r="D393">
        <v>140</v>
      </c>
      <c r="F393" s="235" t="s">
        <v>1301</v>
      </c>
    </row>
    <row r="394" spans="1:7" ht="12.75">
      <c r="A394">
        <v>3</v>
      </c>
      <c r="B394">
        <v>10</v>
      </c>
      <c r="C394">
        <v>40</v>
      </c>
      <c r="D394">
        <v>140</v>
      </c>
      <c r="F394" s="235" t="s">
        <v>1302</v>
      </c>
    </row>
    <row r="395" spans="1:7" ht="12.75">
      <c r="A395">
        <v>3</v>
      </c>
      <c r="B395">
        <v>170</v>
      </c>
      <c r="C395">
        <v>10</v>
      </c>
      <c r="D395">
        <v>140</v>
      </c>
      <c r="F395" s="235" t="s">
        <v>1303</v>
      </c>
    </row>
    <row r="396" spans="1:7" ht="12.75">
      <c r="A396">
        <v>3</v>
      </c>
      <c r="B396">
        <v>170</v>
      </c>
      <c r="C396">
        <v>40</v>
      </c>
      <c r="D396">
        <v>140</v>
      </c>
      <c r="F396" s="235" t="s">
        <v>1304</v>
      </c>
    </row>
    <row r="397" spans="1:7" ht="12.75">
      <c r="A397">
        <v>3</v>
      </c>
      <c r="B397">
        <v>10</v>
      </c>
      <c r="C397">
        <v>70</v>
      </c>
      <c r="D397">
        <v>140</v>
      </c>
      <c r="F397" s="235" t="s">
        <v>1305</v>
      </c>
    </row>
    <row r="398" spans="1:7">
      <c r="A398">
        <v>2</v>
      </c>
      <c r="B398">
        <v>170</v>
      </c>
      <c r="C398">
        <v>70</v>
      </c>
      <c r="D398">
        <v>140</v>
      </c>
      <c r="F398" t="s">
        <v>1185</v>
      </c>
    </row>
    <row r="399" spans="1:7">
      <c r="A399">
        <v>5</v>
      </c>
      <c r="B399">
        <v>85</v>
      </c>
      <c r="C399">
        <v>14</v>
      </c>
    </row>
    <row r="467" spans="1:1">
      <c r="A467" t="s">
        <v>1313</v>
      </c>
    </row>
    <row r="468" spans="1:1"/>
    <row r="469" spans="1:1"/>
    <row r="470" spans="1:1"/>
    <row r="471" spans="1:1"/>
    <row r="472" spans="1:1"/>
    <row r="473" spans="1:1"/>
    <row r="474" spans="1:1"/>
    <row r="475" spans="1:1"/>
  </sheetData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8" baseType="variant">
      <vt:variant>
        <vt:lpstr>Worksheets</vt:lpstr>
      </vt:variant>
      <vt:variant>
        <vt:i4>5</vt:i4>
      </vt:variant>
      <vt:variant>
        <vt:lpstr>Excel 4.0 Macros</vt:lpstr>
      </vt:variant>
      <vt:variant>
        <vt:i4>1</vt:i4>
      </vt:variant>
      <vt:variant>
        <vt:lpstr>Dialogs</vt:lpstr>
      </vt:variant>
      <vt:variant>
        <vt:i4>6</vt:i4>
      </vt:variant>
      <vt:variant>
        <vt:lpstr>Named Ranges</vt:lpstr>
      </vt:variant>
      <vt:variant>
        <vt:i4>141</vt:i4>
      </vt:variant>
    </vt:vector>
  </HeadingPairs>
  <TitlesOfParts>
    <vt:vector size="153" baseType="lpstr">
      <vt:lpstr>PRICCURV</vt:lpstr>
      <vt:lpstr>PROFILE</vt:lpstr>
      <vt:lpstr>GC</vt:lpstr>
      <vt:lpstr>EP</vt:lpstr>
      <vt:lpstr>CFMODEL</vt:lpstr>
      <vt:lpstr>CFMACROS</vt:lpstr>
      <vt:lpstr>Iterbox</vt:lpstr>
      <vt:lpstr>InpBox</vt:lpstr>
      <vt:lpstr>GoToBox</vt:lpstr>
      <vt:lpstr>PrintBox</vt:lpstr>
      <vt:lpstr>EPrint</vt:lpstr>
      <vt:lpstr>EGo</vt:lpstr>
      <vt:lpstr>AS</vt:lpstr>
      <vt:lpstr>ASSET_SALES</vt:lpstr>
      <vt:lpstr>BB</vt:lpstr>
      <vt:lpstr>Bbase</vt:lpstr>
      <vt:lpstr>BS</vt:lpstr>
      <vt:lpstr>CAP1</vt:lpstr>
      <vt:lpstr>CAP2</vt:lpstr>
      <vt:lpstr>CASH</vt:lpstr>
      <vt:lpstr>CASH1</vt:lpstr>
      <vt:lpstr>CASH2</vt:lpstr>
      <vt:lpstr>CASHA</vt:lpstr>
      <vt:lpstr>CASHB</vt:lpstr>
      <vt:lpstr>CASHC</vt:lpstr>
      <vt:lpstr>CASHD</vt:lpstr>
      <vt:lpstr>COM3</vt:lpstr>
      <vt:lpstr>COM5</vt:lpstr>
      <vt:lpstr>COMMON</vt:lpstr>
      <vt:lpstr>COMNAME</vt:lpstr>
      <vt:lpstr>CS</vt:lpstr>
      <vt:lpstr>Debt_Sched</vt:lpstr>
      <vt:lpstr>DEFREV</vt:lpstr>
      <vt:lpstr>DEFREV1</vt:lpstr>
      <vt:lpstr>DEFREV2</vt:lpstr>
      <vt:lpstr>DEFREVA</vt:lpstr>
      <vt:lpstr>DEFREVB</vt:lpstr>
      <vt:lpstr>delarea</vt:lpstr>
      <vt:lpstr>DILUTION</vt:lpstr>
      <vt:lpstr>EOP</vt:lpstr>
      <vt:lpstr>EPCAP</vt:lpstr>
      <vt:lpstr>EPCAPSIM</vt:lpstr>
      <vt:lpstr>epcos</vt:lpstr>
      <vt:lpstr>epcount</vt:lpstr>
      <vt:lpstr>epdep</vt:lpstr>
      <vt:lpstr>epdepl</vt:lpstr>
      <vt:lpstr>epesc</vt:lpstr>
      <vt:lpstr>epfa</vt:lpstr>
      <vt:lpstr>epfasum</vt:lpstr>
      <vt:lpstr>epfuel</vt:lpstr>
      <vt:lpstr>EPHED</vt:lpstr>
      <vt:lpstr>EPNAV</vt:lpstr>
      <vt:lpstr>epog1</vt:lpstr>
      <vt:lpstr>epog2</vt:lpstr>
      <vt:lpstr>epog3</vt:lpstr>
      <vt:lpstr>epog4</vt:lpstr>
      <vt:lpstr>epog5</vt:lpstr>
      <vt:lpstr>epog6</vt:lpstr>
      <vt:lpstr>epogsum</vt:lpstr>
      <vt:lpstr>epp</vt:lpstr>
      <vt:lpstr>epteras</vt:lpstr>
      <vt:lpstr>eptrials</vt:lpstr>
      <vt:lpstr>ESOP</vt:lpstr>
      <vt:lpstr>FASB</vt:lpstr>
      <vt:lpstr>FEES</vt:lpstr>
      <vt:lpstr>FEES1</vt:lpstr>
      <vt:lpstr>FINANCIALS</vt:lpstr>
      <vt:lpstr>FINFEE</vt:lpstr>
      <vt:lpstr>FINFEE1</vt:lpstr>
      <vt:lpstr>FINFEE1A</vt:lpstr>
      <vt:lpstr>FINFEE2</vt:lpstr>
      <vt:lpstr>FINFEE2A</vt:lpstr>
      <vt:lpstr>FS</vt:lpstr>
      <vt:lpstr>FundsFlow</vt:lpstr>
      <vt:lpstr>FYE</vt:lpstr>
      <vt:lpstr>FYE1</vt:lpstr>
      <vt:lpstr>HIST.PROJ</vt:lpstr>
      <vt:lpstr>INCTAX</vt:lpstr>
      <vt:lpstr>INPUT</vt:lpstr>
      <vt:lpstr>INT</vt:lpstr>
      <vt:lpstr>INTEXP</vt:lpstr>
      <vt:lpstr>INTEXP1</vt:lpstr>
      <vt:lpstr>INTEXP1A</vt:lpstr>
      <vt:lpstr>INTEXP2</vt:lpstr>
      <vt:lpstr>INTEXP2A</vt:lpstr>
      <vt:lpstr>INTINC</vt:lpstr>
      <vt:lpstr>INTINC1</vt:lpstr>
      <vt:lpstr>INTINC1A</vt:lpstr>
      <vt:lpstr>INTINC2</vt:lpstr>
      <vt:lpstr>INTINC2A</vt:lpstr>
      <vt:lpstr>IS</vt:lpstr>
      <vt:lpstr>iterprec</vt:lpstr>
      <vt:lpstr>iterx</vt:lpstr>
      <vt:lpstr>JRSUB</vt:lpstr>
      <vt:lpstr>JRSUB3</vt:lpstr>
      <vt:lpstr>JRSUB5</vt:lpstr>
      <vt:lpstr>JRSUBNAME</vt:lpstr>
      <vt:lpstr>K</vt:lpstr>
      <vt:lpstr>KA</vt:lpstr>
      <vt:lpstr>KB</vt:lpstr>
      <vt:lpstr>MULTIPLE3</vt:lpstr>
      <vt:lpstr>MULTIPLE5</vt:lpstr>
      <vt:lpstr>OPENBS</vt:lpstr>
      <vt:lpstr>Other_Inc</vt:lpstr>
      <vt:lpstr>output</vt:lpstr>
      <vt:lpstr>OVERVIEW</vt:lpstr>
      <vt:lpstr>PP</vt:lpstr>
      <vt:lpstr>PPIRR</vt:lpstr>
      <vt:lpstr>PPTEST</vt:lpstr>
      <vt:lpstr>PREF3</vt:lpstr>
      <vt:lpstr>PREF5</vt:lpstr>
      <vt:lpstr>PREFERRED</vt:lpstr>
      <vt:lpstr>PREFNAME</vt:lpstr>
      <vt:lpstr>price</vt:lpstr>
      <vt:lpstr>CFMODEL!Print_Area</vt:lpstr>
      <vt:lpstr>PROFILE!Print_Area</vt:lpstr>
      <vt:lpstr>CFMODEL!Print_Titles</vt:lpstr>
      <vt:lpstr>EP!Print_Titles</vt:lpstr>
      <vt:lpstr>GC!Print_Titles</vt:lpstr>
      <vt:lpstr>REPAY</vt:lpstr>
      <vt:lpstr>RETURNS</vt:lpstr>
      <vt:lpstr>REV</vt:lpstr>
      <vt:lpstr>REV1</vt:lpstr>
      <vt:lpstr>REV2</vt:lpstr>
      <vt:lpstr>REVA</vt:lpstr>
      <vt:lpstr>REVB</vt:lpstr>
      <vt:lpstr>REVC</vt:lpstr>
      <vt:lpstr>REVD</vt:lpstr>
      <vt:lpstr>REVE</vt:lpstr>
      <vt:lpstr>S_U</vt:lpstr>
      <vt:lpstr>SRSUB</vt:lpstr>
      <vt:lpstr>SRSUB3</vt:lpstr>
      <vt:lpstr>SRSUB5</vt:lpstr>
      <vt:lpstr>SRSUBNAME</vt:lpstr>
      <vt:lpstr>stub</vt:lpstr>
      <vt:lpstr>TABLE1</vt:lpstr>
      <vt:lpstr>TABLE1A</vt:lpstr>
      <vt:lpstr>TABLE5</vt:lpstr>
      <vt:lpstr>TABLE5A</vt:lpstr>
      <vt:lpstr>TAX</vt:lpstr>
      <vt:lpstr>TDATE</vt:lpstr>
      <vt:lpstr>TL</vt:lpstr>
      <vt:lpstr>TL3</vt:lpstr>
      <vt:lpstr>TL5</vt:lpstr>
      <vt:lpstr>TLNAME</vt:lpstr>
      <vt:lpstr>TRANSACTION_FEES</vt:lpstr>
      <vt:lpstr>TRANSFF</vt:lpstr>
      <vt:lpstr>unit</vt:lpstr>
      <vt:lpstr>VAL</vt:lpstr>
      <vt:lpstr>waitime</vt:lpstr>
      <vt:lpstr>WC</vt:lpstr>
      <vt:lpstr>WCA</vt:lpstr>
      <vt:lpstr>YearHeadings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CFBook.xlw</dc:title>
  <dc:subject>Cash Flow Model</dc:subject>
  <dc:creator>Vail, Andrea</dc:creator>
  <cp:lastModifiedBy>Felienne</cp:lastModifiedBy>
  <dcterms:created xsi:type="dcterms:W3CDTF">1996-11-06T16:05:01Z</dcterms:created>
  <dcterms:modified xsi:type="dcterms:W3CDTF">2014-09-05T11:14:16Z</dcterms:modified>
</cp:coreProperties>
</file>