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15480" windowHeight="11640" tabRatio="811"/>
  </bookViews>
  <sheets>
    <sheet name="Summary" sheetId="12" r:id="rId1"/>
    <sheet name="Americas" sheetId="5" r:id="rId2"/>
    <sheet name="Europe" sheetId="6" r:id="rId3"/>
    <sheet name="Global Assets" sheetId="7" r:id="rId4"/>
    <sheet name="Capital Portfolio" sheetId="8" r:id="rId5"/>
    <sheet name="Sithe - Contract Position" sheetId="9" r:id="rId6"/>
    <sheet name="Sithe - Plant Value" sheetId="10" r:id="rId7"/>
    <sheet name="Sithe - MTM P&amp;L" sheetId="11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nr_dpr_ect_group_and_other" localSheetId="1">Americas!$A$32:$N$34</definedName>
    <definedName name="nr_dpr_ect_group_and_other" localSheetId="4">'Capital Portfolio'!#REF!</definedName>
    <definedName name="nr_dpr_ect_group_and_other" localSheetId="2">Europe!#REF!</definedName>
    <definedName name="nr_dpr_ect_group_and_other" localSheetId="3">'Global Assets'!$A$23:$L$33</definedName>
    <definedName name="nr_dpr_ect_group_and_other" localSheetId="0">Summary!$A$32:$K$33</definedName>
    <definedName name="nr_dpr_ect_group_and_other">#REF!</definedName>
    <definedName name="nr_dpr_ees" localSheetId="1">Americas!#REF!</definedName>
    <definedName name="nr_dpr_ees" localSheetId="4">'Capital Portfolio'!#REF!</definedName>
    <definedName name="nr_dpr_ees" localSheetId="2">Europe!#REF!</definedName>
    <definedName name="nr_dpr_ees" localSheetId="3">'Global Assets'!#REF!</definedName>
    <definedName name="nr_dpr_ees" localSheetId="0">Summary!#REF!</definedName>
    <definedName name="nr_dpr_ees">#REF!</definedName>
    <definedName name="nr_dpr_emerging_businesses" localSheetId="1">Americas!#REF!</definedName>
    <definedName name="nr_dpr_emerging_businesses" localSheetId="4">'Capital Portfolio'!#REF!</definedName>
    <definedName name="nr_dpr_emerging_businesses" localSheetId="2">Europe!#REF!</definedName>
    <definedName name="nr_dpr_emerging_businesses" localSheetId="3">'Global Assets'!#REF!</definedName>
    <definedName name="nr_dpr_emerging_businesses" localSheetId="0">Summary!#REF!</definedName>
    <definedName name="nr_dpr_emerging_businesses">#REF!</definedName>
    <definedName name="nr_dpr_enron_asia_africa" localSheetId="1">Americas!#REF!</definedName>
    <definedName name="nr_dpr_enron_asia_africa" localSheetId="4">'Capital Portfolio'!$A$12:$L$17</definedName>
    <definedName name="nr_dpr_enron_asia_africa" localSheetId="2">Europe!#REF!</definedName>
    <definedName name="nr_dpr_enron_asia_africa" localSheetId="3">'Global Assets'!#REF!</definedName>
    <definedName name="nr_dpr_enron_asia_africa" localSheetId="0">Summary!#REF!</definedName>
    <definedName name="nr_dpr_enron_asia_africa">#REF!</definedName>
    <definedName name="nr_dpr_enron_europe" localSheetId="1">Americas!$A$31:$O$31</definedName>
    <definedName name="nr_dpr_enron_europe" localSheetId="4">'Capital Portfolio'!#REF!</definedName>
    <definedName name="nr_dpr_enron_europe" localSheetId="2">Europe!$A$13:$M$20</definedName>
    <definedName name="nr_dpr_enron_europe" localSheetId="3">'Global Assets'!$A$12:$M$13</definedName>
    <definedName name="nr_dpr_enron_europe" localSheetId="0">Summary!$A$31:$K$31</definedName>
    <definedName name="nr_dpr_enron_europe">#REF!</definedName>
    <definedName name="nr_dpr_enron_northamerica" localSheetId="1">Americas!$A$10:$N$30</definedName>
    <definedName name="nr_dpr_enron_northamerica" localSheetId="4">'Capital Portfolio'!$A$10:$L$10</definedName>
    <definedName name="nr_dpr_enron_northamerica" localSheetId="2">Europe!$A$10:$L$12</definedName>
    <definedName name="nr_dpr_enron_northamerica" localSheetId="3">'Global Assets'!$A$10:$L$11</definedName>
    <definedName name="nr_dpr_enron_northamerica" localSheetId="0">Summary!$A$10:$K$30</definedName>
    <definedName name="nr_dpr_enron_northamerica">#REF!</definedName>
    <definedName name="nr_dpr_enron_southamerica" localSheetId="1">Americas!#REF!</definedName>
    <definedName name="nr_dpr_enron_southamerica" localSheetId="4">'Capital Portfolio'!$A$11:$L$11</definedName>
    <definedName name="nr_dpr_enron_southamerica" localSheetId="2">Europe!$A$21:$L$28</definedName>
    <definedName name="nr_dpr_enron_southamerica" localSheetId="3">'Global Assets'!$A$14:$L$21</definedName>
    <definedName name="nr_dpr_enron_southamerica" localSheetId="0">Summary!#REF!</definedName>
    <definedName name="nr_dpr_enron_southamerica">#REF!</definedName>
    <definedName name="nr_dpr_financial_trading" localSheetId="1">Americas!#REF!</definedName>
    <definedName name="nr_dpr_financial_trading" localSheetId="4">'Capital Portfolio'!#REF!</definedName>
    <definedName name="nr_dpr_financial_trading" localSheetId="2">Europe!#REF!</definedName>
    <definedName name="nr_dpr_financial_trading" localSheetId="3">'Global Assets'!#REF!</definedName>
    <definedName name="nr_dpr_financial_trading" localSheetId="0">Summary!#REF!</definedName>
    <definedName name="nr_dpr_financial_trading">#REF!</definedName>
    <definedName name="nr_dpr_footer_and_totals" localSheetId="1">Americas!$A$38:$O$43</definedName>
    <definedName name="nr_dpr_footer_and_totals" localSheetId="4">'Capital Portfolio'!#REF!</definedName>
    <definedName name="nr_dpr_footer_and_totals" localSheetId="2">Europe!#REF!</definedName>
    <definedName name="nr_dpr_footer_and_totals" localSheetId="3">'Global Assets'!#REF!</definedName>
    <definedName name="nr_dpr_footer_and_totals" localSheetId="0">Summary!#REF!</definedName>
    <definedName name="nr_dpr_footer_and_totals">#REF!</definedName>
    <definedName name="nr_dpr_gas_assets" localSheetId="1">Americas!$A$49</definedName>
    <definedName name="nr_dpr_gas_assets" localSheetId="4">'Capital Portfolio'!$A$30</definedName>
    <definedName name="nr_dpr_gas_assets" localSheetId="2">Europe!$A$31</definedName>
    <definedName name="nr_dpr_gas_assets" localSheetId="3">'Global Assets'!$A$36</definedName>
    <definedName name="nr_dpr_gas_assets" localSheetId="0">Summary!#REF!</definedName>
    <definedName name="nr_dpr_gas_assets">#REF!</definedName>
    <definedName name="nr_dpr_gas_trading" localSheetId="1">Americas!#REF!</definedName>
    <definedName name="nr_dpr_gas_trading" localSheetId="4">'Capital Portfolio'!#REF!</definedName>
    <definedName name="nr_dpr_gas_trading" localSheetId="2">Europe!#REF!</definedName>
    <definedName name="nr_dpr_gas_trading" localSheetId="3">'Global Assets'!#REF!</definedName>
    <definedName name="nr_dpr_gas_trading" localSheetId="0">Summary!#REF!</definedName>
    <definedName name="nr_dpr_gas_trading">#REF!</definedName>
    <definedName name="nr_dpr_header" localSheetId="1">Americas!$A$6:$O$8</definedName>
    <definedName name="nr_dpr_header" localSheetId="4">'Capital Portfolio'!$A$6:$L$8</definedName>
    <definedName name="nr_dpr_header" localSheetId="2">Europe!$A$6:$M$8</definedName>
    <definedName name="nr_dpr_header" localSheetId="3">'Global Assets'!$A$6:$M$8</definedName>
    <definedName name="nr_dpr_header" localSheetId="0">Summary!$A$6:$L$8</definedName>
    <definedName name="nr_dpr_header">#REF!</definedName>
    <definedName name="nr_dpr_merchant_equity_portfolio" localSheetId="1">Americas!#REF!</definedName>
    <definedName name="nr_dpr_merchant_equity_portfolio" localSheetId="4">'Capital Portfolio'!#REF!</definedName>
    <definedName name="nr_dpr_merchant_equity_portfolio" localSheetId="2">Europe!#REF!</definedName>
    <definedName name="nr_dpr_merchant_equity_portfolio" localSheetId="3">'Global Assets'!#REF!</definedName>
    <definedName name="nr_dpr_merchant_equity_portfolio" localSheetId="0">Summary!#REF!</definedName>
    <definedName name="nr_dpr_merchant_equity_portfolio">#REF!</definedName>
    <definedName name="nr_dpr_originations" localSheetId="1">Americas!$A$46</definedName>
    <definedName name="nr_dpr_originations" localSheetId="4">'Capital Portfolio'!$A$29</definedName>
    <definedName name="nr_dpr_originations" localSheetId="2">Europe!$A$30</definedName>
    <definedName name="nr_dpr_originations" localSheetId="3">'Global Assets'!$A$35</definedName>
    <definedName name="nr_dpr_originations" localSheetId="0">Summary!#REF!</definedName>
    <definedName name="nr_dpr_originations">#REF!</definedName>
    <definedName name="nr_dpr_power_trading" localSheetId="1">Americas!#REF!</definedName>
    <definedName name="nr_dpr_power_trading" localSheetId="4">'Capital Portfolio'!#REF!</definedName>
    <definedName name="nr_dpr_power_trading" localSheetId="2">Europe!#REF!</definedName>
    <definedName name="nr_dpr_power_trading" localSheetId="3">'Global Assets'!#REF!</definedName>
    <definedName name="nr_dpr_power_trading" localSheetId="0">Summary!#REF!</definedName>
    <definedName name="nr_dpr_power_trading">#REF!</definedName>
    <definedName name="nr_dpr_total_trading" localSheetId="1">Americas!#REF!</definedName>
    <definedName name="nr_dpr_total_trading" localSheetId="4">'Capital Portfolio'!#REF!</definedName>
    <definedName name="nr_dpr_total_trading" localSheetId="2">Europe!#REF!</definedName>
    <definedName name="nr_dpr_total_trading" localSheetId="3">'Global Assets'!#REF!</definedName>
    <definedName name="nr_dpr_total_trading" localSheetId="0">Summary!#REF!</definedName>
    <definedName name="nr_dpr_total_trading">#REF!</definedName>
    <definedName name="nr_dpr_total_trading_with_originations" localSheetId="1">Americas!#REF!</definedName>
    <definedName name="nr_dpr_total_trading_with_originations" localSheetId="4">'Capital Portfolio'!$A$20:$L$23</definedName>
    <definedName name="nr_dpr_total_trading_with_originations" localSheetId="2">Europe!#REF!</definedName>
    <definedName name="nr_dpr_total_trading_with_originations" localSheetId="3">'Global Assets'!#REF!</definedName>
    <definedName name="nr_dpr_total_trading_with_originations" localSheetId="0">Summary!#REF!</definedName>
    <definedName name="nr_dpr_total_trading_with_originations">#REF!</definedName>
    <definedName name="p" localSheetId="1">Americas!p</definedName>
    <definedName name="p" localSheetId="4">'Capital Portfolio'!p</definedName>
    <definedName name="p" localSheetId="2">Europe!p</definedName>
    <definedName name="p" localSheetId="3">'Global Assets'!p</definedName>
    <definedName name="p" localSheetId="7">'Sithe - MTM P&amp;L'!p</definedName>
    <definedName name="p" localSheetId="6">'Sithe - Plant Value'!p</definedName>
    <definedName name="p" localSheetId="0">Summary!p</definedName>
    <definedName name="p">[0]!p</definedName>
    <definedName name="_xlnm.Print_Area" localSheetId="1">Americas!$A$1:$O$43</definedName>
    <definedName name="_xlnm.Print_Area" localSheetId="4">'Capital Portfolio'!$A$1:$L$27</definedName>
    <definedName name="_xlnm.Print_Area" localSheetId="2">Europe!$A$1:$M$28</definedName>
    <definedName name="_xlnm.Print_Area" localSheetId="3">'Global Assets'!$A$1:$M$33</definedName>
    <definedName name="_xlnm.Print_Area" localSheetId="0">Summary!$A$1:$L$84</definedName>
    <definedName name="report">#REF!</definedName>
    <definedName name="RollLiquids" localSheetId="1">Americas!RollLiquids</definedName>
    <definedName name="RollLiquids" localSheetId="4">'Capital Portfolio'!RollLiquids</definedName>
    <definedName name="RollLiquids" localSheetId="2">Europe!RollLiquids</definedName>
    <definedName name="RollLiquids" localSheetId="3">'Global Assets'!RollLiquids</definedName>
    <definedName name="RollLiquids" localSheetId="7">'Sithe - MTM P&amp;L'!RollLiquids</definedName>
    <definedName name="RollLiquids" localSheetId="6">'Sithe - Plant Value'!RollLiquids</definedName>
    <definedName name="RollLiquids" localSheetId="0">Summary!RollLiquids</definedName>
    <definedName name="RollLiquids">[0]!RollLiquids</definedName>
  </definedNames>
  <calcPr calcId="152511"/>
</workbook>
</file>

<file path=xl/calcChain.xml><?xml version="1.0" encoding="utf-8"?>
<calcChain xmlns="http://schemas.openxmlformats.org/spreadsheetml/2006/main">
  <c r="N4" i="5" l="1"/>
  <c r="K12" i="5"/>
  <c r="O12" i="5"/>
  <c r="C13" i="5"/>
  <c r="G13" i="5"/>
  <c r="C14" i="5"/>
  <c r="G14" i="5"/>
  <c r="G17" i="5"/>
  <c r="K17" i="5"/>
  <c r="M17" i="5"/>
  <c r="M12" i="5" s="1"/>
  <c r="N17" i="5"/>
  <c r="N12" i="5" s="1"/>
  <c r="O17" i="5"/>
  <c r="G18" i="5"/>
  <c r="M18" i="5"/>
  <c r="N18" i="5"/>
  <c r="O18" i="5"/>
  <c r="C21" i="5"/>
  <c r="K21" i="5"/>
  <c r="M21" i="5"/>
  <c r="N21" i="5"/>
  <c r="O21" i="5"/>
  <c r="C22" i="5"/>
  <c r="K22" i="5"/>
  <c r="K22" i="12" s="1"/>
  <c r="M22" i="5"/>
  <c r="N22" i="5"/>
  <c r="O22" i="5"/>
  <c r="G25" i="5"/>
  <c r="J32" i="5"/>
  <c r="K32" i="5" s="1"/>
  <c r="M32" i="5"/>
  <c r="N32" i="5"/>
  <c r="O32" i="5"/>
  <c r="C37" i="5"/>
  <c r="G37" i="5"/>
  <c r="C38" i="5"/>
  <c r="G38" i="5"/>
  <c r="G32" i="5" s="1"/>
  <c r="C39" i="5"/>
  <c r="G39" i="5"/>
  <c r="C42" i="5"/>
  <c r="G42" i="5"/>
  <c r="C43" i="5"/>
  <c r="G43" i="5"/>
  <c r="C46" i="5"/>
  <c r="G46" i="5"/>
  <c r="C47" i="5"/>
  <c r="G47" i="5"/>
  <c r="C49" i="5"/>
  <c r="C50" i="5"/>
  <c r="C51" i="5"/>
  <c r="C52" i="5"/>
  <c r="K4" i="8"/>
  <c r="M12" i="8"/>
  <c r="E16" i="8"/>
  <c r="E12" i="8" s="1"/>
  <c r="G74" i="12" s="1"/>
  <c r="H16" i="8"/>
  <c r="J76" i="12" s="1"/>
  <c r="K16" i="8"/>
  <c r="K12" i="8" s="1"/>
  <c r="L16" i="8"/>
  <c r="L12" i="8" s="1"/>
  <c r="M16" i="8"/>
  <c r="N16" i="8"/>
  <c r="N12" i="8" s="1"/>
  <c r="E17" i="8"/>
  <c r="H17" i="8"/>
  <c r="I17" i="8"/>
  <c r="K77" i="12" s="1"/>
  <c r="K17" i="8"/>
  <c r="L17" i="8"/>
  <c r="M17" i="8"/>
  <c r="N17" i="8"/>
  <c r="E18" i="8"/>
  <c r="H18" i="8" s="1"/>
  <c r="I18" i="8" s="1"/>
  <c r="K78" i="12" s="1"/>
  <c r="K18" i="8"/>
  <c r="L18" i="8"/>
  <c r="M18" i="8"/>
  <c r="N18" i="8"/>
  <c r="H21" i="8"/>
  <c r="I21" i="8" s="1"/>
  <c r="K21" i="8"/>
  <c r="L21" i="8"/>
  <c r="E25" i="8"/>
  <c r="E21" i="8" s="1"/>
  <c r="I25" i="8"/>
  <c r="K25" i="8"/>
  <c r="L25" i="8"/>
  <c r="M25" i="8"/>
  <c r="M21" i="8" s="1"/>
  <c r="L4" i="6"/>
  <c r="E13" i="6"/>
  <c r="H13" i="6"/>
  <c r="I13" i="6"/>
  <c r="K13" i="6"/>
  <c r="L13" i="6"/>
  <c r="M13" i="6"/>
  <c r="H15" i="6"/>
  <c r="I15" i="6"/>
  <c r="H16" i="6"/>
  <c r="I16" i="6" s="1"/>
  <c r="C18" i="6"/>
  <c r="E22" i="6"/>
  <c r="H22" i="6"/>
  <c r="I22" i="6"/>
  <c r="K22" i="6"/>
  <c r="L22" i="6"/>
  <c r="M22" i="6"/>
  <c r="I24" i="6"/>
  <c r="I26" i="6"/>
  <c r="L4" i="7"/>
  <c r="L13" i="7"/>
  <c r="N13" i="7"/>
  <c r="C15" i="7"/>
  <c r="E15" i="7" s="1"/>
  <c r="K15" i="7"/>
  <c r="K13" i="7" s="1"/>
  <c r="L15" i="7"/>
  <c r="M15" i="7"/>
  <c r="M13" i="7" s="1"/>
  <c r="C16" i="7"/>
  <c r="N18" i="7"/>
  <c r="C20" i="7"/>
  <c r="L20" i="7" s="1"/>
  <c r="L18" i="7" s="1"/>
  <c r="E20" i="7"/>
  <c r="E18" i="7" s="1"/>
  <c r="G59" i="12" s="1"/>
  <c r="K20" i="7"/>
  <c r="K18" i="7" s="1"/>
  <c r="C21" i="7"/>
  <c r="I22" i="7"/>
  <c r="I28" i="7"/>
  <c r="I29" i="7"/>
  <c r="C32" i="7"/>
  <c r="L32" i="7" s="1"/>
  <c r="L24" i="7" s="1"/>
  <c r="E32" i="7"/>
  <c r="H32" i="7" s="1"/>
  <c r="K32" i="7"/>
  <c r="K24" i="7" s="1"/>
  <c r="M32" i="7"/>
  <c r="M24" i="7" s="1"/>
  <c r="K9" i="9"/>
  <c r="L9" i="9"/>
  <c r="M9" i="9"/>
  <c r="C10" i="9"/>
  <c r="D10" i="9"/>
  <c r="E10" i="9"/>
  <c r="G10" i="9"/>
  <c r="H10" i="9"/>
  <c r="I10" i="9"/>
  <c r="J10" i="9"/>
  <c r="K10" i="9"/>
  <c r="L10" i="9"/>
  <c r="M10" i="9" s="1"/>
  <c r="C11" i="9"/>
  <c r="D11" i="9"/>
  <c r="F11" i="9" s="1"/>
  <c r="E11" i="9"/>
  <c r="G11" i="9"/>
  <c r="H11" i="9"/>
  <c r="I11" i="9"/>
  <c r="J11" i="9"/>
  <c r="K11" i="9"/>
  <c r="M11" i="9" s="1"/>
  <c r="L11" i="9"/>
  <c r="C12" i="9"/>
  <c r="D12" i="9"/>
  <c r="E12" i="9"/>
  <c r="F12" i="9"/>
  <c r="G12" i="9"/>
  <c r="H12" i="9"/>
  <c r="J12" i="9" s="1"/>
  <c r="I12" i="9"/>
  <c r="K12" i="9"/>
  <c r="L12" i="9"/>
  <c r="M12" i="9" s="1"/>
  <c r="C13" i="9"/>
  <c r="D13" i="9"/>
  <c r="F13" i="9" s="1"/>
  <c r="E13" i="9"/>
  <c r="G13" i="9"/>
  <c r="H13" i="9"/>
  <c r="I13" i="9"/>
  <c r="J13" i="9" s="1"/>
  <c r="K13" i="9"/>
  <c r="M13" i="9" s="1"/>
  <c r="L13" i="9"/>
  <c r="C14" i="9"/>
  <c r="D14" i="9"/>
  <c r="E14" i="9"/>
  <c r="F14" i="9"/>
  <c r="G14" i="9"/>
  <c r="H14" i="9"/>
  <c r="I14" i="9"/>
  <c r="K14" i="9"/>
  <c r="M14" i="9" s="1"/>
  <c r="L14" i="9"/>
  <c r="C15" i="9"/>
  <c r="D15" i="9"/>
  <c r="E15" i="9"/>
  <c r="F15" i="9"/>
  <c r="G15" i="9"/>
  <c r="H15" i="9"/>
  <c r="J15" i="9" s="1"/>
  <c r="I15" i="9"/>
  <c r="K15" i="9"/>
  <c r="L15" i="9"/>
  <c r="M15" i="9"/>
  <c r="C16" i="9"/>
  <c r="C7" i="9" s="1"/>
  <c r="D16" i="9"/>
  <c r="F16" i="9" s="1"/>
  <c r="E16" i="9"/>
  <c r="G16" i="9"/>
  <c r="H16" i="9"/>
  <c r="I16" i="9"/>
  <c r="J16" i="9"/>
  <c r="K16" i="9"/>
  <c r="M16" i="9" s="1"/>
  <c r="L16" i="9"/>
  <c r="C17" i="9"/>
  <c r="D17" i="9"/>
  <c r="E17" i="9"/>
  <c r="F17" i="9" s="1"/>
  <c r="G17" i="9"/>
  <c r="H17" i="9"/>
  <c r="J17" i="9" s="1"/>
  <c r="I17" i="9"/>
  <c r="K17" i="9"/>
  <c r="L17" i="9"/>
  <c r="M17" i="9"/>
  <c r="C18" i="9"/>
  <c r="D18" i="9"/>
  <c r="F18" i="9" s="1"/>
  <c r="E18" i="9"/>
  <c r="G18" i="9"/>
  <c r="H18" i="9"/>
  <c r="I18" i="9"/>
  <c r="J18" i="9"/>
  <c r="K18" i="9"/>
  <c r="L18" i="9"/>
  <c r="M18" i="9" s="1"/>
  <c r="C19" i="9"/>
  <c r="D19" i="9"/>
  <c r="F19" i="9" s="1"/>
  <c r="E19" i="9"/>
  <c r="G19" i="9"/>
  <c r="H19" i="9"/>
  <c r="I19" i="9"/>
  <c r="J19" i="9" s="1"/>
  <c r="K19" i="9"/>
  <c r="M19" i="9" s="1"/>
  <c r="L19" i="9"/>
  <c r="C20" i="9"/>
  <c r="D20" i="9"/>
  <c r="E20" i="9"/>
  <c r="F20" i="9"/>
  <c r="G20" i="9"/>
  <c r="H20" i="9"/>
  <c r="J20" i="9" s="1"/>
  <c r="I20" i="9"/>
  <c r="K20" i="9"/>
  <c r="M20" i="9" s="1"/>
  <c r="L20" i="9"/>
  <c r="C21" i="9"/>
  <c r="D21" i="9"/>
  <c r="F21" i="9" s="1"/>
  <c r="E21" i="9"/>
  <c r="G21" i="9"/>
  <c r="H21" i="9"/>
  <c r="J21" i="9" s="1"/>
  <c r="I21" i="9"/>
  <c r="K21" i="9"/>
  <c r="M21" i="9" s="1"/>
  <c r="L21" i="9"/>
  <c r="C22" i="9"/>
  <c r="D22" i="9"/>
  <c r="E22" i="9"/>
  <c r="F22" i="9"/>
  <c r="G22" i="9"/>
  <c r="H22" i="9"/>
  <c r="J22" i="9" s="1"/>
  <c r="I22" i="9"/>
  <c r="K22" i="9"/>
  <c r="M22" i="9" s="1"/>
  <c r="L22" i="9"/>
  <c r="C23" i="9"/>
  <c r="D23" i="9"/>
  <c r="E23" i="9"/>
  <c r="F23" i="9" s="1"/>
  <c r="G23" i="9"/>
  <c r="H23" i="9"/>
  <c r="J23" i="9" s="1"/>
  <c r="I23" i="9"/>
  <c r="K23" i="9"/>
  <c r="L23" i="9"/>
  <c r="M23" i="9"/>
  <c r="C24" i="9"/>
  <c r="D24" i="9"/>
  <c r="F24" i="9" s="1"/>
  <c r="E24" i="9"/>
  <c r="G24" i="9"/>
  <c r="H24" i="9"/>
  <c r="I24" i="9"/>
  <c r="J24" i="9"/>
  <c r="K24" i="9"/>
  <c r="M24" i="9" s="1"/>
  <c r="L24" i="9"/>
  <c r="C25" i="9"/>
  <c r="D25" i="9"/>
  <c r="F25" i="9" s="1"/>
  <c r="E25" i="9"/>
  <c r="G25" i="9"/>
  <c r="H25" i="9"/>
  <c r="J25" i="9" s="1"/>
  <c r="I25" i="9"/>
  <c r="K25" i="9"/>
  <c r="L25" i="9"/>
  <c r="M25" i="9"/>
  <c r="C26" i="9"/>
  <c r="D26" i="9"/>
  <c r="F26" i="9" s="1"/>
  <c r="E26" i="9"/>
  <c r="G26" i="9"/>
  <c r="H26" i="9"/>
  <c r="I26" i="9"/>
  <c r="J26" i="9"/>
  <c r="K26" i="9"/>
  <c r="L26" i="9"/>
  <c r="M26" i="9" s="1"/>
  <c r="C27" i="9"/>
  <c r="D27" i="9"/>
  <c r="F27" i="9" s="1"/>
  <c r="E27" i="9"/>
  <c r="G27" i="9"/>
  <c r="H27" i="9"/>
  <c r="I27" i="9"/>
  <c r="J27" i="9" s="1"/>
  <c r="K27" i="9"/>
  <c r="M27" i="9" s="1"/>
  <c r="L27" i="9"/>
  <c r="C28" i="9"/>
  <c r="D28" i="9"/>
  <c r="E28" i="9"/>
  <c r="F28" i="9"/>
  <c r="G28" i="9"/>
  <c r="H28" i="9"/>
  <c r="J28" i="9" s="1"/>
  <c r="I28" i="9"/>
  <c r="K28" i="9"/>
  <c r="M28" i="9" s="1"/>
  <c r="L28" i="9"/>
  <c r="C29" i="9"/>
  <c r="D29" i="9"/>
  <c r="F29" i="9" s="1"/>
  <c r="E29" i="9"/>
  <c r="G29" i="9"/>
  <c r="H29" i="9"/>
  <c r="J29" i="9" s="1"/>
  <c r="I29" i="9"/>
  <c r="K29" i="9"/>
  <c r="M29" i="9" s="1"/>
  <c r="L29" i="9"/>
  <c r="C30" i="9"/>
  <c r="D30" i="9"/>
  <c r="E30" i="9"/>
  <c r="F30" i="9"/>
  <c r="G30" i="9"/>
  <c r="H30" i="9"/>
  <c r="J30" i="9" s="1"/>
  <c r="I30" i="9"/>
  <c r="K30" i="9"/>
  <c r="M30" i="9" s="1"/>
  <c r="L30" i="9"/>
  <c r="C31" i="9"/>
  <c r="D31" i="9"/>
  <c r="E31" i="9"/>
  <c r="F31" i="9" s="1"/>
  <c r="G31" i="9"/>
  <c r="H31" i="9"/>
  <c r="J31" i="9" s="1"/>
  <c r="I31" i="9"/>
  <c r="K31" i="9"/>
  <c r="L31" i="9"/>
  <c r="M31" i="9"/>
  <c r="C32" i="9"/>
  <c r="D32" i="9"/>
  <c r="F32" i="9" s="1"/>
  <c r="E32" i="9"/>
  <c r="G32" i="9"/>
  <c r="H32" i="9"/>
  <c r="I32" i="9"/>
  <c r="J32" i="9"/>
  <c r="K32" i="9"/>
  <c r="M32" i="9" s="1"/>
  <c r="L32" i="9"/>
  <c r="C33" i="9"/>
  <c r="D33" i="9"/>
  <c r="F33" i="9" s="1"/>
  <c r="E33" i="9"/>
  <c r="G33" i="9"/>
  <c r="H33" i="9"/>
  <c r="J33" i="9" s="1"/>
  <c r="I33" i="9"/>
  <c r="K33" i="9"/>
  <c r="L33" i="9"/>
  <c r="M33" i="9"/>
  <c r="C34" i="9"/>
  <c r="D34" i="9"/>
  <c r="F34" i="9" s="1"/>
  <c r="E34" i="9"/>
  <c r="G34" i="9"/>
  <c r="H34" i="9"/>
  <c r="I34" i="9"/>
  <c r="J34" i="9"/>
  <c r="K34" i="9"/>
  <c r="L34" i="9"/>
  <c r="M34" i="9" s="1"/>
  <c r="C35" i="9"/>
  <c r="D35" i="9"/>
  <c r="F35" i="9" s="1"/>
  <c r="E35" i="9"/>
  <c r="G35" i="9"/>
  <c r="H35" i="9"/>
  <c r="I35" i="9"/>
  <c r="J35" i="9"/>
  <c r="K35" i="9"/>
  <c r="L35" i="9"/>
  <c r="M35" i="9" s="1"/>
  <c r="C36" i="9"/>
  <c r="D36" i="9"/>
  <c r="E36" i="9"/>
  <c r="F36" i="9"/>
  <c r="G36" i="9"/>
  <c r="H36" i="9"/>
  <c r="J36" i="9" s="1"/>
  <c r="I36" i="9"/>
  <c r="K36" i="9"/>
  <c r="M36" i="9" s="1"/>
  <c r="L36" i="9"/>
  <c r="C37" i="9"/>
  <c r="D37" i="9"/>
  <c r="F37" i="9" s="1"/>
  <c r="E37" i="9"/>
  <c r="G37" i="9"/>
  <c r="H37" i="9"/>
  <c r="J37" i="9" s="1"/>
  <c r="I37" i="9"/>
  <c r="K37" i="9"/>
  <c r="L37" i="9"/>
  <c r="C38" i="9"/>
  <c r="D38" i="9"/>
  <c r="E38" i="9"/>
  <c r="F38" i="9"/>
  <c r="G38" i="9"/>
  <c r="H38" i="9"/>
  <c r="J38" i="9" s="1"/>
  <c r="I38" i="9"/>
  <c r="K38" i="9"/>
  <c r="M38" i="9" s="1"/>
  <c r="L38" i="9"/>
  <c r="C39" i="9"/>
  <c r="D39" i="9"/>
  <c r="E39" i="9"/>
  <c r="F39" i="9"/>
  <c r="G39" i="9"/>
  <c r="H39" i="9"/>
  <c r="J39" i="9" s="1"/>
  <c r="I39" i="9"/>
  <c r="K39" i="9"/>
  <c r="L39" i="9"/>
  <c r="M39" i="9"/>
  <c r="C40" i="9"/>
  <c r="D40" i="9"/>
  <c r="E40" i="9"/>
  <c r="F40" i="9" s="1"/>
  <c r="G40" i="9"/>
  <c r="H40" i="9"/>
  <c r="I40" i="9"/>
  <c r="J40" i="9"/>
  <c r="K40" i="9"/>
  <c r="M40" i="9" s="1"/>
  <c r="L40" i="9"/>
  <c r="C41" i="9"/>
  <c r="D41" i="9"/>
  <c r="F41" i="9" s="1"/>
  <c r="E41" i="9"/>
  <c r="G41" i="9"/>
  <c r="H41" i="9"/>
  <c r="J41" i="9" s="1"/>
  <c r="I41" i="9"/>
  <c r="K41" i="9"/>
  <c r="L41" i="9"/>
  <c r="M41" i="9"/>
  <c r="C42" i="9"/>
  <c r="D42" i="9"/>
  <c r="E42" i="9"/>
  <c r="G42" i="9"/>
  <c r="H42" i="9"/>
  <c r="I42" i="9"/>
  <c r="J42" i="9"/>
  <c r="K42" i="9"/>
  <c r="L42" i="9"/>
  <c r="M42" i="9" s="1"/>
  <c r="C43" i="9"/>
  <c r="D43" i="9"/>
  <c r="F43" i="9" s="1"/>
  <c r="E43" i="9"/>
  <c r="G43" i="9"/>
  <c r="H43" i="9"/>
  <c r="I43" i="9"/>
  <c r="J43" i="9" s="1"/>
  <c r="K43" i="9"/>
  <c r="L43" i="9"/>
  <c r="M43" i="9" s="1"/>
  <c r="C44" i="9"/>
  <c r="D44" i="9"/>
  <c r="E44" i="9"/>
  <c r="F44" i="9"/>
  <c r="G44" i="9"/>
  <c r="H44" i="9"/>
  <c r="I44" i="9"/>
  <c r="J44" i="9" s="1"/>
  <c r="K44" i="9"/>
  <c r="M44" i="9" s="1"/>
  <c r="L44" i="9"/>
  <c r="C45" i="9"/>
  <c r="D45" i="9"/>
  <c r="F45" i="9" s="1"/>
  <c r="E45" i="9"/>
  <c r="G45" i="9"/>
  <c r="H45" i="9"/>
  <c r="J45" i="9" s="1"/>
  <c r="I45" i="9"/>
  <c r="K45" i="9"/>
  <c r="L45" i="9"/>
  <c r="C46" i="9"/>
  <c r="D46" i="9"/>
  <c r="E46" i="9"/>
  <c r="F46" i="9"/>
  <c r="G46" i="9"/>
  <c r="H46" i="9"/>
  <c r="I46" i="9"/>
  <c r="K46" i="9"/>
  <c r="M46" i="9" s="1"/>
  <c r="L46" i="9"/>
  <c r="C47" i="9"/>
  <c r="D47" i="9"/>
  <c r="E47" i="9"/>
  <c r="F47" i="9" s="1"/>
  <c r="G47" i="9"/>
  <c r="H47" i="9"/>
  <c r="J47" i="9" s="1"/>
  <c r="I47" i="9"/>
  <c r="K47" i="9"/>
  <c r="L47" i="9"/>
  <c r="M47" i="9"/>
  <c r="C48" i="9"/>
  <c r="D48" i="9"/>
  <c r="E48" i="9"/>
  <c r="F48" i="9" s="1"/>
  <c r="G48" i="9"/>
  <c r="H48" i="9"/>
  <c r="I48" i="9"/>
  <c r="J48" i="9"/>
  <c r="K48" i="9"/>
  <c r="M48" i="9" s="1"/>
  <c r="L48" i="9"/>
  <c r="C49" i="9"/>
  <c r="D49" i="9"/>
  <c r="F49" i="9" s="1"/>
  <c r="E49" i="9"/>
  <c r="G49" i="9"/>
  <c r="H49" i="9"/>
  <c r="J49" i="9" s="1"/>
  <c r="I49" i="9"/>
  <c r="K49" i="9"/>
  <c r="L49" i="9"/>
  <c r="M49" i="9"/>
  <c r="C50" i="9"/>
  <c r="D50" i="9"/>
  <c r="E50" i="9"/>
  <c r="G50" i="9"/>
  <c r="H50" i="9"/>
  <c r="I50" i="9"/>
  <c r="J50" i="9"/>
  <c r="K50" i="9"/>
  <c r="L50" i="9"/>
  <c r="M50" i="9"/>
  <c r="C51" i="9"/>
  <c r="D51" i="9"/>
  <c r="F51" i="9" s="1"/>
  <c r="E51" i="9"/>
  <c r="G51" i="9"/>
  <c r="H51" i="9"/>
  <c r="I51" i="9"/>
  <c r="J51" i="9" s="1"/>
  <c r="K51" i="9"/>
  <c r="L51" i="9"/>
  <c r="M51" i="9" s="1"/>
  <c r="C52" i="9"/>
  <c r="D52" i="9"/>
  <c r="E52" i="9"/>
  <c r="F52" i="9"/>
  <c r="G52" i="9"/>
  <c r="H52" i="9"/>
  <c r="I52" i="9"/>
  <c r="J52" i="9" s="1"/>
  <c r="K52" i="9"/>
  <c r="M52" i="9" s="1"/>
  <c r="L52" i="9"/>
  <c r="C53" i="9"/>
  <c r="D53" i="9"/>
  <c r="F53" i="9" s="1"/>
  <c r="E53" i="9"/>
  <c r="G53" i="9"/>
  <c r="H53" i="9"/>
  <c r="J53" i="9" s="1"/>
  <c r="I53" i="9"/>
  <c r="K53" i="9"/>
  <c r="L53" i="9"/>
  <c r="C54" i="9"/>
  <c r="D54" i="9"/>
  <c r="E54" i="9"/>
  <c r="F54" i="9"/>
  <c r="G54" i="9"/>
  <c r="H54" i="9"/>
  <c r="I54" i="9"/>
  <c r="K54" i="9"/>
  <c r="M54" i="9" s="1"/>
  <c r="L54" i="9"/>
  <c r="C55" i="9"/>
  <c r="D55" i="9"/>
  <c r="E55" i="9"/>
  <c r="F55" i="9" s="1"/>
  <c r="G55" i="9"/>
  <c r="H55" i="9"/>
  <c r="J55" i="9" s="1"/>
  <c r="I55" i="9"/>
  <c r="K55" i="9"/>
  <c r="L55" i="9"/>
  <c r="M55" i="9"/>
  <c r="C56" i="9"/>
  <c r="D56" i="9"/>
  <c r="E56" i="9"/>
  <c r="F56" i="9" s="1"/>
  <c r="G56" i="9"/>
  <c r="H56" i="9"/>
  <c r="I56" i="9"/>
  <c r="J56" i="9"/>
  <c r="K56" i="9"/>
  <c r="M56" i="9" s="1"/>
  <c r="L56" i="9"/>
  <c r="C57" i="9"/>
  <c r="D57" i="9"/>
  <c r="F57" i="9" s="1"/>
  <c r="E57" i="9"/>
  <c r="G57" i="9"/>
  <c r="H57" i="9"/>
  <c r="J57" i="9" s="1"/>
  <c r="I57" i="9"/>
  <c r="K57" i="9"/>
  <c r="L57" i="9"/>
  <c r="M57" i="9"/>
  <c r="C58" i="9"/>
  <c r="D58" i="9"/>
  <c r="E58" i="9"/>
  <c r="G58" i="9"/>
  <c r="H58" i="9"/>
  <c r="I58" i="9"/>
  <c r="J58" i="9"/>
  <c r="K58" i="9"/>
  <c r="L58" i="9"/>
  <c r="M58" i="9"/>
  <c r="C59" i="9"/>
  <c r="D59" i="9"/>
  <c r="F59" i="9" s="1"/>
  <c r="E59" i="9"/>
  <c r="G59" i="9"/>
  <c r="H59" i="9"/>
  <c r="I59" i="9"/>
  <c r="J59" i="9"/>
  <c r="K59" i="9"/>
  <c r="L59" i="9"/>
  <c r="M59" i="9" s="1"/>
  <c r="C60" i="9"/>
  <c r="D60" i="9"/>
  <c r="E60" i="9"/>
  <c r="F60" i="9"/>
  <c r="G60" i="9"/>
  <c r="H60" i="9"/>
  <c r="I60" i="9"/>
  <c r="J60" i="9" s="1"/>
  <c r="K60" i="9"/>
  <c r="M60" i="9" s="1"/>
  <c r="L60" i="9"/>
  <c r="C61" i="9"/>
  <c r="D61" i="9"/>
  <c r="F61" i="9" s="1"/>
  <c r="E61" i="9"/>
  <c r="G61" i="9"/>
  <c r="H61" i="9"/>
  <c r="J61" i="9" s="1"/>
  <c r="I61" i="9"/>
  <c r="K61" i="9"/>
  <c r="M61" i="9" s="1"/>
  <c r="L61" i="9"/>
  <c r="C62" i="9"/>
  <c r="D62" i="9"/>
  <c r="E62" i="9"/>
  <c r="F62" i="9"/>
  <c r="G62" i="9"/>
  <c r="H62" i="9"/>
  <c r="I62" i="9"/>
  <c r="K62" i="9"/>
  <c r="M62" i="9" s="1"/>
  <c r="L62" i="9"/>
  <c r="C63" i="9"/>
  <c r="D63" i="9"/>
  <c r="E63" i="9"/>
  <c r="F63" i="9"/>
  <c r="G63" i="9"/>
  <c r="H63" i="9"/>
  <c r="J63" i="9" s="1"/>
  <c r="I63" i="9"/>
  <c r="K63" i="9"/>
  <c r="L63" i="9"/>
  <c r="M63" i="9"/>
  <c r="C64" i="9"/>
  <c r="D64" i="9"/>
  <c r="E64" i="9"/>
  <c r="F64" i="9"/>
  <c r="G64" i="9"/>
  <c r="H64" i="9"/>
  <c r="I64" i="9"/>
  <c r="J64" i="9"/>
  <c r="K64" i="9"/>
  <c r="M64" i="9" s="1"/>
  <c r="L64" i="9"/>
  <c r="C65" i="9"/>
  <c r="D65" i="9"/>
  <c r="F65" i="9" s="1"/>
  <c r="E65" i="9"/>
  <c r="G65" i="9"/>
  <c r="H65" i="9"/>
  <c r="J65" i="9" s="1"/>
  <c r="I65" i="9"/>
  <c r="K65" i="9"/>
  <c r="L65" i="9"/>
  <c r="M65" i="9"/>
  <c r="C66" i="9"/>
  <c r="D66" i="9"/>
  <c r="F66" i="9" s="1"/>
  <c r="E66" i="9"/>
  <c r="G66" i="9"/>
  <c r="H66" i="9"/>
  <c r="I66" i="9"/>
  <c r="J66" i="9"/>
  <c r="K66" i="9"/>
  <c r="L66" i="9"/>
  <c r="M66" i="9" s="1"/>
  <c r="C67" i="9"/>
  <c r="D67" i="9"/>
  <c r="F67" i="9" s="1"/>
  <c r="E67" i="9"/>
  <c r="G67" i="9"/>
  <c r="H67" i="9"/>
  <c r="I67" i="9"/>
  <c r="J67" i="9"/>
  <c r="K67" i="9"/>
  <c r="L67" i="9"/>
  <c r="M67" i="9"/>
  <c r="C68" i="9"/>
  <c r="D68" i="9"/>
  <c r="E68" i="9"/>
  <c r="F68" i="9"/>
  <c r="G68" i="9"/>
  <c r="H68" i="9"/>
  <c r="I68" i="9"/>
  <c r="J68" i="9"/>
  <c r="K68" i="9"/>
  <c r="M68" i="9" s="1"/>
  <c r="L68" i="9"/>
  <c r="C69" i="9"/>
  <c r="D69" i="9"/>
  <c r="F69" i="9" s="1"/>
  <c r="E69" i="9"/>
  <c r="G69" i="9"/>
  <c r="H69" i="9"/>
  <c r="J69" i="9" s="1"/>
  <c r="I69" i="9"/>
  <c r="K69" i="9"/>
  <c r="M69" i="9" s="1"/>
  <c r="L69" i="9"/>
  <c r="C70" i="9"/>
  <c r="D70" i="9"/>
  <c r="E70" i="9"/>
  <c r="F70" i="9"/>
  <c r="G70" i="9"/>
  <c r="H70" i="9"/>
  <c r="I70" i="9"/>
  <c r="K70" i="9"/>
  <c r="M70" i="9" s="1"/>
  <c r="L70" i="9"/>
  <c r="C71" i="9"/>
  <c r="D71" i="9"/>
  <c r="E71" i="9"/>
  <c r="F71" i="9" s="1"/>
  <c r="G71" i="9"/>
  <c r="H71" i="9"/>
  <c r="J71" i="9" s="1"/>
  <c r="I71" i="9"/>
  <c r="K71" i="9"/>
  <c r="L71" i="9"/>
  <c r="M71" i="9"/>
  <c r="C72" i="9"/>
  <c r="D72" i="9"/>
  <c r="E72" i="9"/>
  <c r="F72" i="9"/>
  <c r="G72" i="9"/>
  <c r="H72" i="9"/>
  <c r="I72" i="9"/>
  <c r="J72" i="9"/>
  <c r="K72" i="9"/>
  <c r="M72" i="9" s="1"/>
  <c r="L72" i="9"/>
  <c r="C73" i="9"/>
  <c r="D73" i="9"/>
  <c r="F73" i="9" s="1"/>
  <c r="E73" i="9"/>
  <c r="G73" i="9"/>
  <c r="H73" i="9"/>
  <c r="J73" i="9" s="1"/>
  <c r="I73" i="9"/>
  <c r="K73" i="9"/>
  <c r="L73" i="9"/>
  <c r="M73" i="9"/>
  <c r="C74" i="9"/>
  <c r="D74" i="9"/>
  <c r="E74" i="9"/>
  <c r="G74" i="9"/>
  <c r="H74" i="9"/>
  <c r="I74" i="9"/>
  <c r="J74" i="9"/>
  <c r="K74" i="9"/>
  <c r="L74" i="9"/>
  <c r="M74" i="9" s="1"/>
  <c r="C75" i="9"/>
  <c r="D75" i="9"/>
  <c r="F75" i="9" s="1"/>
  <c r="E75" i="9"/>
  <c r="G75" i="9"/>
  <c r="H75" i="9"/>
  <c r="I75" i="9"/>
  <c r="J75" i="9"/>
  <c r="K75" i="9"/>
  <c r="L75" i="9"/>
  <c r="M75" i="9" s="1"/>
  <c r="C76" i="9"/>
  <c r="D76" i="9"/>
  <c r="E76" i="9"/>
  <c r="F76" i="9"/>
  <c r="G76" i="9"/>
  <c r="H76" i="9"/>
  <c r="I76" i="9"/>
  <c r="J76" i="9" s="1"/>
  <c r="K76" i="9"/>
  <c r="M76" i="9" s="1"/>
  <c r="L76" i="9"/>
  <c r="C77" i="9"/>
  <c r="D77" i="9"/>
  <c r="F77" i="9" s="1"/>
  <c r="E77" i="9"/>
  <c r="G77" i="9"/>
  <c r="H77" i="9"/>
  <c r="J77" i="9" s="1"/>
  <c r="I77" i="9"/>
  <c r="K77" i="9"/>
  <c r="L77" i="9"/>
  <c r="C78" i="9"/>
  <c r="D78" i="9"/>
  <c r="E78" i="9"/>
  <c r="F78" i="9"/>
  <c r="G78" i="9"/>
  <c r="H78" i="9"/>
  <c r="I78" i="9"/>
  <c r="K78" i="9"/>
  <c r="M78" i="9" s="1"/>
  <c r="L78" i="9"/>
  <c r="C79" i="9"/>
  <c r="D79" i="9"/>
  <c r="E79" i="9"/>
  <c r="F79" i="9"/>
  <c r="G79" i="9"/>
  <c r="H79" i="9"/>
  <c r="J79" i="9" s="1"/>
  <c r="I79" i="9"/>
  <c r="K79" i="9"/>
  <c r="L79" i="9"/>
  <c r="M79" i="9"/>
  <c r="C80" i="9"/>
  <c r="D80" i="9"/>
  <c r="E80" i="9"/>
  <c r="F80" i="9"/>
  <c r="G80" i="9"/>
  <c r="H80" i="9"/>
  <c r="I80" i="9"/>
  <c r="J80" i="9"/>
  <c r="K80" i="9"/>
  <c r="M80" i="9" s="1"/>
  <c r="L80" i="9"/>
  <c r="C81" i="9"/>
  <c r="D81" i="9"/>
  <c r="F81" i="9" s="1"/>
  <c r="E81" i="9"/>
  <c r="G81" i="9"/>
  <c r="H81" i="9"/>
  <c r="J81" i="9" s="1"/>
  <c r="I81" i="9"/>
  <c r="K81" i="9"/>
  <c r="L81" i="9"/>
  <c r="M81" i="9"/>
  <c r="C82" i="9"/>
  <c r="D82" i="9"/>
  <c r="E82" i="9"/>
  <c r="G82" i="9"/>
  <c r="H82" i="9"/>
  <c r="I82" i="9"/>
  <c r="J82" i="9"/>
  <c r="K82" i="9"/>
  <c r="L82" i="9"/>
  <c r="M82" i="9"/>
  <c r="C83" i="9"/>
  <c r="D83" i="9"/>
  <c r="F83" i="9" s="1"/>
  <c r="E83" i="9"/>
  <c r="G83" i="9"/>
  <c r="H83" i="9"/>
  <c r="I83" i="9"/>
  <c r="J83" i="9"/>
  <c r="K83" i="9"/>
  <c r="L83" i="9"/>
  <c r="M83" i="9"/>
  <c r="C84" i="9"/>
  <c r="D84" i="9"/>
  <c r="E84" i="9"/>
  <c r="F84" i="9"/>
  <c r="G84" i="9"/>
  <c r="H84" i="9"/>
  <c r="I84" i="9"/>
  <c r="J84" i="9" s="1"/>
  <c r="K84" i="9"/>
  <c r="M84" i="9" s="1"/>
  <c r="L84" i="9"/>
  <c r="C85" i="9"/>
  <c r="D85" i="9"/>
  <c r="F85" i="9" s="1"/>
  <c r="E85" i="9"/>
  <c r="G85" i="9"/>
  <c r="H85" i="9"/>
  <c r="J85" i="9" s="1"/>
  <c r="I85" i="9"/>
  <c r="K85" i="9"/>
  <c r="M85" i="9" s="1"/>
  <c r="L85" i="9"/>
  <c r="C86" i="9"/>
  <c r="D86" i="9"/>
  <c r="E86" i="9"/>
  <c r="F86" i="9"/>
  <c r="G86" i="9"/>
  <c r="H86" i="9"/>
  <c r="J86" i="9" s="1"/>
  <c r="I86" i="9"/>
  <c r="K86" i="9"/>
  <c r="L86" i="9"/>
  <c r="M86" i="9"/>
  <c r="C87" i="9"/>
  <c r="D87" i="9"/>
  <c r="E87" i="9"/>
  <c r="F87" i="9"/>
  <c r="G87" i="9"/>
  <c r="H87" i="9"/>
  <c r="I87" i="9"/>
  <c r="J87" i="9"/>
  <c r="K87" i="9"/>
  <c r="L87" i="9"/>
  <c r="M87" i="9"/>
  <c r="C88" i="9"/>
  <c r="D88" i="9"/>
  <c r="E88" i="9"/>
  <c r="F88" i="9"/>
  <c r="G88" i="9"/>
  <c r="H88" i="9"/>
  <c r="I88" i="9"/>
  <c r="J88" i="9"/>
  <c r="K88" i="9"/>
  <c r="M88" i="9" s="1"/>
  <c r="L88" i="9"/>
  <c r="C89" i="9"/>
  <c r="D89" i="9"/>
  <c r="F89" i="9" s="1"/>
  <c r="E89" i="9"/>
  <c r="G89" i="9"/>
  <c r="H89" i="9"/>
  <c r="J89" i="9" s="1"/>
  <c r="I89" i="9"/>
  <c r="K89" i="9"/>
  <c r="L89" i="9"/>
  <c r="M89" i="9"/>
  <c r="C90" i="9"/>
  <c r="D90" i="9"/>
  <c r="F90" i="9" s="1"/>
  <c r="E90" i="9"/>
  <c r="G90" i="9"/>
  <c r="H90" i="9"/>
  <c r="I90" i="9"/>
  <c r="J90" i="9"/>
  <c r="K90" i="9"/>
  <c r="L90" i="9"/>
  <c r="M90" i="9"/>
  <c r="C91" i="9"/>
  <c r="D91" i="9"/>
  <c r="E91" i="9"/>
  <c r="F91" i="9"/>
  <c r="G91" i="9"/>
  <c r="H91" i="9"/>
  <c r="I91" i="9"/>
  <c r="J91" i="9"/>
  <c r="K91" i="9"/>
  <c r="L91" i="9"/>
  <c r="M91" i="9"/>
  <c r="C92" i="9"/>
  <c r="D92" i="9"/>
  <c r="E92" i="9"/>
  <c r="F92" i="9"/>
  <c r="G92" i="9"/>
  <c r="H92" i="9"/>
  <c r="I92" i="9"/>
  <c r="J92" i="9"/>
  <c r="K92" i="9"/>
  <c r="M92" i="9" s="1"/>
  <c r="L92" i="9"/>
  <c r="C93" i="9"/>
  <c r="D93" i="9"/>
  <c r="F93" i="9" s="1"/>
  <c r="E93" i="9"/>
  <c r="G93" i="9"/>
  <c r="H93" i="9"/>
  <c r="J93" i="9" s="1"/>
  <c r="I93" i="9"/>
  <c r="K93" i="9"/>
  <c r="M93" i="9" s="1"/>
  <c r="L93" i="9"/>
  <c r="C94" i="9"/>
  <c r="D94" i="9"/>
  <c r="E94" i="9"/>
  <c r="F94" i="9"/>
  <c r="G94" i="9"/>
  <c r="H94" i="9"/>
  <c r="I94" i="9"/>
  <c r="K94" i="9"/>
  <c r="L94" i="9"/>
  <c r="M94" i="9"/>
  <c r="C95" i="9"/>
  <c r="D95" i="9"/>
  <c r="E95" i="9"/>
  <c r="F95" i="9"/>
  <c r="G95" i="9"/>
  <c r="H95" i="9"/>
  <c r="I95" i="9"/>
  <c r="J95" i="9"/>
  <c r="K95" i="9"/>
  <c r="L95" i="9"/>
  <c r="M95" i="9"/>
  <c r="C96" i="9"/>
  <c r="D96" i="9"/>
  <c r="E96" i="9"/>
  <c r="F96" i="9" s="1"/>
  <c r="G96" i="9"/>
  <c r="H96" i="9"/>
  <c r="I96" i="9"/>
  <c r="J96" i="9"/>
  <c r="K96" i="9"/>
  <c r="M96" i="9" s="1"/>
  <c r="L96" i="9"/>
  <c r="C97" i="9"/>
  <c r="D97" i="9"/>
  <c r="F97" i="9" s="1"/>
  <c r="E97" i="9"/>
  <c r="G97" i="9"/>
  <c r="H97" i="9"/>
  <c r="J97" i="9" s="1"/>
  <c r="I97" i="9"/>
  <c r="K97" i="9"/>
  <c r="L97" i="9"/>
  <c r="M97" i="9"/>
  <c r="C98" i="9"/>
  <c r="D98" i="9"/>
  <c r="E98" i="9"/>
  <c r="G98" i="9"/>
  <c r="H98" i="9"/>
  <c r="I98" i="9"/>
  <c r="J98" i="9"/>
  <c r="K98" i="9"/>
  <c r="L98" i="9"/>
  <c r="M98" i="9" s="1"/>
  <c r="C99" i="9"/>
  <c r="D99" i="9"/>
  <c r="E99" i="9"/>
  <c r="F99" i="9"/>
  <c r="G99" i="9"/>
  <c r="H99" i="9"/>
  <c r="I99" i="9"/>
  <c r="J99" i="9" s="1"/>
  <c r="K99" i="9"/>
  <c r="L99" i="9"/>
  <c r="M99" i="9"/>
  <c r="C100" i="9"/>
  <c r="D100" i="9"/>
  <c r="E100" i="9"/>
  <c r="F100" i="9"/>
  <c r="G100" i="9"/>
  <c r="H100" i="9"/>
  <c r="I100" i="9"/>
  <c r="J100" i="9" s="1"/>
  <c r="K100" i="9"/>
  <c r="M100" i="9" s="1"/>
  <c r="L100" i="9"/>
  <c r="C101" i="9"/>
  <c r="D101" i="9"/>
  <c r="F101" i="9" s="1"/>
  <c r="E101" i="9"/>
  <c r="G101" i="9"/>
  <c r="H101" i="9"/>
  <c r="J101" i="9" s="1"/>
  <c r="I101" i="9"/>
  <c r="K101" i="9"/>
  <c r="L101" i="9"/>
  <c r="C102" i="9"/>
  <c r="D102" i="9"/>
  <c r="E102" i="9"/>
  <c r="F102" i="9"/>
  <c r="G102" i="9"/>
  <c r="H102" i="9"/>
  <c r="J102" i="9" s="1"/>
  <c r="I102" i="9"/>
  <c r="K102" i="9"/>
  <c r="L102" i="9"/>
  <c r="M102" i="9"/>
  <c r="C103" i="9"/>
  <c r="D103" i="9"/>
  <c r="E103" i="9"/>
  <c r="F103" i="9"/>
  <c r="G103" i="9"/>
  <c r="H103" i="9"/>
  <c r="I103" i="9"/>
  <c r="J103" i="9"/>
  <c r="K103" i="9"/>
  <c r="L103" i="9"/>
  <c r="M103" i="9"/>
  <c r="C104" i="9"/>
  <c r="D104" i="9"/>
  <c r="E104" i="9"/>
  <c r="F104" i="9" s="1"/>
  <c r="G104" i="9"/>
  <c r="H104" i="9"/>
  <c r="I104" i="9"/>
  <c r="J104" i="9"/>
  <c r="K104" i="9"/>
  <c r="M104" i="9" s="1"/>
  <c r="L104" i="9"/>
  <c r="C105" i="9"/>
  <c r="D105" i="9"/>
  <c r="F105" i="9" s="1"/>
  <c r="E105" i="9"/>
  <c r="G105" i="9"/>
  <c r="H105" i="9"/>
  <c r="J105" i="9" s="1"/>
  <c r="I105" i="9"/>
  <c r="K105" i="9"/>
  <c r="L105" i="9"/>
  <c r="M105" i="9"/>
  <c r="C106" i="9"/>
  <c r="D106" i="9"/>
  <c r="E106" i="9"/>
  <c r="G106" i="9"/>
  <c r="H106" i="9"/>
  <c r="I106" i="9"/>
  <c r="J106" i="9"/>
  <c r="K106" i="9"/>
  <c r="L106" i="9"/>
  <c r="M106" i="9"/>
  <c r="C107" i="9"/>
  <c r="D107" i="9"/>
  <c r="E107" i="9"/>
  <c r="F107" i="9"/>
  <c r="G107" i="9"/>
  <c r="H107" i="9"/>
  <c r="I107" i="9"/>
  <c r="J107" i="9"/>
  <c r="K107" i="9"/>
  <c r="L107" i="9"/>
  <c r="M107" i="9"/>
  <c r="C108" i="9"/>
  <c r="D108" i="9"/>
  <c r="E108" i="9"/>
  <c r="F108" i="9"/>
  <c r="G108" i="9"/>
  <c r="H108" i="9"/>
  <c r="I108" i="9"/>
  <c r="J108" i="9"/>
  <c r="K108" i="9"/>
  <c r="M108" i="9" s="1"/>
  <c r="L108" i="9"/>
  <c r="C109" i="9"/>
  <c r="D109" i="9"/>
  <c r="F109" i="9" s="1"/>
  <c r="E109" i="9"/>
  <c r="G109" i="9"/>
  <c r="H109" i="9"/>
  <c r="J109" i="9" s="1"/>
  <c r="I109" i="9"/>
  <c r="K109" i="9"/>
  <c r="L109" i="9"/>
  <c r="C110" i="9"/>
  <c r="D110" i="9"/>
  <c r="E110" i="9"/>
  <c r="F110" i="9"/>
  <c r="G110" i="9"/>
  <c r="H110" i="9"/>
  <c r="I110" i="9"/>
  <c r="K110" i="9"/>
  <c r="L110" i="9"/>
  <c r="M110" i="9"/>
  <c r="C111" i="9"/>
  <c r="D111" i="9"/>
  <c r="E111" i="9"/>
  <c r="F111" i="9" s="1"/>
  <c r="G111" i="9"/>
  <c r="H111" i="9"/>
  <c r="I111" i="9"/>
  <c r="J111" i="9"/>
  <c r="K111" i="9"/>
  <c r="L111" i="9"/>
  <c r="M111" i="9"/>
  <c r="C112" i="9"/>
  <c r="D112" i="9"/>
  <c r="E112" i="9"/>
  <c r="F112" i="9" s="1"/>
  <c r="G112" i="9"/>
  <c r="H112" i="9"/>
  <c r="I112" i="9"/>
  <c r="J112" i="9"/>
  <c r="K112" i="9"/>
  <c r="M112" i="9" s="1"/>
  <c r="L112" i="9"/>
  <c r="C113" i="9"/>
  <c r="D113" i="9"/>
  <c r="F113" i="9" s="1"/>
  <c r="E113" i="9"/>
  <c r="G113" i="9"/>
  <c r="H113" i="9"/>
  <c r="J113" i="9" s="1"/>
  <c r="I113" i="9"/>
  <c r="K113" i="9"/>
  <c r="L113" i="9"/>
  <c r="M113" i="9"/>
  <c r="C114" i="9"/>
  <c r="D114" i="9"/>
  <c r="E114" i="9"/>
  <c r="G114" i="9"/>
  <c r="H114" i="9"/>
  <c r="I114" i="9"/>
  <c r="J114" i="9"/>
  <c r="K114" i="9"/>
  <c r="L114" i="9"/>
  <c r="M114" i="9" s="1"/>
  <c r="C115" i="9"/>
  <c r="D115" i="9"/>
  <c r="E115" i="9"/>
  <c r="F115" i="9"/>
  <c r="G115" i="9"/>
  <c r="H115" i="9"/>
  <c r="I115" i="9"/>
  <c r="J115" i="9" s="1"/>
  <c r="K115" i="9"/>
  <c r="L115" i="9"/>
  <c r="M115" i="9" s="1"/>
  <c r="C116" i="9"/>
  <c r="D116" i="9"/>
  <c r="E116" i="9"/>
  <c r="F116" i="9"/>
  <c r="G116" i="9"/>
  <c r="H116" i="9"/>
  <c r="I116" i="9"/>
  <c r="J116" i="9" s="1"/>
  <c r="K116" i="9"/>
  <c r="M116" i="9" s="1"/>
  <c r="L116" i="9"/>
  <c r="C117" i="9"/>
  <c r="D117" i="9"/>
  <c r="F117" i="9" s="1"/>
  <c r="E117" i="9"/>
  <c r="G117" i="9"/>
  <c r="H117" i="9"/>
  <c r="J117" i="9" s="1"/>
  <c r="I117" i="9"/>
  <c r="K117" i="9"/>
  <c r="L117" i="9"/>
  <c r="C118" i="9"/>
  <c r="D118" i="9"/>
  <c r="E118" i="9"/>
  <c r="F118" i="9"/>
  <c r="G118" i="9"/>
  <c r="H118" i="9"/>
  <c r="I118" i="9"/>
  <c r="K118" i="9"/>
  <c r="L118" i="9"/>
  <c r="M118" i="9"/>
  <c r="C119" i="9"/>
  <c r="D119" i="9"/>
  <c r="E119" i="9"/>
  <c r="F119" i="9"/>
  <c r="G119" i="9"/>
  <c r="H119" i="9"/>
  <c r="I119" i="9"/>
  <c r="J119" i="9"/>
  <c r="K119" i="9"/>
  <c r="L119" i="9"/>
  <c r="M119" i="9"/>
  <c r="C120" i="9"/>
  <c r="D120" i="9"/>
  <c r="E120" i="9"/>
  <c r="F120" i="9"/>
  <c r="G120" i="9"/>
  <c r="H120" i="9"/>
  <c r="I120" i="9"/>
  <c r="J120" i="9"/>
  <c r="K120" i="9"/>
  <c r="M120" i="9" s="1"/>
  <c r="L120" i="9"/>
  <c r="C121" i="9"/>
  <c r="D121" i="9"/>
  <c r="F121" i="9" s="1"/>
  <c r="E121" i="9"/>
  <c r="G121" i="9"/>
  <c r="H121" i="9"/>
  <c r="J121" i="9" s="1"/>
  <c r="I121" i="9"/>
  <c r="K121" i="9"/>
  <c r="L121" i="9"/>
  <c r="M121" i="9"/>
  <c r="C122" i="9"/>
  <c r="D122" i="9"/>
  <c r="E122" i="9"/>
  <c r="G122" i="9"/>
  <c r="H122" i="9"/>
  <c r="I122" i="9"/>
  <c r="J122" i="9"/>
  <c r="K122" i="9"/>
  <c r="L122" i="9"/>
  <c r="M122" i="9" s="1"/>
  <c r="C123" i="9"/>
  <c r="D123" i="9"/>
  <c r="E123" i="9"/>
  <c r="F123" i="9"/>
  <c r="G123" i="9"/>
  <c r="H123" i="9"/>
  <c r="I123" i="9"/>
  <c r="J123" i="9" s="1"/>
  <c r="K123" i="9"/>
  <c r="L123" i="9"/>
  <c r="M123" i="9" s="1"/>
  <c r="C124" i="9"/>
  <c r="D124" i="9"/>
  <c r="E124" i="9"/>
  <c r="F124" i="9"/>
  <c r="G124" i="9"/>
  <c r="H124" i="9"/>
  <c r="I124" i="9"/>
  <c r="J124" i="9"/>
  <c r="K124" i="9"/>
  <c r="M124" i="9" s="1"/>
  <c r="L124" i="9"/>
  <c r="C125" i="9"/>
  <c r="D125" i="9"/>
  <c r="F125" i="9" s="1"/>
  <c r="E125" i="9"/>
  <c r="G125" i="9"/>
  <c r="H125" i="9"/>
  <c r="J125" i="9" s="1"/>
  <c r="I125" i="9"/>
  <c r="K125" i="9"/>
  <c r="L125" i="9"/>
  <c r="C126" i="9"/>
  <c r="D126" i="9"/>
  <c r="E126" i="9"/>
  <c r="F126" i="9"/>
  <c r="G126" i="9"/>
  <c r="H126" i="9"/>
  <c r="J126" i="9" s="1"/>
  <c r="I126" i="9"/>
  <c r="K126" i="9"/>
  <c r="L126" i="9"/>
  <c r="M126" i="9"/>
  <c r="C127" i="9"/>
  <c r="D127" i="9"/>
  <c r="E127" i="9"/>
  <c r="F127" i="9"/>
  <c r="G127" i="9"/>
  <c r="H127" i="9"/>
  <c r="I127" i="9"/>
  <c r="J127" i="9"/>
  <c r="K127" i="9"/>
  <c r="L127" i="9"/>
  <c r="M127" i="9"/>
  <c r="C128" i="9"/>
  <c r="D128" i="9"/>
  <c r="E128" i="9"/>
  <c r="F128" i="9"/>
  <c r="G128" i="9"/>
  <c r="H128" i="9"/>
  <c r="I128" i="9"/>
  <c r="J128" i="9"/>
  <c r="K128" i="9"/>
  <c r="M128" i="9" s="1"/>
  <c r="L128" i="9"/>
  <c r="C129" i="9"/>
  <c r="D129" i="9"/>
  <c r="F129" i="9" s="1"/>
  <c r="E129" i="9"/>
  <c r="G129" i="9"/>
  <c r="H129" i="9"/>
  <c r="J129" i="9" s="1"/>
  <c r="I129" i="9"/>
  <c r="K129" i="9"/>
  <c r="L129" i="9"/>
  <c r="M129" i="9"/>
  <c r="C130" i="9"/>
  <c r="D130" i="9"/>
  <c r="F130" i="9" s="1"/>
  <c r="E130" i="9"/>
  <c r="G130" i="9"/>
  <c r="H130" i="9"/>
  <c r="I130" i="9"/>
  <c r="J130" i="9"/>
  <c r="K130" i="9"/>
  <c r="L130" i="9"/>
  <c r="M130" i="9"/>
  <c r="C131" i="9"/>
  <c r="D131" i="9"/>
  <c r="E131" i="9"/>
  <c r="F131" i="9"/>
  <c r="G131" i="9"/>
  <c r="H131" i="9"/>
  <c r="I131" i="9"/>
  <c r="J131" i="9"/>
  <c r="K131" i="9"/>
  <c r="L131" i="9"/>
  <c r="M131" i="9"/>
  <c r="C132" i="9"/>
  <c r="D132" i="9"/>
  <c r="E132" i="9"/>
  <c r="F132" i="9"/>
  <c r="G132" i="9"/>
  <c r="H132" i="9"/>
  <c r="I132" i="9"/>
  <c r="J132" i="9"/>
  <c r="K132" i="9"/>
  <c r="M132" i="9" s="1"/>
  <c r="L132" i="9"/>
  <c r="C133" i="9"/>
  <c r="D133" i="9"/>
  <c r="F133" i="9" s="1"/>
  <c r="E133" i="9"/>
  <c r="G133" i="9"/>
  <c r="H133" i="9"/>
  <c r="J133" i="9" s="1"/>
  <c r="I133" i="9"/>
  <c r="K133" i="9"/>
  <c r="M133" i="9" s="1"/>
  <c r="L133" i="9"/>
  <c r="C134" i="9"/>
  <c r="D134" i="9"/>
  <c r="E134" i="9"/>
  <c r="F134" i="9"/>
  <c r="G134" i="9"/>
  <c r="H134" i="9"/>
  <c r="I134" i="9"/>
  <c r="K134" i="9"/>
  <c r="L134" i="9"/>
  <c r="M134" i="9"/>
  <c r="C135" i="9"/>
  <c r="D135" i="9"/>
  <c r="E135" i="9"/>
  <c r="F135" i="9"/>
  <c r="G135" i="9"/>
  <c r="H135" i="9"/>
  <c r="I135" i="9"/>
  <c r="J135" i="9"/>
  <c r="K135" i="9"/>
  <c r="L135" i="9"/>
  <c r="M135" i="9"/>
  <c r="C136" i="9"/>
  <c r="D136" i="9"/>
  <c r="E136" i="9"/>
  <c r="F136" i="9"/>
  <c r="G136" i="9"/>
  <c r="H136" i="9"/>
  <c r="I136" i="9"/>
  <c r="J136" i="9"/>
  <c r="K136" i="9"/>
  <c r="M136" i="9" s="1"/>
  <c r="L136" i="9"/>
  <c r="C137" i="9"/>
  <c r="D137" i="9"/>
  <c r="F137" i="9" s="1"/>
  <c r="E137" i="9"/>
  <c r="G137" i="9"/>
  <c r="H137" i="9"/>
  <c r="J137" i="9" s="1"/>
  <c r="I137" i="9"/>
  <c r="K137" i="9"/>
  <c r="L137" i="9"/>
  <c r="M137" i="9"/>
  <c r="C138" i="9"/>
  <c r="D138" i="9"/>
  <c r="E138" i="9"/>
  <c r="G138" i="9"/>
  <c r="H138" i="9"/>
  <c r="I138" i="9"/>
  <c r="J138" i="9"/>
  <c r="K138" i="9"/>
  <c r="L138" i="9"/>
  <c r="M138" i="9"/>
  <c r="C139" i="9"/>
  <c r="D139" i="9"/>
  <c r="E139" i="9"/>
  <c r="F139" i="9"/>
  <c r="G139" i="9"/>
  <c r="H139" i="9"/>
  <c r="I139" i="9"/>
  <c r="J139" i="9"/>
  <c r="K139" i="9"/>
  <c r="L139" i="9"/>
  <c r="M139" i="9" s="1"/>
  <c r="C140" i="9"/>
  <c r="D140" i="9"/>
  <c r="E140" i="9"/>
  <c r="F140" i="9"/>
  <c r="G140" i="9"/>
  <c r="H140" i="9"/>
  <c r="I140" i="9"/>
  <c r="J140" i="9"/>
  <c r="K140" i="9"/>
  <c r="M140" i="9" s="1"/>
  <c r="L140" i="9"/>
  <c r="C141" i="9"/>
  <c r="D141" i="9"/>
  <c r="F141" i="9" s="1"/>
  <c r="E141" i="9"/>
  <c r="G141" i="9"/>
  <c r="H141" i="9"/>
  <c r="J141" i="9" s="1"/>
  <c r="I141" i="9"/>
  <c r="K141" i="9"/>
  <c r="L141" i="9"/>
  <c r="C142" i="9"/>
  <c r="D142" i="9"/>
  <c r="E142" i="9"/>
  <c r="F142" i="9"/>
  <c r="G142" i="9"/>
  <c r="H142" i="9"/>
  <c r="J142" i="9" s="1"/>
  <c r="I142" i="9"/>
  <c r="K142" i="9"/>
  <c r="L142" i="9"/>
  <c r="M142" i="9"/>
  <c r="C143" i="9"/>
  <c r="D143" i="9"/>
  <c r="E143" i="9"/>
  <c r="F143" i="9" s="1"/>
  <c r="G143" i="9"/>
  <c r="H143" i="9"/>
  <c r="I143" i="9"/>
  <c r="J143" i="9"/>
  <c r="K143" i="9"/>
  <c r="L143" i="9"/>
  <c r="M143" i="9"/>
  <c r="C144" i="9"/>
  <c r="D144" i="9"/>
  <c r="E144" i="9"/>
  <c r="F144" i="9"/>
  <c r="G144" i="9"/>
  <c r="H144" i="9"/>
  <c r="I144" i="9"/>
  <c r="J144" i="9"/>
  <c r="K144" i="9"/>
  <c r="M144" i="9" s="1"/>
  <c r="L144" i="9"/>
  <c r="C145" i="9"/>
  <c r="D145" i="9"/>
  <c r="F145" i="9" s="1"/>
  <c r="E145" i="9"/>
  <c r="G145" i="9"/>
  <c r="H145" i="9"/>
  <c r="J145" i="9" s="1"/>
  <c r="I145" i="9"/>
  <c r="K145" i="9"/>
  <c r="L145" i="9"/>
  <c r="M145" i="9" s="1"/>
  <c r="C146" i="9"/>
  <c r="D146" i="9"/>
  <c r="F146" i="9" s="1"/>
  <c r="E146" i="9"/>
  <c r="G146" i="9"/>
  <c r="H146" i="9"/>
  <c r="I146" i="9"/>
  <c r="J146" i="9" s="1"/>
  <c r="K146" i="9"/>
  <c r="L146" i="9"/>
  <c r="M146" i="9"/>
  <c r="C147" i="9"/>
  <c r="D147" i="9"/>
  <c r="E147" i="9"/>
  <c r="F147" i="9"/>
  <c r="G147" i="9"/>
  <c r="H147" i="9"/>
  <c r="I147" i="9"/>
  <c r="J147" i="9"/>
  <c r="K147" i="9"/>
  <c r="L147" i="9"/>
  <c r="M147" i="9" s="1"/>
  <c r="C148" i="9"/>
  <c r="D148" i="9"/>
  <c r="E148" i="9"/>
  <c r="F148" i="9"/>
  <c r="G148" i="9"/>
  <c r="H148" i="9"/>
  <c r="I148" i="9"/>
  <c r="J148" i="9" s="1"/>
  <c r="K148" i="9"/>
  <c r="M148" i="9" s="1"/>
  <c r="L148" i="9"/>
  <c r="C149" i="9"/>
  <c r="D149" i="9"/>
  <c r="F149" i="9" s="1"/>
  <c r="E149" i="9"/>
  <c r="G149" i="9"/>
  <c r="H149" i="9"/>
  <c r="J149" i="9" s="1"/>
  <c r="I149" i="9"/>
  <c r="K149" i="9"/>
  <c r="L149" i="9"/>
  <c r="C150" i="9"/>
  <c r="D150" i="9"/>
  <c r="E150" i="9"/>
  <c r="F150" i="9" s="1"/>
  <c r="G150" i="9"/>
  <c r="H150" i="9"/>
  <c r="I150" i="9"/>
  <c r="K150" i="9"/>
  <c r="L150" i="9"/>
  <c r="M150" i="9"/>
  <c r="C151" i="9"/>
  <c r="D151" i="9"/>
  <c r="E151" i="9"/>
  <c r="F151" i="9"/>
  <c r="G151" i="9"/>
  <c r="H151" i="9"/>
  <c r="I151" i="9"/>
  <c r="J151" i="9"/>
  <c r="K151" i="9"/>
  <c r="L151" i="9"/>
  <c r="M151" i="9"/>
  <c r="C152" i="9"/>
  <c r="D152" i="9"/>
  <c r="E152" i="9"/>
  <c r="F152" i="9" s="1"/>
  <c r="G152" i="9"/>
  <c r="H152" i="9"/>
  <c r="I152" i="9"/>
  <c r="J152" i="9"/>
  <c r="K152" i="9"/>
  <c r="M152" i="9" s="1"/>
  <c r="L152" i="9"/>
  <c r="C153" i="9"/>
  <c r="D153" i="9"/>
  <c r="F153" i="9" s="1"/>
  <c r="E153" i="9"/>
  <c r="G153" i="9"/>
  <c r="H153" i="9"/>
  <c r="J153" i="9" s="1"/>
  <c r="I153" i="9"/>
  <c r="K153" i="9"/>
  <c r="L153" i="9"/>
  <c r="M153" i="9" s="1"/>
  <c r="C154" i="9"/>
  <c r="D154" i="9"/>
  <c r="E154" i="9"/>
  <c r="G154" i="9"/>
  <c r="H154" i="9"/>
  <c r="I154" i="9"/>
  <c r="J154" i="9" s="1"/>
  <c r="K154" i="9"/>
  <c r="L154" i="9"/>
  <c r="M154" i="9"/>
  <c r="C155" i="9"/>
  <c r="D155" i="9"/>
  <c r="E155" i="9"/>
  <c r="F155" i="9"/>
  <c r="G155" i="9"/>
  <c r="H155" i="9"/>
  <c r="I155" i="9"/>
  <c r="J155" i="9"/>
  <c r="K155" i="9"/>
  <c r="L155" i="9"/>
  <c r="M155" i="9"/>
  <c r="C156" i="9"/>
  <c r="D156" i="9"/>
  <c r="E156" i="9"/>
  <c r="F156" i="9"/>
  <c r="G156" i="9"/>
  <c r="H156" i="9"/>
  <c r="I156" i="9"/>
  <c r="J156" i="9"/>
  <c r="K156" i="9"/>
  <c r="M156" i="9" s="1"/>
  <c r="L156" i="9"/>
  <c r="C157" i="9"/>
  <c r="D157" i="9"/>
  <c r="F157" i="9" s="1"/>
  <c r="E157" i="9"/>
  <c r="G157" i="9"/>
  <c r="H157" i="9"/>
  <c r="J157" i="9" s="1"/>
  <c r="I157" i="9"/>
  <c r="K157" i="9"/>
  <c r="M157" i="9" s="1"/>
  <c r="L157" i="9"/>
  <c r="C158" i="9"/>
  <c r="D158" i="9"/>
  <c r="F158" i="9" s="1"/>
  <c r="E158" i="9"/>
  <c r="G158" i="9"/>
  <c r="H158" i="9"/>
  <c r="I158" i="9"/>
  <c r="K158" i="9"/>
  <c r="L158" i="9"/>
  <c r="M158" i="9"/>
  <c r="C159" i="9"/>
  <c r="D159" i="9"/>
  <c r="E159" i="9"/>
  <c r="F159" i="9"/>
  <c r="G159" i="9"/>
  <c r="H159" i="9"/>
  <c r="I159" i="9"/>
  <c r="J159" i="9"/>
  <c r="K159" i="9"/>
  <c r="L159" i="9"/>
  <c r="M159" i="9"/>
  <c r="C160" i="9"/>
  <c r="D160" i="9"/>
  <c r="E160" i="9"/>
  <c r="F160" i="9"/>
  <c r="G160" i="9"/>
  <c r="H160" i="9"/>
  <c r="I160" i="9"/>
  <c r="J160" i="9"/>
  <c r="K160" i="9"/>
  <c r="M160" i="9" s="1"/>
  <c r="L160" i="9"/>
  <c r="C161" i="9"/>
  <c r="D161" i="9"/>
  <c r="F161" i="9" s="1"/>
  <c r="E161" i="9"/>
  <c r="G161" i="9"/>
  <c r="H161" i="9"/>
  <c r="J161" i="9" s="1"/>
  <c r="I161" i="9"/>
  <c r="K161" i="9"/>
  <c r="M161" i="9" s="1"/>
  <c r="L161" i="9"/>
  <c r="C162" i="9"/>
  <c r="D162" i="9"/>
  <c r="F162" i="9" s="1"/>
  <c r="E162" i="9"/>
  <c r="G162" i="9"/>
  <c r="H162" i="9"/>
  <c r="J162" i="9" s="1"/>
  <c r="I162" i="9"/>
  <c r="K162" i="9"/>
  <c r="L162" i="9"/>
  <c r="M162" i="9"/>
  <c r="C163" i="9"/>
  <c r="D163" i="9"/>
  <c r="E163" i="9"/>
  <c r="F163" i="9"/>
  <c r="G163" i="9"/>
  <c r="H163" i="9"/>
  <c r="I163" i="9"/>
  <c r="J163" i="9"/>
  <c r="K163" i="9"/>
  <c r="L163" i="9"/>
  <c r="M163" i="9"/>
  <c r="C164" i="9"/>
  <c r="D164" i="9"/>
  <c r="E164" i="9"/>
  <c r="F164" i="9"/>
  <c r="G164" i="9"/>
  <c r="H164" i="9"/>
  <c r="I164" i="9"/>
  <c r="J164" i="9"/>
  <c r="K164" i="9"/>
  <c r="M164" i="9" s="1"/>
  <c r="L164" i="9"/>
  <c r="C165" i="9"/>
  <c r="D165" i="9"/>
  <c r="F165" i="9" s="1"/>
  <c r="E165" i="9"/>
  <c r="G165" i="9"/>
  <c r="H165" i="9"/>
  <c r="J165" i="9" s="1"/>
  <c r="I165" i="9"/>
  <c r="K165" i="9"/>
  <c r="M165" i="9" s="1"/>
  <c r="L165" i="9"/>
  <c r="C166" i="9"/>
  <c r="D166" i="9"/>
  <c r="F166" i="9" s="1"/>
  <c r="E166" i="9"/>
  <c r="G166" i="9"/>
  <c r="H166" i="9"/>
  <c r="I166" i="9"/>
  <c r="K166" i="9"/>
  <c r="L166" i="9"/>
  <c r="M166" i="9"/>
  <c r="C167" i="9"/>
  <c r="D167" i="9"/>
  <c r="E167" i="9"/>
  <c r="F167" i="9" s="1"/>
  <c r="G167" i="9"/>
  <c r="H167" i="9"/>
  <c r="I167" i="9"/>
  <c r="J167" i="9"/>
  <c r="K167" i="9"/>
  <c r="L167" i="9"/>
  <c r="M167" i="9"/>
  <c r="C168" i="9"/>
  <c r="D168" i="9"/>
  <c r="E168" i="9"/>
  <c r="F168" i="9" s="1"/>
  <c r="G168" i="9"/>
  <c r="H168" i="9"/>
  <c r="I168" i="9"/>
  <c r="J168" i="9"/>
  <c r="K168" i="9"/>
  <c r="M168" i="9" s="1"/>
  <c r="L168" i="9"/>
  <c r="C169" i="9"/>
  <c r="D169" i="9"/>
  <c r="F169" i="9" s="1"/>
  <c r="E169" i="9"/>
  <c r="G169" i="9"/>
  <c r="H169" i="9"/>
  <c r="J169" i="9" s="1"/>
  <c r="I169" i="9"/>
  <c r="K169" i="9"/>
  <c r="M169" i="9" s="1"/>
  <c r="L169" i="9"/>
  <c r="C170" i="9"/>
  <c r="D170" i="9"/>
  <c r="F170" i="9" s="1"/>
  <c r="E170" i="9"/>
  <c r="G170" i="9"/>
  <c r="H170" i="9"/>
  <c r="J170" i="9" s="1"/>
  <c r="I170" i="9"/>
  <c r="K170" i="9"/>
  <c r="L170" i="9"/>
  <c r="M170" i="9"/>
  <c r="C171" i="9"/>
  <c r="D171" i="9"/>
  <c r="E171" i="9"/>
  <c r="F171" i="9"/>
  <c r="G171" i="9"/>
  <c r="H171" i="9"/>
  <c r="I171" i="9"/>
  <c r="J171" i="9"/>
  <c r="K171" i="9"/>
  <c r="L171" i="9"/>
  <c r="M171" i="9" s="1"/>
  <c r="C172" i="9"/>
  <c r="D172" i="9"/>
  <c r="E172" i="9"/>
  <c r="F172" i="9"/>
  <c r="G172" i="9"/>
  <c r="H172" i="9"/>
  <c r="I172" i="9"/>
  <c r="J172" i="9"/>
  <c r="K172" i="9"/>
  <c r="M172" i="9" s="1"/>
  <c r="L172" i="9"/>
  <c r="C173" i="9"/>
  <c r="D173" i="9"/>
  <c r="F173" i="9" s="1"/>
  <c r="E173" i="9"/>
  <c r="G173" i="9"/>
  <c r="H173" i="9"/>
  <c r="J173" i="9" s="1"/>
  <c r="I173" i="9"/>
  <c r="K173" i="9"/>
  <c r="L173" i="9"/>
  <c r="C174" i="9"/>
  <c r="D174" i="9"/>
  <c r="F174" i="9" s="1"/>
  <c r="E174" i="9"/>
  <c r="G174" i="9"/>
  <c r="H174" i="9"/>
  <c r="J174" i="9" s="1"/>
  <c r="I174" i="9"/>
  <c r="K174" i="9"/>
  <c r="L174" i="9"/>
  <c r="M174" i="9"/>
  <c r="C175" i="9"/>
  <c r="D175" i="9"/>
  <c r="E175" i="9"/>
  <c r="F175" i="9"/>
  <c r="G175" i="9"/>
  <c r="H175" i="9"/>
  <c r="I175" i="9"/>
  <c r="J175" i="9"/>
  <c r="K175" i="9"/>
  <c r="L175" i="9"/>
  <c r="M175" i="9"/>
  <c r="C176" i="9"/>
  <c r="D176" i="9"/>
  <c r="E176" i="9"/>
  <c r="F176" i="9"/>
  <c r="G176" i="9"/>
  <c r="H176" i="9"/>
  <c r="I176" i="9"/>
  <c r="J176" i="9"/>
  <c r="K176" i="9"/>
  <c r="L176" i="9"/>
  <c r="M176" i="9"/>
  <c r="C177" i="9"/>
  <c r="D177" i="9"/>
  <c r="F177" i="9" s="1"/>
  <c r="E177" i="9"/>
  <c r="G177" i="9"/>
  <c r="H177" i="9"/>
  <c r="J177" i="9" s="1"/>
  <c r="I177" i="9"/>
  <c r="K177" i="9"/>
  <c r="L177" i="9"/>
  <c r="C178" i="9"/>
  <c r="D178" i="9"/>
  <c r="F178" i="9" s="1"/>
  <c r="E178" i="9"/>
  <c r="G178" i="9"/>
  <c r="H178" i="9"/>
  <c r="I178" i="9"/>
  <c r="K178" i="9"/>
  <c r="L178" i="9"/>
  <c r="M178" i="9" s="1"/>
  <c r="C179" i="9"/>
  <c r="D179" i="9"/>
  <c r="F179" i="9" s="1"/>
  <c r="E179" i="9"/>
  <c r="G179" i="9"/>
  <c r="H179" i="9"/>
  <c r="I179" i="9"/>
  <c r="J179" i="9" s="1"/>
  <c r="K179" i="9"/>
  <c r="L179" i="9"/>
  <c r="M179" i="9"/>
  <c r="C180" i="9"/>
  <c r="D180" i="9"/>
  <c r="E180" i="9"/>
  <c r="F180" i="9"/>
  <c r="G180" i="9"/>
  <c r="H180" i="9"/>
  <c r="I180" i="9"/>
  <c r="J180" i="9"/>
  <c r="K180" i="9"/>
  <c r="M180" i="9" s="1"/>
  <c r="L180" i="9"/>
  <c r="C181" i="9"/>
  <c r="D181" i="9"/>
  <c r="F181" i="9" s="1"/>
  <c r="E181" i="9"/>
  <c r="G181" i="9"/>
  <c r="H181" i="9"/>
  <c r="J181" i="9" s="1"/>
  <c r="I181" i="9"/>
  <c r="K181" i="9"/>
  <c r="L181" i="9"/>
  <c r="M181" i="9"/>
  <c r="C11" i="11"/>
  <c r="D11" i="11"/>
  <c r="F11" i="11"/>
  <c r="G11" i="11"/>
  <c r="H11" i="11"/>
  <c r="I11" i="11"/>
  <c r="J11" i="11"/>
  <c r="M11" i="11"/>
  <c r="N11" i="11"/>
  <c r="C15" i="11"/>
  <c r="D15" i="11"/>
  <c r="F15" i="11"/>
  <c r="G15" i="11"/>
  <c r="H15" i="11"/>
  <c r="I15" i="11"/>
  <c r="J15" i="11"/>
  <c r="M15" i="11"/>
  <c r="N15" i="11"/>
  <c r="C22" i="11"/>
  <c r="D22" i="11"/>
  <c r="F22" i="11"/>
  <c r="G22" i="11"/>
  <c r="H22" i="11"/>
  <c r="I22" i="11"/>
  <c r="J22" i="11"/>
  <c r="M22" i="11"/>
  <c r="G21" i="5" s="1"/>
  <c r="N22" i="11"/>
  <c r="C25" i="11"/>
  <c r="D25" i="11"/>
  <c r="F25" i="11"/>
  <c r="G25" i="11"/>
  <c r="H25" i="11"/>
  <c r="I25" i="11"/>
  <c r="J25" i="11"/>
  <c r="M25" i="11"/>
  <c r="G22" i="5" s="1"/>
  <c r="N25" i="11"/>
  <c r="C30" i="11"/>
  <c r="M30" i="11"/>
  <c r="M36" i="11" s="1"/>
  <c r="N30" i="11"/>
  <c r="M33" i="11"/>
  <c r="G27" i="5" s="1"/>
  <c r="G27" i="12" s="1"/>
  <c r="K4" i="12"/>
  <c r="J12" i="12"/>
  <c r="K12" i="12"/>
  <c r="C13" i="12"/>
  <c r="G13" i="12"/>
  <c r="C14" i="12"/>
  <c r="G14" i="12"/>
  <c r="C17" i="12"/>
  <c r="E17" i="12"/>
  <c r="G17" i="12"/>
  <c r="J17" i="12"/>
  <c r="K17" i="12"/>
  <c r="G18" i="12"/>
  <c r="C21" i="12"/>
  <c r="G21" i="12"/>
  <c r="J21" i="12"/>
  <c r="K21" i="12"/>
  <c r="C22" i="12"/>
  <c r="G22" i="12"/>
  <c r="J22" i="12"/>
  <c r="G25" i="12"/>
  <c r="G28" i="12"/>
  <c r="C30" i="12"/>
  <c r="G36" i="12"/>
  <c r="J36" i="12"/>
  <c r="K36" i="12"/>
  <c r="C38" i="12"/>
  <c r="J38" i="12"/>
  <c r="K38" i="12"/>
  <c r="C39" i="12"/>
  <c r="J39" i="12"/>
  <c r="K39" i="12"/>
  <c r="C41" i="12"/>
  <c r="G45" i="12"/>
  <c r="J45" i="12"/>
  <c r="K45" i="12"/>
  <c r="C47" i="12"/>
  <c r="G47" i="12"/>
  <c r="C49" i="12"/>
  <c r="C50" i="12"/>
  <c r="C56" i="12"/>
  <c r="C57" i="12"/>
  <c r="C61" i="12"/>
  <c r="G61" i="12"/>
  <c r="C62" i="12"/>
  <c r="C66" i="12"/>
  <c r="G66" i="12"/>
  <c r="J66" i="12"/>
  <c r="K66" i="12"/>
  <c r="C67" i="12"/>
  <c r="G67" i="12"/>
  <c r="J67" i="12"/>
  <c r="K67" i="12"/>
  <c r="C70" i="12"/>
  <c r="G70" i="12"/>
  <c r="C76" i="12"/>
  <c r="G76" i="12"/>
  <c r="C77" i="12"/>
  <c r="G77" i="12"/>
  <c r="J77" i="12"/>
  <c r="C78" i="12"/>
  <c r="G78" i="12"/>
  <c r="J78" i="12"/>
  <c r="G80" i="12"/>
  <c r="J80" i="12"/>
  <c r="K80" i="12"/>
  <c r="C82" i="12"/>
  <c r="G82" i="12"/>
  <c r="J82" i="12"/>
  <c r="K82" i="12"/>
  <c r="C83" i="12"/>
  <c r="E13" i="7" l="1"/>
  <c r="G54" i="12" s="1"/>
  <c r="H15" i="7"/>
  <c r="F138" i="9"/>
  <c r="M117" i="9"/>
  <c r="J94" i="9"/>
  <c r="M173" i="9"/>
  <c r="M77" i="9"/>
  <c r="J54" i="9"/>
  <c r="H7" i="9"/>
  <c r="J14" i="9"/>
  <c r="D7" i="9"/>
  <c r="F10" i="9"/>
  <c r="G12" i="5"/>
  <c r="G12" i="12" s="1"/>
  <c r="I7" i="9"/>
  <c r="J158" i="9"/>
  <c r="J178" i="9"/>
  <c r="F154" i="9"/>
  <c r="M149" i="9"/>
  <c r="M125" i="9"/>
  <c r="F114" i="9"/>
  <c r="M101" i="9"/>
  <c r="J78" i="9"/>
  <c r="F74" i="9"/>
  <c r="J46" i="9"/>
  <c r="J7" i="9" s="1"/>
  <c r="F42" i="9"/>
  <c r="M37" i="9"/>
  <c r="J62" i="9"/>
  <c r="H12" i="8"/>
  <c r="J74" i="12" s="1"/>
  <c r="I16" i="8"/>
  <c r="M177" i="9"/>
  <c r="K7" i="9"/>
  <c r="F106" i="9"/>
  <c r="M53" i="9"/>
  <c r="I32" i="7"/>
  <c r="K70" i="12" s="1"/>
  <c r="J70" i="12"/>
  <c r="H24" i="7"/>
  <c r="M45" i="9"/>
  <c r="J150" i="9"/>
  <c r="J134" i="9"/>
  <c r="M109" i="9"/>
  <c r="J70" i="9"/>
  <c r="G7" i="9"/>
  <c r="L7" i="9"/>
  <c r="F82" i="9"/>
  <c r="F58" i="9"/>
  <c r="M7" i="9"/>
  <c r="J118" i="9"/>
  <c r="F50" i="9"/>
  <c r="G56" i="12"/>
  <c r="G26" i="5"/>
  <c r="G26" i="12" s="1"/>
  <c r="J166" i="9"/>
  <c r="M141" i="9"/>
  <c r="F122" i="9"/>
  <c r="J110" i="9"/>
  <c r="F98" i="9"/>
  <c r="E7" i="9"/>
  <c r="E24" i="7"/>
  <c r="G64" i="12" s="1"/>
  <c r="H20" i="7"/>
  <c r="F7" i="9" l="1"/>
  <c r="C18" i="5" s="1"/>
  <c r="H18" i="7"/>
  <c r="I20" i="7"/>
  <c r="K61" i="12" s="1"/>
  <c r="J61" i="12"/>
  <c r="H13" i="7"/>
  <c r="I15" i="7"/>
  <c r="K56" i="12" s="1"/>
  <c r="J56" i="12"/>
  <c r="K76" i="12"/>
  <c r="I12" i="8"/>
  <c r="K74" i="12" s="1"/>
  <c r="I24" i="7"/>
  <c r="K64" i="12" s="1"/>
  <c r="J64" i="12"/>
  <c r="E18" i="5" l="1"/>
  <c r="E18" i="12" s="1"/>
  <c r="C18" i="12"/>
  <c r="I13" i="7"/>
  <c r="K54" i="12" s="1"/>
  <c r="J54" i="12"/>
  <c r="I18" i="7"/>
  <c r="K59" i="12" s="1"/>
  <c r="J59" i="12"/>
</calcChain>
</file>

<file path=xl/comments1.xml><?xml version="1.0" encoding="utf-8"?>
<comments xmlns="http://schemas.openxmlformats.org/spreadsheetml/2006/main">
  <authors>
    <author>Sunil Dalal</author>
  </authors>
  <commentList>
    <comment ref="G25" authorId="0" shapeId="0">
      <text>
        <r>
          <rPr>
            <b/>
            <sz val="20"/>
            <color indexed="81"/>
            <rFont val="Tahoma"/>
            <family val="2"/>
          </rPr>
          <t>Sunil Dalal:</t>
        </r>
        <r>
          <rPr>
            <sz val="20"/>
            <color indexed="81"/>
            <rFont val="Tahoma"/>
            <family val="2"/>
          </rPr>
          <t xml:space="preserve">
Assuming the current balance of $375MM is not paid until the end of the period.</t>
        </r>
      </text>
    </comment>
  </commentList>
</comments>
</file>

<file path=xl/comments2.xml><?xml version="1.0" encoding="utf-8"?>
<comments xmlns="http://schemas.openxmlformats.org/spreadsheetml/2006/main">
  <authors>
    <author>Sunil Dalal</author>
  </authors>
  <commentList>
    <comment ref="G25" authorId="0" shapeId="0">
      <text>
        <r>
          <rPr>
            <b/>
            <sz val="20"/>
            <color indexed="81"/>
            <rFont val="Tahoma"/>
            <family val="2"/>
          </rPr>
          <t>Sunil Dalal:</t>
        </r>
        <r>
          <rPr>
            <sz val="20"/>
            <color indexed="81"/>
            <rFont val="Tahoma"/>
            <family val="2"/>
          </rPr>
          <t xml:space="preserve">
Assuming the current balance of $375MM is not paid until the end of the period.</t>
        </r>
      </text>
    </comment>
  </commentList>
</comments>
</file>

<file path=xl/comments3.xml><?xml version="1.0" encoding="utf-8"?>
<comments xmlns="http://schemas.openxmlformats.org/spreadsheetml/2006/main">
  <authors>
    <author>Sunil Dalal</author>
  </authors>
  <commentList>
    <comment ref="K2" authorId="0" shapeId="0">
      <text>
        <r>
          <rPr>
            <b/>
            <sz val="8"/>
            <color indexed="81"/>
            <rFont val="Tahoma"/>
          </rPr>
          <t>Sunil Dalal:</t>
        </r>
        <r>
          <rPr>
            <sz val="8"/>
            <color indexed="81"/>
            <rFont val="Tahoma"/>
          </rPr>
          <t xml:space="preserve">
Anything that has dropped out of previous MTM and current MTM</t>
        </r>
      </text>
    </comment>
  </commentList>
</comments>
</file>

<file path=xl/sharedStrings.xml><?xml version="1.0" encoding="utf-8"?>
<sst xmlns="http://schemas.openxmlformats.org/spreadsheetml/2006/main" count="323" uniqueCount="116">
  <si>
    <t>DRAFT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</si>
  <si>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</si>
  <si>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Value at Risk</t>
  </si>
  <si>
    <t>QTD</t>
  </si>
  <si>
    <t>YTD</t>
  </si>
  <si>
    <t xml:space="preserve">             UNITED STATES </t>
  </si>
  <si>
    <t xml:space="preserve">             CANADA</t>
  </si>
  <si>
    <t xml:space="preserve"> </t>
  </si>
  <si>
    <t xml:space="preserve">Gas </t>
  </si>
  <si>
    <t>Power</t>
  </si>
  <si>
    <t>Enrici Power Marketing</t>
  </si>
  <si>
    <t>Elektro</t>
  </si>
  <si>
    <t>Gas</t>
  </si>
  <si>
    <t>J Block CRTA</t>
  </si>
  <si>
    <t>AVCI</t>
  </si>
  <si>
    <t>Enron Stock Option Plans</t>
  </si>
  <si>
    <t>MSEB/Dahbol</t>
  </si>
  <si>
    <t>Cuiaba</t>
  </si>
  <si>
    <t>Active Power</t>
  </si>
  <si>
    <t>Shares</t>
  </si>
  <si>
    <t>Bcf</t>
  </si>
  <si>
    <t>Shares Equiv.</t>
  </si>
  <si>
    <t>New Power Company</t>
  </si>
  <si>
    <t>Gas Capacity</t>
  </si>
  <si>
    <t>Equity Investment at Carrying Value</t>
  </si>
  <si>
    <t xml:space="preserve">Physical Gas </t>
  </si>
  <si>
    <t>Financial Power</t>
  </si>
  <si>
    <t>TWh</t>
  </si>
  <si>
    <t>$ millions</t>
  </si>
  <si>
    <t>Interest Rate Sensitivity</t>
  </si>
  <si>
    <t>$/Bps</t>
  </si>
  <si>
    <t>1-Day, 95% ($ millions)</t>
  </si>
  <si>
    <t>Net Open Position</t>
  </si>
  <si>
    <t>long / (short)</t>
  </si>
  <si>
    <t>BRL millions</t>
  </si>
  <si>
    <t>Mark-to-Market Value</t>
  </si>
  <si>
    <t>FX Position</t>
  </si>
  <si>
    <t>GBP millions</t>
  </si>
  <si>
    <t>Raptor - Credit Capacity Foregone</t>
  </si>
  <si>
    <t>FX Position (Dabhol I &amp; Dabhol II)</t>
  </si>
  <si>
    <t>INR millions</t>
  </si>
  <si>
    <t>Aggregate</t>
  </si>
  <si>
    <t>SK-Enron</t>
  </si>
  <si>
    <t>KRW millions</t>
  </si>
  <si>
    <t xml:space="preserve"> Economic P&amp;L ($ millions)</t>
  </si>
  <si>
    <t>As of</t>
  </si>
  <si>
    <t>Hanover Compressor</t>
  </si>
  <si>
    <t>ENE Exercisable Options</t>
  </si>
  <si>
    <t>Enron Americas</t>
  </si>
  <si>
    <t>Capital Portfolio</t>
  </si>
  <si>
    <t>Enron Europe</t>
  </si>
  <si>
    <t>Physical Gas</t>
  </si>
  <si>
    <t>Delta Volumes</t>
  </si>
  <si>
    <t>Tier I Financial Power</t>
  </si>
  <si>
    <t>Tier II Financial Power</t>
  </si>
  <si>
    <t>Net Financial Power</t>
  </si>
  <si>
    <t>Physical Supply</t>
  </si>
  <si>
    <t>Tracking Account</t>
  </si>
  <si>
    <t>Financial Gas</t>
  </si>
  <si>
    <t>Pleasant Valley</t>
  </si>
  <si>
    <t>Sithe</t>
  </si>
  <si>
    <t>Nymex+ANR/LA+0.0175</t>
  </si>
  <si>
    <t>MMBTu</t>
  </si>
  <si>
    <t>MWh</t>
  </si>
  <si>
    <t xml:space="preserve">Interest </t>
  </si>
  <si>
    <t>Prime+1</t>
  </si>
  <si>
    <t>Before Interest</t>
  </si>
  <si>
    <t>Post Interest</t>
  </si>
  <si>
    <t>Term</t>
  </si>
  <si>
    <t>PV</t>
  </si>
  <si>
    <t>Delta</t>
  </si>
  <si>
    <t>Gamma</t>
  </si>
  <si>
    <t>Vega</t>
  </si>
  <si>
    <t>Rho</t>
  </si>
  <si>
    <t>Theta</t>
  </si>
  <si>
    <t>Liquidation</t>
  </si>
  <si>
    <t>Adjustments</t>
  </si>
  <si>
    <t>P&amp;L</t>
  </si>
  <si>
    <t>Plant Value</t>
  </si>
  <si>
    <t>Enron Global Assets</t>
  </si>
  <si>
    <t>SRM REPORT</t>
  </si>
  <si>
    <t>(000 Mwh)</t>
  </si>
  <si>
    <t>(Bcf)</t>
  </si>
  <si>
    <t>($ 000s)</t>
  </si>
  <si>
    <t>$000</t>
  </si>
  <si>
    <t>Tracking Account MTM</t>
  </si>
  <si>
    <t>Interest MTM</t>
  </si>
  <si>
    <t xml:space="preserve">Tracking Account  </t>
  </si>
  <si>
    <t xml:space="preserve">Tracking Account MTM </t>
  </si>
  <si>
    <t>Hedge at 1233 KRW/USD</t>
  </si>
  <si>
    <t>LTD</t>
  </si>
  <si>
    <t>VAR with Hedge</t>
  </si>
  <si>
    <t>Southern Cone</t>
  </si>
  <si>
    <t>TBS</t>
  </si>
  <si>
    <t>Crude</t>
  </si>
  <si>
    <t>YPF Gas</t>
  </si>
  <si>
    <t>YPF Option</t>
  </si>
  <si>
    <t>GNS Option</t>
  </si>
  <si>
    <t>Costruction Overrun</t>
  </si>
  <si>
    <t>AVICI</t>
  </si>
  <si>
    <t>Liquidity Adjusted</t>
  </si>
  <si>
    <t>Notional Position</t>
  </si>
  <si>
    <t>EPE</t>
  </si>
  <si>
    <t>Twh</t>
  </si>
  <si>
    <t>Benchmark Position</t>
  </si>
  <si>
    <t>MMBbl</t>
  </si>
  <si>
    <t>Sithe Plant FMV</t>
  </si>
  <si>
    <t>GasMat</t>
  </si>
  <si>
    <t>GasBol</t>
  </si>
  <si>
    <t>MM $</t>
  </si>
  <si>
    <t>Discounted Accrued Balance</t>
  </si>
  <si>
    <t>Tracking Account Detail</t>
  </si>
  <si>
    <t>SITHE Independence</t>
  </si>
  <si>
    <t xml:space="preserve">Sithe Gas Supply Agreement </t>
  </si>
  <si>
    <t xml:space="preserve">MTM Tracking Acct. </t>
  </si>
  <si>
    <t>Compounded Interest MTM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</si>
</sst>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&quot;$&quot;#,##0_);\(&quot;$&quot;#,##0\);&quot;-&quot;??_)"/>
    <numFmt numFmtId="166" formatCode="_(* #,##0_);_(* \(#,##0\);_(* &quot;-&quot;??_);_(@_)"/>
    <numFmt numFmtId="167" formatCode="&quot;$&quot;#,##0.0_);[Red]\(&quot;$&quot;#,##0.0\)"/>
    <numFmt numFmtId="168" formatCode="#,##0.000_);[Red]\(#,##0.000\)"/>
    <numFmt numFmtId="169" formatCode="#,##0.0_);[Red]\(#,##0.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mmmm\ d\,\ yyyy"/>
    <numFmt numFmtId="189" formatCode="_(&quot;$&quot;* #,##0_);_(&quot;$&quot;* \(#,##0\);_(&quot;$&quot;* &quot;-&quot;??_);_(@_)"/>
  </numFmts>
  <fonts count="61">
    <font>
      <sz val="10"/>
      <name val="Arial"/>
    </font>
    <font>
      <sz val="10"/>
      <name val="Arial"/>
    </font>
    <font>
      <b/>
      <sz val="2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14"/>
      <color indexed="10"/>
      <name val="Times New Roman"/>
      <family val="1"/>
    </font>
    <font>
      <sz val="14"/>
      <name val="Times New Roman"/>
      <family val="1"/>
    </font>
    <font>
      <sz val="24"/>
      <name val="Arial"/>
      <family val="2"/>
    </font>
    <font>
      <b/>
      <sz val="14"/>
      <name val="Times New Roman"/>
    </font>
    <font>
      <sz val="14"/>
      <name val="Arial"/>
    </font>
    <font>
      <sz val="20"/>
      <name val="Times New Roman"/>
      <family val="1"/>
    </font>
    <font>
      <sz val="20"/>
      <name val="Arial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8"/>
      <color indexed="8"/>
      <name val="Times New Roman"/>
      <family val="1"/>
    </font>
    <font>
      <sz val="16"/>
      <name val="Times New Roman"/>
      <family val="1"/>
    </font>
    <font>
      <b/>
      <sz val="16"/>
      <color indexed="8"/>
      <name val="Times New Roman"/>
    </font>
    <font>
      <b/>
      <sz val="14"/>
      <color indexed="8"/>
      <name val="Times New Roman"/>
      <family val="1"/>
    </font>
    <font>
      <sz val="18"/>
      <name val="Times New Roman"/>
      <family val="1"/>
    </font>
    <font>
      <b/>
      <sz val="18"/>
      <color indexed="8"/>
      <name val="Times New Roman"/>
      <family val="1"/>
    </font>
    <font>
      <sz val="16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48"/>
      <color indexed="10"/>
      <name val="Times New Roman"/>
      <family val="1"/>
    </font>
    <font>
      <b/>
      <sz val="14"/>
      <color indexed="8"/>
      <name val="Times New Roman"/>
    </font>
    <font>
      <b/>
      <u/>
      <sz val="16"/>
      <name val="Times New Roman"/>
      <family val="1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b/>
      <sz val="12"/>
      <name val="Times New Roman"/>
      <family val="1"/>
    </font>
    <font>
      <sz val="20"/>
      <color indexed="8"/>
      <name val="Times New Roman"/>
      <family val="1"/>
    </font>
    <font>
      <sz val="16"/>
      <color indexed="9"/>
      <name val="Times New Roman"/>
      <family val="1"/>
    </font>
    <font>
      <b/>
      <sz val="18"/>
      <name val="Times New Roman"/>
      <family val="1"/>
    </font>
    <font>
      <b/>
      <i/>
      <sz val="18"/>
      <name val="Times New Roman"/>
      <family val="1"/>
    </font>
    <font>
      <b/>
      <sz val="18"/>
      <color indexed="18"/>
      <name val="Times New Roman"/>
      <family val="1"/>
    </font>
    <font>
      <b/>
      <sz val="18"/>
      <name val="Times New Roman"/>
    </font>
    <font>
      <sz val="18"/>
      <name val="Arial"/>
    </font>
    <font>
      <b/>
      <sz val="18"/>
      <color indexed="8"/>
      <name val="Times New Roman"/>
    </font>
    <font>
      <b/>
      <sz val="18"/>
      <color indexed="9"/>
      <name val="Times New Roman"/>
      <family val="1"/>
    </font>
    <font>
      <b/>
      <sz val="16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20"/>
      <color indexed="12"/>
      <name val="Times New Roman"/>
      <family val="1"/>
    </font>
    <font>
      <b/>
      <sz val="18"/>
      <color indexed="48"/>
      <name val="Times New Roman"/>
      <family val="1"/>
    </font>
    <font>
      <b/>
      <sz val="20"/>
      <color indexed="81"/>
      <name val="Tahoma"/>
      <family val="2"/>
    </font>
    <font>
      <sz val="20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2">
    <xf numFmtId="0" fontId="0" fillId="0" borderId="0"/>
    <xf numFmtId="169" fontId="23" fillId="0" borderId="0" applyFont="0" applyFill="0" applyBorder="0" applyAlignment="0" applyProtection="0">
      <alignment vertical="top"/>
    </xf>
    <xf numFmtId="40" fontId="23" fillId="0" borderId="0" applyFont="0" applyFill="0" applyBorder="0" applyAlignment="0" applyProtection="0">
      <alignment vertical="top"/>
    </xf>
    <xf numFmtId="168" fontId="23" fillId="0" borderId="0" applyFont="0" applyFill="0" applyBorder="0" applyAlignment="0" applyProtection="0">
      <alignment vertical="top"/>
    </xf>
    <xf numFmtId="170" fontId="23" fillId="0" borderId="0" applyFont="0" applyFill="0" applyBorder="0" applyAlignment="0" applyProtection="0">
      <alignment vertical="top"/>
    </xf>
    <xf numFmtId="171" fontId="23" fillId="0" borderId="0" applyFont="0" applyFill="0" applyBorder="0" applyAlignment="0" applyProtection="0">
      <alignment vertical="top"/>
    </xf>
    <xf numFmtId="1" fontId="24" fillId="0" borderId="0" applyFont="0" applyFill="0" applyBorder="0" applyProtection="0">
      <alignment horizontal="left" vertical="top"/>
    </xf>
    <xf numFmtId="172" fontId="25" fillId="0" borderId="1" applyNumberFormat="0" applyFont="0" applyFill="0" applyAlignment="0" applyProtection="0">
      <alignment horizontal="left" vertical="top" wrapText="1"/>
    </xf>
    <xf numFmtId="38" fontId="26" fillId="0" borderId="0" applyNumberFormat="0" applyFill="0" applyBorder="0" applyAlignment="0" applyProtection="0">
      <alignment vertical="top"/>
    </xf>
    <xf numFmtId="173" fontId="27" fillId="0" borderId="0" applyNumberFormat="0" applyFill="0" applyBorder="0" applyAlignment="0" applyProtection="0">
      <alignment vertical="top"/>
    </xf>
    <xf numFmtId="38" fontId="23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4" fontId="27" fillId="0" borderId="0" applyFont="0" applyFill="0" applyBorder="0" applyAlignment="0" applyProtection="0">
      <alignment horizontal="left" vertical="top"/>
    </xf>
    <xf numFmtId="175" fontId="27" fillId="0" borderId="0" applyFont="0" applyFill="0" applyBorder="0" applyAlignment="0" applyProtection="0">
      <alignment vertical="top"/>
    </xf>
    <xf numFmtId="172" fontId="27" fillId="0" borderId="0" applyFont="0" applyFill="0" applyBorder="0" applyAlignment="0" applyProtection="0">
      <alignment horizontal="left" vertical="top"/>
    </xf>
    <xf numFmtId="176" fontId="23" fillId="0" borderId="0" applyFont="0" applyFill="0" applyBorder="0" applyAlignment="0" applyProtection="0">
      <alignment vertical="top"/>
    </xf>
    <xf numFmtId="38" fontId="23" fillId="2" borderId="0" applyNumberFormat="0" applyFont="0" applyBorder="0" applyAlignment="0" applyProtection="0">
      <alignment horizontal="right" vertical="top"/>
    </xf>
    <xf numFmtId="37" fontId="28" fillId="3" borderId="0" applyNumberFormat="0" applyBorder="0" applyAlignment="0">
      <protection locked="0"/>
    </xf>
    <xf numFmtId="38" fontId="29" fillId="0" borderId="0" applyNumberFormat="0" applyFill="0" applyBorder="0" applyAlignment="0" applyProtection="0">
      <alignment vertical="top"/>
    </xf>
    <xf numFmtId="38" fontId="23" fillId="4" borderId="0" applyNumberFormat="0" applyFont="0" applyBorder="0" applyAlignment="0" applyProtection="0">
      <alignment vertical="top"/>
    </xf>
    <xf numFmtId="38" fontId="4" fillId="0" borderId="0" applyNumberFormat="0" applyFill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17" fillId="0" borderId="0" applyNumberFormat="0" applyFill="0" applyBorder="0" applyAlignment="0" applyProtection="0">
      <alignment vertical="top"/>
    </xf>
    <xf numFmtId="38" fontId="23" fillId="4" borderId="0" applyNumberFormat="0" applyFont="0" applyBorder="0" applyAlignment="0" applyProtection="0">
      <alignment vertical="top"/>
    </xf>
    <xf numFmtId="38" fontId="23" fillId="5" borderId="0" applyNumberFormat="0" applyFont="0" applyBorder="0" applyAlignment="0" applyProtection="0">
      <alignment vertical="top"/>
    </xf>
    <xf numFmtId="177" fontId="23" fillId="6" borderId="0" applyNumberFormat="0" applyFont="0" applyBorder="0" applyAlignment="0" applyProtection="0">
      <alignment vertical="top"/>
    </xf>
    <xf numFmtId="38" fontId="30" fillId="0" borderId="0" applyNumberFormat="0" applyFill="0" applyBorder="0" applyAlignment="0" applyProtection="0">
      <alignment vertical="top"/>
    </xf>
    <xf numFmtId="0" fontId="1" fillId="0" borderId="0"/>
    <xf numFmtId="169" fontId="23" fillId="7" borderId="0" applyNumberFormat="0" applyFont="0" applyBorder="0" applyAlignment="0" applyProtection="0">
      <alignment horizontal="right" vertical="top"/>
    </xf>
    <xf numFmtId="170" fontId="23" fillId="8" borderId="0" applyNumberFormat="0" applyFont="0" applyBorder="0" applyAlignment="0" applyProtection="0">
      <alignment vertical="top"/>
    </xf>
    <xf numFmtId="38" fontId="23" fillId="9" borderId="0" applyNumberFormat="0" applyFont="0" applyBorder="0" applyAlignment="0" applyProtection="0">
      <alignment vertical="top"/>
    </xf>
    <xf numFmtId="178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173" fontId="23" fillId="0" borderId="0" applyFont="0" applyFill="0" applyBorder="0" applyAlignment="0" applyProtection="0">
      <alignment vertical="top"/>
    </xf>
    <xf numFmtId="38" fontId="32" fillId="0" borderId="0" applyNumberFormat="0" applyFill="0" applyBorder="0" applyAlignment="0" applyProtection="0">
      <alignment vertical="top"/>
    </xf>
    <xf numFmtId="177" fontId="23" fillId="10" borderId="0" applyNumberFormat="0" applyFont="0" applyBorder="0" applyAlignment="0" applyProtection="0">
      <alignment vertical="top"/>
    </xf>
    <xf numFmtId="180" fontId="33" fillId="11" borderId="0" applyBorder="0" applyAlignment="0" applyProtection="0">
      <alignment vertical="top"/>
    </xf>
    <xf numFmtId="0" fontId="3" fillId="12" borderId="2" applyNumberFormat="0" applyFont="0" applyBorder="0" applyAlignment="0" applyProtection="0">
      <alignment horizontal="left"/>
    </xf>
    <xf numFmtId="37" fontId="24" fillId="0" borderId="3" applyNumberFormat="0" applyFont="0" applyFill="0" applyAlignment="0"/>
    <xf numFmtId="20" fontId="23" fillId="0" borderId="0" applyFont="0" applyFill="0" applyBorder="0" applyAlignment="0" applyProtection="0">
      <alignment vertical="top"/>
    </xf>
    <xf numFmtId="21" fontId="23" fillId="0" borderId="0" applyFont="0" applyFill="0" applyBorder="0" applyAlignment="0" applyProtection="0">
      <alignment vertical="top"/>
    </xf>
    <xf numFmtId="38" fontId="25" fillId="0" borderId="0" applyNumberFormat="0" applyFill="0" applyBorder="0" applyProtection="0">
      <alignment vertical="top" wrapText="1"/>
    </xf>
    <xf numFmtId="37" fontId="24" fillId="0" borderId="4" applyNumberFormat="0" applyFont="0" applyFill="0" applyAlignment="0"/>
    <xf numFmtId="38" fontId="34" fillId="0" borderId="0" applyNumberFormat="0" applyFill="0" applyBorder="0" applyAlignment="0" applyProtection="0">
      <alignment vertical="top"/>
    </xf>
    <xf numFmtId="177" fontId="23" fillId="4" borderId="0" applyNumberFormat="0" applyFont="0" applyBorder="0" applyAlignment="0" applyProtection="0">
      <alignment vertical="top"/>
    </xf>
    <xf numFmtId="38" fontId="35" fillId="8" borderId="0" applyNumberFormat="0" applyBorder="0" applyAlignment="0" applyProtection="0">
      <alignment vertical="top"/>
    </xf>
    <xf numFmtId="173" fontId="23" fillId="0" borderId="0" applyNumberFormat="0" applyFont="0" applyFill="0" applyBorder="0" applyProtection="0">
      <alignment vertical="top" wrapText="1"/>
    </xf>
    <xf numFmtId="181" fontId="23" fillId="0" borderId="0" applyFont="0" applyFill="0" applyBorder="0" applyAlignment="0" applyProtection="0"/>
    <xf numFmtId="1" fontId="24" fillId="0" borderId="0" applyFont="0" applyFill="0" applyBorder="0" applyProtection="0">
      <alignment horizontal="right" vertical="top"/>
    </xf>
    <xf numFmtId="177" fontId="23" fillId="0" borderId="0" applyFont="0" applyFill="0" applyBorder="0" applyAlignment="0" applyProtection="0">
      <alignment vertical="top" wrapText="1"/>
    </xf>
    <xf numFmtId="38" fontId="23" fillId="0" borderId="0" applyFont="0" applyFill="0" applyBorder="0" applyAlignment="0" applyProtection="0">
      <alignment horizontal="right" vertical="top"/>
    </xf>
  </cellStyleXfs>
  <cellXfs count="248">
    <xf numFmtId="0" fontId="0" fillId="0" borderId="0" xfId="0"/>
    <xf numFmtId="0" fontId="2" fillId="13" borderId="0" xfId="28" applyFont="1" applyFill="1" applyAlignment="1">
      <alignment horizontal="centerContinuous"/>
    </xf>
    <xf numFmtId="0" fontId="0" fillId="13" borderId="0" xfId="0" applyFill="1" applyAlignment="1"/>
    <xf numFmtId="0" fontId="4" fillId="13" borderId="0" xfId="28" applyFont="1" applyFill="1" applyAlignment="1"/>
    <xf numFmtId="0" fontId="6" fillId="13" borderId="0" xfId="28" applyFont="1" applyFill="1" applyAlignment="1"/>
    <xf numFmtId="0" fontId="4" fillId="13" borderId="0" xfId="28" applyFont="1" applyFill="1" applyAlignment="1">
      <alignment horizontal="center"/>
    </xf>
    <xf numFmtId="0" fontId="5" fillId="13" borderId="0" xfId="28" applyFont="1" applyFill="1" applyAlignment="1">
      <alignment horizontal="right"/>
    </xf>
    <xf numFmtId="0" fontId="8" fillId="13" borderId="0" xfId="28" applyFont="1" applyFill="1" applyAlignment="1"/>
    <xf numFmtId="0" fontId="9" fillId="13" borderId="0" xfId="28" applyFont="1" applyFill="1" applyAlignment="1">
      <alignment horizontal="center"/>
    </xf>
    <xf numFmtId="0" fontId="1" fillId="13" borderId="0" xfId="28" applyFill="1" applyAlignment="1">
      <alignment horizontal="center"/>
    </xf>
    <xf numFmtId="0" fontId="6" fillId="13" borderId="0" xfId="28" applyFont="1" applyFill="1" applyAlignment="1">
      <alignment horizontal="center"/>
    </xf>
    <xf numFmtId="0" fontId="10" fillId="13" borderId="0" xfId="28" applyFont="1" applyFill="1" applyAlignment="1"/>
    <xf numFmtId="0" fontId="10" fillId="13" borderId="0" xfId="28" applyFont="1" applyFill="1" applyBorder="1" applyAlignment="1">
      <alignment horizontal="center"/>
    </xf>
    <xf numFmtId="0" fontId="8" fillId="13" borderId="0" xfId="28" applyFont="1" applyFill="1" applyBorder="1" applyAlignment="1">
      <alignment horizontal="center"/>
    </xf>
    <xf numFmtId="0" fontId="4" fillId="13" borderId="0" xfId="28" applyFont="1" applyFill="1" applyBorder="1" applyAlignment="1">
      <alignment horizontal="center"/>
    </xf>
    <xf numFmtId="0" fontId="13" fillId="13" borderId="0" xfId="28" applyFont="1" applyFill="1" applyAlignment="1"/>
    <xf numFmtId="37" fontId="12" fillId="13" borderId="0" xfId="28" applyNumberFormat="1" applyFont="1" applyFill="1" applyBorder="1" applyAlignment="1">
      <alignment horizontal="center"/>
    </xf>
    <xf numFmtId="0" fontId="3" fillId="13" borderId="0" xfId="28" applyFont="1" applyFill="1" applyBorder="1" applyAlignment="1">
      <alignment horizontal="left"/>
    </xf>
    <xf numFmtId="0" fontId="1" fillId="13" borderId="0" xfId="28" applyFill="1" applyAlignment="1"/>
    <xf numFmtId="37" fontId="4" fillId="13" borderId="0" xfId="28" applyNumberFormat="1" applyFont="1" applyFill="1" applyAlignment="1"/>
    <xf numFmtId="38" fontId="16" fillId="13" borderId="1" xfId="11" applyNumberFormat="1" applyFont="1" applyFill="1" applyBorder="1" applyAlignment="1">
      <alignment horizontal="right"/>
    </xf>
    <xf numFmtId="0" fontId="17" fillId="13" borderId="0" xfId="28" applyFont="1" applyFill="1" applyAlignment="1"/>
    <xf numFmtId="37" fontId="17" fillId="13" borderId="0" xfId="28" applyNumberFormat="1" applyFont="1" applyFill="1" applyBorder="1" applyAlignment="1">
      <alignment horizontal="center"/>
    </xf>
    <xf numFmtId="37" fontId="17" fillId="13" borderId="0" xfId="28" applyNumberFormat="1" applyFont="1" applyFill="1" applyAlignment="1"/>
    <xf numFmtId="5" fontId="18" fillId="13" borderId="0" xfId="28" applyNumberFormat="1" applyFont="1" applyFill="1" applyBorder="1" applyAlignment="1">
      <alignment horizontal="right"/>
    </xf>
    <xf numFmtId="6" fontId="14" fillId="13" borderId="0" xfId="12" applyNumberFormat="1" applyFont="1" applyFill="1" applyBorder="1" applyAlignment="1">
      <alignment horizontal="right"/>
    </xf>
    <xf numFmtId="6" fontId="19" fillId="13" borderId="0" xfId="12" applyNumberFormat="1" applyFont="1" applyFill="1" applyBorder="1" applyAlignment="1">
      <alignment horizontal="right"/>
    </xf>
    <xf numFmtId="37" fontId="17" fillId="13" borderId="0" xfId="28" applyNumberFormat="1" applyFont="1" applyFill="1" applyBorder="1" applyAlignment="1"/>
    <xf numFmtId="166" fontId="16" fillId="13" borderId="0" xfId="11" applyNumberFormat="1" applyFont="1" applyFill="1" applyBorder="1" applyAlignment="1">
      <alignment horizontal="right"/>
    </xf>
    <xf numFmtId="38" fontId="16" fillId="13" borderId="0" xfId="11" applyNumberFormat="1" applyFont="1" applyFill="1" applyBorder="1" applyAlignment="1">
      <alignment horizontal="right"/>
    </xf>
    <xf numFmtId="6" fontId="21" fillId="14" borderId="1" xfId="12" applyNumberFormat="1" applyFont="1" applyFill="1" applyBorder="1" applyAlignment="1">
      <alignment horizontal="right"/>
    </xf>
    <xf numFmtId="0" fontId="22" fillId="13" borderId="0" xfId="28" applyFont="1" applyFill="1" applyBorder="1" applyAlignment="1"/>
    <xf numFmtId="0" fontId="12" fillId="13" borderId="0" xfId="28" applyFont="1" applyFill="1"/>
    <xf numFmtId="0" fontId="4" fillId="13" borderId="0" xfId="28" applyFont="1" applyFill="1"/>
    <xf numFmtId="0" fontId="4" fillId="13" borderId="0" xfId="28" applyFont="1" applyFill="1" applyBorder="1"/>
    <xf numFmtId="0" fontId="12" fillId="13" borderId="0" xfId="28" applyFont="1" applyFill="1" applyBorder="1"/>
    <xf numFmtId="0" fontId="36" fillId="13" borderId="0" xfId="28" applyFont="1" applyFill="1" applyAlignment="1">
      <alignment horizontal="center"/>
    </xf>
    <xf numFmtId="164" fontId="37" fillId="13" borderId="0" xfId="28" applyNumberFormat="1" applyFont="1" applyFill="1" applyBorder="1" applyAlignment="1">
      <alignment horizontal="center"/>
    </xf>
    <xf numFmtId="37" fontId="8" fillId="13" borderId="0" xfId="0" applyNumberFormat="1" applyFont="1" applyFill="1" applyBorder="1" applyAlignment="1">
      <alignment horizontal="center"/>
    </xf>
    <xf numFmtId="0" fontId="38" fillId="13" borderId="0" xfId="28" applyFont="1" applyFill="1" applyBorder="1" applyAlignment="1">
      <alignment horizontal="center"/>
    </xf>
    <xf numFmtId="0" fontId="10" fillId="13" borderId="0" xfId="28" applyFont="1" applyFill="1" applyBorder="1" applyAlignment="1">
      <alignment horizontal="left"/>
    </xf>
    <xf numFmtId="5" fontId="39" fillId="13" borderId="0" xfId="28" applyNumberFormat="1" applyFont="1" applyFill="1" applyBorder="1"/>
    <xf numFmtId="0" fontId="4" fillId="13" borderId="0" xfId="28" applyFont="1" applyFill="1" applyBorder="1" applyAlignment="1">
      <alignment horizontal="centerContinuous"/>
    </xf>
    <xf numFmtId="0" fontId="1" fillId="13" borderId="0" xfId="28" applyFill="1" applyBorder="1" applyAlignment="1">
      <alignment horizontal="centerContinuous"/>
    </xf>
    <xf numFmtId="0" fontId="8" fillId="13" borderId="5" xfId="28" applyFont="1" applyFill="1" applyBorder="1" applyAlignment="1">
      <alignment horizontal="center"/>
    </xf>
    <xf numFmtId="0" fontId="8" fillId="13" borderId="6" xfId="28" applyFont="1" applyFill="1" applyBorder="1" applyAlignment="1">
      <alignment horizontal="center"/>
    </xf>
    <xf numFmtId="0" fontId="8" fillId="13" borderId="0" xfId="28" applyFont="1" applyFill="1"/>
    <xf numFmtId="0" fontId="8" fillId="13" borderId="0" xfId="28" applyFont="1" applyFill="1" applyBorder="1"/>
    <xf numFmtId="5" fontId="40" fillId="13" borderId="0" xfId="28" applyNumberFormat="1" applyFont="1" applyFill="1" applyBorder="1"/>
    <xf numFmtId="0" fontId="7" fillId="13" borderId="0" xfId="28" applyFont="1" applyFill="1" applyBorder="1" applyAlignment="1">
      <alignment horizontal="center"/>
    </xf>
    <xf numFmtId="0" fontId="41" fillId="13" borderId="0" xfId="28" applyFont="1" applyFill="1" applyBorder="1" applyAlignment="1">
      <alignment horizontal="right"/>
    </xf>
    <xf numFmtId="6" fontId="19" fillId="13" borderId="0" xfId="12" applyNumberFormat="1" applyFont="1" applyFill="1" applyBorder="1" applyAlignment="1">
      <alignment horizontal="center"/>
    </xf>
    <xf numFmtId="5" fontId="42" fillId="13" borderId="0" xfId="28" applyNumberFormat="1" applyFont="1" applyFill="1" applyBorder="1"/>
    <xf numFmtId="6" fontId="4" fillId="13" borderId="0" xfId="28" applyNumberFormat="1" applyFont="1" applyFill="1" applyBorder="1"/>
    <xf numFmtId="0" fontId="17" fillId="13" borderId="0" xfId="28" applyFont="1" applyFill="1" applyBorder="1"/>
    <xf numFmtId="5" fontId="15" fillId="13" borderId="0" xfId="28" applyNumberFormat="1" applyFont="1" applyFill="1" applyBorder="1"/>
    <xf numFmtId="0" fontId="17" fillId="13" borderId="0" xfId="28" applyFont="1" applyFill="1"/>
    <xf numFmtId="0" fontId="4" fillId="13" borderId="0" xfId="28" applyFont="1" applyFill="1" applyBorder="1" applyAlignment="1">
      <alignment horizontal="right"/>
    </xf>
    <xf numFmtId="0" fontId="12" fillId="0" borderId="0" xfId="28" applyFont="1" applyFill="1"/>
    <xf numFmtId="0" fontId="41" fillId="0" borderId="0" xfId="28" applyFont="1" applyFill="1" applyBorder="1" applyAlignment="1">
      <alignment horizontal="right"/>
    </xf>
    <xf numFmtId="6" fontId="19" fillId="0" borderId="0" xfId="12" applyNumberFormat="1" applyFont="1" applyFill="1" applyBorder="1" applyAlignment="1">
      <alignment horizontal="right"/>
    </xf>
    <xf numFmtId="0" fontId="12" fillId="0" borderId="0" xfId="28" applyFont="1" applyFill="1" applyBorder="1"/>
    <xf numFmtId="6" fontId="19" fillId="0" borderId="0" xfId="12" applyNumberFormat="1" applyFont="1" applyFill="1" applyBorder="1" applyAlignment="1">
      <alignment horizontal="center"/>
    </xf>
    <xf numFmtId="5" fontId="42" fillId="0" borderId="0" xfId="28" applyNumberFormat="1" applyFont="1" applyFill="1" applyBorder="1"/>
    <xf numFmtId="6" fontId="4" fillId="0" borderId="0" xfId="28" applyNumberFormat="1" applyFont="1" applyFill="1" applyBorder="1"/>
    <xf numFmtId="7" fontId="17" fillId="13" borderId="0" xfId="28" applyNumberFormat="1" applyFont="1" applyFill="1" applyBorder="1"/>
    <xf numFmtId="6" fontId="17" fillId="13" borderId="0" xfId="28" applyNumberFormat="1" applyFont="1" applyFill="1" applyBorder="1"/>
    <xf numFmtId="6" fontId="4" fillId="13" borderId="0" xfId="28" applyNumberFormat="1" applyFont="1" applyFill="1"/>
    <xf numFmtId="0" fontId="22" fillId="13" borderId="0" xfId="0" applyFont="1" applyFill="1" applyAlignment="1"/>
    <xf numFmtId="0" fontId="22" fillId="13" borderId="0" xfId="0" applyFont="1" applyFill="1" applyAlignment="1">
      <alignment horizontal="right"/>
    </xf>
    <xf numFmtId="0" fontId="22" fillId="13" borderId="0" xfId="28" applyFont="1" applyFill="1" applyAlignment="1"/>
    <xf numFmtId="0" fontId="22" fillId="0" borderId="0" xfId="28" applyFont="1" applyFill="1" applyBorder="1" applyAlignment="1"/>
    <xf numFmtId="0" fontId="22" fillId="0" borderId="0" xfId="28" applyFont="1" applyFill="1" applyAlignment="1"/>
    <xf numFmtId="0" fontId="17" fillId="0" borderId="0" xfId="28" applyFont="1" applyFill="1"/>
    <xf numFmtId="0" fontId="17" fillId="0" borderId="0" xfId="28" applyFont="1" applyFill="1" applyBorder="1"/>
    <xf numFmtId="37" fontId="43" fillId="13" borderId="0" xfId="28" applyNumberFormat="1" applyFont="1" applyFill="1" applyBorder="1" applyAlignment="1">
      <alignment horizontal="center"/>
    </xf>
    <xf numFmtId="37" fontId="17" fillId="0" borderId="0" xfId="28" applyNumberFormat="1" applyFont="1" applyFill="1" applyBorder="1" applyAlignment="1"/>
    <xf numFmtId="37" fontId="17" fillId="0" borderId="0" xfId="28" applyNumberFormat="1" applyFont="1" applyFill="1" applyBorder="1" applyAlignment="1">
      <alignment horizontal="center"/>
    </xf>
    <xf numFmtId="0" fontId="17" fillId="13" borderId="0" xfId="28" applyFont="1" applyFill="1" applyAlignment="1">
      <alignment horizontal="center"/>
    </xf>
    <xf numFmtId="37" fontId="22" fillId="13" borderId="0" xfId="28" applyNumberFormat="1" applyFont="1" applyFill="1" applyBorder="1" applyAlignment="1"/>
    <xf numFmtId="37" fontId="22" fillId="0" borderId="0" xfId="28" applyNumberFormat="1" applyFont="1" applyFill="1" applyBorder="1" applyAlignment="1"/>
    <xf numFmtId="37" fontId="22" fillId="13" borderId="0" xfId="0" applyNumberFormat="1" applyFont="1" applyFill="1" applyBorder="1" applyAlignment="1"/>
    <xf numFmtId="37" fontId="22" fillId="0" borderId="0" xfId="0" applyNumberFormat="1" applyFont="1" applyFill="1" applyBorder="1" applyAlignment="1"/>
    <xf numFmtId="37" fontId="17" fillId="13" borderId="0" xfId="0" applyNumberFormat="1" applyFont="1" applyFill="1" applyAlignment="1">
      <alignment horizontal="left"/>
    </xf>
    <xf numFmtId="37" fontId="17" fillId="0" borderId="0" xfId="28" quotePrefix="1" applyNumberFormat="1" applyFont="1" applyFill="1" applyBorder="1" applyAlignment="1">
      <alignment horizontal="center"/>
    </xf>
    <xf numFmtId="37" fontId="44" fillId="14" borderId="1" xfId="28" applyNumberFormat="1" applyFont="1" applyFill="1" applyBorder="1" applyAlignment="1">
      <alignment horizontal="left"/>
    </xf>
    <xf numFmtId="37" fontId="45" fillId="13" borderId="1" xfId="28" applyNumberFormat="1" applyFont="1" applyFill="1" applyBorder="1" applyAlignment="1">
      <alignment horizontal="left"/>
    </xf>
    <xf numFmtId="37" fontId="45" fillId="13" borderId="0" xfId="28" applyNumberFormat="1" applyFont="1" applyFill="1" applyBorder="1" applyAlignment="1">
      <alignment horizontal="left"/>
    </xf>
    <xf numFmtId="37" fontId="44" fillId="0" borderId="1" xfId="28" applyNumberFormat="1" applyFont="1" applyFill="1" applyBorder="1" applyAlignment="1">
      <alignment horizontal="left"/>
    </xf>
    <xf numFmtId="37" fontId="44" fillId="0" borderId="0" xfId="28" applyNumberFormat="1" applyFont="1" applyFill="1" applyBorder="1" applyAlignment="1">
      <alignment horizontal="left"/>
    </xf>
    <xf numFmtId="0" fontId="20" fillId="13" borderId="0" xfId="28" applyFont="1" applyFill="1" applyBorder="1"/>
    <xf numFmtId="37" fontId="44" fillId="15" borderId="1" xfId="28" applyNumberFormat="1" applyFont="1" applyFill="1" applyBorder="1" applyAlignment="1">
      <alignment horizontal="left"/>
    </xf>
    <xf numFmtId="37" fontId="45" fillId="13" borderId="0" xfId="28" applyNumberFormat="1" applyFont="1" applyFill="1" applyBorder="1" applyAlignment="1"/>
    <xf numFmtId="37" fontId="46" fillId="13" borderId="0" xfId="28" applyNumberFormat="1" applyFont="1" applyFill="1" applyBorder="1" applyAlignment="1">
      <alignment horizontal="left"/>
    </xf>
    <xf numFmtId="37" fontId="44" fillId="13" borderId="0" xfId="28" applyNumberFormat="1" applyFont="1" applyFill="1" applyBorder="1" applyAlignment="1">
      <alignment horizontal="left"/>
    </xf>
    <xf numFmtId="37" fontId="20" fillId="13" borderId="0" xfId="0" applyNumberFormat="1" applyFont="1" applyFill="1" applyAlignment="1">
      <alignment horizontal="left"/>
    </xf>
    <xf numFmtId="37" fontId="20" fillId="13" borderId="0" xfId="28" applyNumberFormat="1" applyFont="1" applyFill="1" applyAlignment="1"/>
    <xf numFmtId="0" fontId="47" fillId="13" borderId="1" xfId="28" applyFont="1" applyFill="1" applyBorder="1" applyAlignment="1">
      <alignment horizontal="center"/>
    </xf>
    <xf numFmtId="0" fontId="20" fillId="13" borderId="0" xfId="28" applyFont="1" applyFill="1" applyBorder="1" applyAlignment="1">
      <alignment horizontal="center"/>
    </xf>
    <xf numFmtId="0" fontId="48" fillId="13" borderId="0" xfId="0" applyFont="1" applyFill="1" applyAlignment="1"/>
    <xf numFmtId="0" fontId="48" fillId="13" borderId="0" xfId="28" applyFont="1" applyFill="1" applyAlignment="1">
      <alignment horizontal="center"/>
    </xf>
    <xf numFmtId="37" fontId="21" fillId="13" borderId="0" xfId="28" applyNumberFormat="1" applyFont="1" applyFill="1" applyBorder="1" applyAlignment="1">
      <alignment horizontal="center"/>
    </xf>
    <xf numFmtId="37" fontId="21" fillId="13" borderId="7" xfId="28" applyNumberFormat="1" applyFont="1" applyFill="1" applyBorder="1" applyAlignment="1">
      <alignment horizontal="center"/>
    </xf>
    <xf numFmtId="37" fontId="21" fillId="13" borderId="8" xfId="28" applyNumberFormat="1" applyFont="1" applyFill="1" applyBorder="1" applyAlignment="1">
      <alignment horizontal="center"/>
    </xf>
    <xf numFmtId="37" fontId="49" fillId="13" borderId="0" xfId="28" applyNumberFormat="1" applyFont="1" applyFill="1" applyBorder="1" applyAlignment="1">
      <alignment horizontal="center"/>
    </xf>
    <xf numFmtId="37" fontId="21" fillId="13" borderId="1" xfId="28" applyNumberFormat="1" applyFont="1" applyFill="1" applyBorder="1" applyAlignment="1">
      <alignment horizontal="center"/>
    </xf>
    <xf numFmtId="37" fontId="21" fillId="0" borderId="1" xfId="28" applyNumberFormat="1" applyFont="1" applyFill="1" applyBorder="1" applyAlignment="1">
      <alignment horizontal="center"/>
    </xf>
    <xf numFmtId="37" fontId="48" fillId="13" borderId="0" xfId="28" applyNumberFormat="1" applyFont="1" applyFill="1" applyBorder="1" applyAlignment="1">
      <alignment horizontal="center"/>
    </xf>
    <xf numFmtId="37" fontId="48" fillId="0" borderId="0" xfId="28" applyNumberFormat="1" applyFont="1" applyFill="1" applyBorder="1" applyAlignment="1">
      <alignment horizontal="center"/>
    </xf>
    <xf numFmtId="37" fontId="50" fillId="13" borderId="0" xfId="28" applyNumberFormat="1" applyFont="1" applyFill="1" applyBorder="1" applyAlignment="1">
      <alignment horizontal="center"/>
    </xf>
    <xf numFmtId="37" fontId="21" fillId="13" borderId="0" xfId="12" applyNumberFormat="1" applyFont="1" applyFill="1" applyBorder="1" applyAlignment="1">
      <alignment horizontal="center"/>
    </xf>
    <xf numFmtId="37" fontId="48" fillId="13" borderId="0" xfId="0" applyNumberFormat="1" applyFont="1" applyFill="1" applyBorder="1" applyAlignment="1">
      <alignment horizontal="center"/>
    </xf>
    <xf numFmtId="37" fontId="48" fillId="0" borderId="0" xfId="0" applyNumberFormat="1" applyFont="1" applyFill="1" applyBorder="1" applyAlignment="1">
      <alignment horizontal="center"/>
    </xf>
    <xf numFmtId="37" fontId="21" fillId="0" borderId="1" xfId="12" applyNumberFormat="1" applyFont="1" applyFill="1" applyBorder="1" applyAlignment="1">
      <alignment horizontal="center"/>
    </xf>
    <xf numFmtId="37" fontId="21" fillId="0" borderId="0" xfId="12" applyNumberFormat="1" applyFont="1" applyFill="1" applyBorder="1" applyAlignment="1">
      <alignment horizontal="center"/>
    </xf>
    <xf numFmtId="37" fontId="21" fillId="0" borderId="0" xfId="28" applyNumberFormat="1" applyFont="1" applyFill="1" applyBorder="1" applyAlignment="1">
      <alignment horizontal="center"/>
    </xf>
    <xf numFmtId="37" fontId="21" fillId="14" borderId="1" xfId="28" applyNumberFormat="1" applyFont="1" applyFill="1" applyBorder="1" applyAlignment="1">
      <alignment horizontal="center"/>
    </xf>
    <xf numFmtId="0" fontId="20" fillId="13" borderId="0" xfId="28" applyFont="1" applyFill="1" applyAlignment="1"/>
    <xf numFmtId="6" fontId="21" fillId="13" borderId="1" xfId="12" applyNumberFormat="1" applyFont="1" applyFill="1" applyBorder="1" applyAlignment="1">
      <alignment horizontal="right"/>
    </xf>
    <xf numFmtId="6" fontId="21" fillId="13" borderId="0" xfId="12" applyNumberFormat="1" applyFont="1" applyFill="1" applyBorder="1" applyAlignment="1">
      <alignment horizontal="right"/>
    </xf>
    <xf numFmtId="0" fontId="20" fillId="13" borderId="0" xfId="28" applyFont="1" applyFill="1"/>
    <xf numFmtId="37" fontId="48" fillId="0" borderId="0" xfId="28" applyNumberFormat="1" applyFont="1" applyFill="1" applyAlignment="1">
      <alignment horizontal="center"/>
    </xf>
    <xf numFmtId="37" fontId="48" fillId="13" borderId="0" xfId="28" applyNumberFormat="1" applyFont="1" applyFill="1" applyAlignment="1">
      <alignment horizontal="center"/>
    </xf>
    <xf numFmtId="37" fontId="49" fillId="0" borderId="0" xfId="28" applyNumberFormat="1" applyFont="1" applyFill="1" applyBorder="1" applyAlignment="1">
      <alignment horizontal="center"/>
    </xf>
    <xf numFmtId="6" fontId="21" fillId="0" borderId="1" xfId="12" applyNumberFormat="1" applyFont="1" applyFill="1" applyBorder="1" applyAlignment="1">
      <alignment horizontal="right"/>
    </xf>
    <xf numFmtId="37" fontId="49" fillId="0" borderId="0" xfId="28" applyNumberFormat="1" applyFont="1" applyFill="1" applyBorder="1" applyAlignment="1">
      <alignment horizontal="right"/>
    </xf>
    <xf numFmtId="0" fontId="48" fillId="13" borderId="0" xfId="28" applyFont="1" applyFill="1" applyAlignment="1"/>
    <xf numFmtId="5" fontId="16" fillId="13" borderId="1" xfId="12" applyNumberFormat="1" applyFont="1" applyFill="1" applyBorder="1" applyAlignment="1">
      <alignment horizontal="right"/>
    </xf>
    <xf numFmtId="37" fontId="20" fillId="13" borderId="0" xfId="28" applyNumberFormat="1" applyFont="1" applyFill="1" applyBorder="1" applyAlignment="1">
      <alignment horizontal="center"/>
    </xf>
    <xf numFmtId="6" fontId="21" fillId="0" borderId="0" xfId="12" applyNumberFormat="1" applyFont="1" applyFill="1" applyBorder="1" applyAlignment="1">
      <alignment horizontal="right"/>
    </xf>
    <xf numFmtId="37" fontId="44" fillId="13" borderId="0" xfId="28" applyNumberFormat="1" applyFont="1" applyFill="1" applyBorder="1" applyAlignment="1">
      <alignment horizontal="center"/>
    </xf>
    <xf numFmtId="0" fontId="44" fillId="13" borderId="0" xfId="28" applyFont="1" applyFill="1" applyAlignment="1"/>
    <xf numFmtId="6" fontId="44" fillId="14" borderId="1" xfId="28" applyNumberFormat="1" applyFont="1" applyFill="1" applyBorder="1" applyAlignment="1"/>
    <xf numFmtId="37" fontId="20" fillId="0" borderId="0" xfId="28" applyNumberFormat="1" applyFont="1" applyFill="1" applyBorder="1" applyAlignment="1">
      <alignment horizontal="center"/>
    </xf>
    <xf numFmtId="37" fontId="20" fillId="0" borderId="1" xfId="28" applyNumberFormat="1" applyFont="1" applyFill="1" applyBorder="1" applyAlignment="1">
      <alignment horizontal="center"/>
    </xf>
    <xf numFmtId="5" fontId="21" fillId="14" borderId="1" xfId="12" applyNumberFormat="1" applyFont="1" applyFill="1" applyBorder="1" applyAlignment="1">
      <alignment horizontal="right"/>
    </xf>
    <xf numFmtId="6" fontId="16" fillId="13" borderId="1" xfId="12" applyNumberFormat="1" applyFont="1" applyFill="1" applyBorder="1" applyAlignment="1">
      <alignment horizontal="right"/>
    </xf>
    <xf numFmtId="6" fontId="16" fillId="13" borderId="0" xfId="12" applyNumberFormat="1" applyFont="1" applyFill="1" applyBorder="1" applyAlignment="1">
      <alignment horizontal="right"/>
    </xf>
    <xf numFmtId="5" fontId="20" fillId="13" borderId="0" xfId="28" applyNumberFormat="1" applyFont="1" applyFill="1" applyBorder="1" applyAlignment="1">
      <alignment horizontal="right"/>
    </xf>
    <xf numFmtId="6" fontId="44" fillId="14" borderId="1" xfId="12" applyNumberFormat="1" applyFont="1" applyFill="1" applyBorder="1" applyAlignment="1">
      <alignment horizontal="right"/>
    </xf>
    <xf numFmtId="165" fontId="20" fillId="13" borderId="0" xfId="28" applyNumberFormat="1" applyFont="1" applyFill="1" applyBorder="1" applyAlignment="1">
      <alignment horizontal="right"/>
    </xf>
    <xf numFmtId="6" fontId="44" fillId="0" borderId="1" xfId="12" applyNumberFormat="1" applyFont="1" applyFill="1" applyBorder="1" applyAlignment="1">
      <alignment horizontal="right"/>
    </xf>
    <xf numFmtId="6" fontId="21" fillId="15" borderId="1" xfId="12" applyNumberFormat="1" applyFont="1" applyFill="1" applyBorder="1" applyAlignment="1">
      <alignment horizontal="right"/>
    </xf>
    <xf numFmtId="38" fontId="20" fillId="13" borderId="1" xfId="11" applyNumberFormat="1" applyFont="1" applyFill="1" applyBorder="1" applyAlignment="1">
      <alignment horizontal="right"/>
    </xf>
    <xf numFmtId="38" fontId="20" fillId="13" borderId="0" xfId="11" applyNumberFormat="1" applyFont="1" applyFill="1" applyBorder="1" applyAlignment="1">
      <alignment horizontal="right"/>
    </xf>
    <xf numFmtId="38" fontId="16" fillId="0" borderId="1" xfId="11" applyNumberFormat="1" applyFont="1" applyFill="1" applyBorder="1" applyAlignment="1">
      <alignment horizontal="right"/>
    </xf>
    <xf numFmtId="38" fontId="16" fillId="0" borderId="0" xfId="11" applyNumberFormat="1" applyFont="1" applyFill="1" applyBorder="1" applyAlignment="1">
      <alignment horizontal="right"/>
    </xf>
    <xf numFmtId="0" fontId="11" fillId="13" borderId="0" xfId="0" applyFont="1" applyFill="1" applyBorder="1" applyAlignment="1"/>
    <xf numFmtId="0" fontId="5" fillId="14" borderId="1" xfId="28" applyFont="1" applyFill="1" applyBorder="1" applyAlignment="1">
      <alignment horizontal="left"/>
    </xf>
    <xf numFmtId="167" fontId="21" fillId="0" borderId="1" xfId="12" applyNumberFormat="1" applyFont="1" applyFill="1" applyBorder="1" applyAlignment="1">
      <alignment horizontal="right"/>
    </xf>
    <xf numFmtId="167" fontId="21" fillId="14" borderId="1" xfId="12" applyNumberFormat="1" applyFont="1" applyFill="1" applyBorder="1" applyAlignment="1">
      <alignment horizontal="right"/>
    </xf>
    <xf numFmtId="6" fontId="44" fillId="13" borderId="0" xfId="12" applyNumberFormat="1" applyFont="1" applyFill="1" applyBorder="1" applyAlignment="1">
      <alignment horizontal="right"/>
    </xf>
    <xf numFmtId="6" fontId="21" fillId="13" borderId="0" xfId="12" applyNumberFormat="1" applyFont="1" applyFill="1" applyBorder="1" applyAlignment="1">
      <alignment horizontal="center"/>
    </xf>
    <xf numFmtId="0" fontId="51" fillId="13" borderId="0" xfId="28" applyFont="1" applyFill="1" applyAlignment="1"/>
    <xf numFmtId="182" fontId="51" fillId="13" borderId="0" xfId="28" applyNumberFormat="1" applyFont="1" applyFill="1" applyAlignment="1">
      <alignment horizontal="right"/>
    </xf>
    <xf numFmtId="167" fontId="21" fillId="15" borderId="1" xfId="12" applyNumberFormat="1" applyFont="1" applyFill="1" applyBorder="1" applyAlignment="1">
      <alignment horizontal="right"/>
    </xf>
    <xf numFmtId="17" fontId="52" fillId="0" borderId="0" xfId="0" applyNumberFormat="1" applyFont="1"/>
    <xf numFmtId="0" fontId="52" fillId="0" borderId="0" xfId="0" applyFont="1"/>
    <xf numFmtId="0" fontId="52" fillId="0" borderId="9" xfId="0" applyFont="1" applyBorder="1"/>
    <xf numFmtId="0" fontId="53" fillId="0" borderId="0" xfId="0" applyFont="1"/>
    <xf numFmtId="17" fontId="53" fillId="0" borderId="0" xfId="0" applyNumberFormat="1" applyFont="1"/>
    <xf numFmtId="0" fontId="52" fillId="0" borderId="0" xfId="0" applyFont="1" applyBorder="1"/>
    <xf numFmtId="0" fontId="53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2" fillId="0" borderId="10" xfId="0" applyFont="1" applyBorder="1"/>
    <xf numFmtId="0" fontId="5" fillId="14" borderId="11" xfId="28" applyFont="1" applyFill="1" applyBorder="1" applyAlignment="1">
      <alignment horizontal="left"/>
    </xf>
    <xf numFmtId="6" fontId="21" fillId="14" borderId="11" xfId="12" applyNumberFormat="1" applyFont="1" applyFill="1" applyBorder="1" applyAlignment="1">
      <alignment horizontal="right"/>
    </xf>
    <xf numFmtId="1" fontId="52" fillId="0" borderId="0" xfId="0" applyNumberFormat="1" applyFont="1"/>
    <xf numFmtId="43" fontId="52" fillId="0" borderId="0" xfId="0" applyNumberFormat="1" applyFont="1"/>
    <xf numFmtId="166" fontId="52" fillId="0" borderId="0" xfId="0" applyNumberFormat="1" applyFont="1"/>
    <xf numFmtId="37" fontId="52" fillId="0" borderId="0" xfId="0" applyNumberFormat="1" applyFont="1"/>
    <xf numFmtId="166" fontId="52" fillId="0" borderId="0" xfId="11" applyNumberFormat="1" applyFont="1"/>
    <xf numFmtId="166" fontId="52" fillId="0" borderId="1" xfId="11" applyNumberFormat="1" applyFont="1" applyBorder="1"/>
    <xf numFmtId="42" fontId="52" fillId="0" borderId="0" xfId="0" applyNumberFormat="1" applyFont="1" applyBorder="1"/>
    <xf numFmtId="0" fontId="54" fillId="0" borderId="0" xfId="0" applyFont="1"/>
    <xf numFmtId="37" fontId="52" fillId="0" borderId="0" xfId="0" applyNumberFormat="1" applyFont="1" applyBorder="1"/>
    <xf numFmtId="42" fontId="52" fillId="0" borderId="0" xfId="0" applyNumberFormat="1" applyFont="1"/>
    <xf numFmtId="6" fontId="52" fillId="0" borderId="0" xfId="0" applyNumberFormat="1" applyFont="1" applyBorder="1"/>
    <xf numFmtId="189" fontId="52" fillId="0" borderId="0" xfId="12" applyNumberFormat="1" applyFont="1"/>
    <xf numFmtId="189" fontId="52" fillId="0" borderId="0" xfId="0" applyNumberFormat="1" applyFont="1" applyBorder="1"/>
    <xf numFmtId="189" fontId="52" fillId="0" borderId="0" xfId="0" applyNumberFormat="1" applyFont="1"/>
    <xf numFmtId="166" fontId="52" fillId="0" borderId="9" xfId="11" applyNumberFormat="1" applyFont="1" applyBorder="1"/>
    <xf numFmtId="14" fontId="53" fillId="0" borderId="0" xfId="0" applyNumberFormat="1" applyFont="1" applyAlignment="1">
      <alignment horizontal="center"/>
    </xf>
    <xf numFmtId="0" fontId="53" fillId="0" borderId="12" xfId="0" applyFont="1" applyBorder="1" applyAlignment="1">
      <alignment horizontal="center"/>
    </xf>
    <xf numFmtId="14" fontId="53" fillId="0" borderId="12" xfId="0" applyNumberFormat="1" applyFont="1" applyBorder="1" applyAlignment="1">
      <alignment horizontal="center"/>
    </xf>
    <xf numFmtId="0" fontId="53" fillId="0" borderId="12" xfId="0" applyFont="1" applyBorder="1"/>
    <xf numFmtId="0" fontId="52" fillId="0" borderId="12" xfId="0" applyFont="1" applyBorder="1"/>
    <xf numFmtId="0" fontId="52" fillId="0" borderId="6" xfId="0" applyFont="1" applyBorder="1" applyAlignment="1">
      <alignment horizontal="center"/>
    </xf>
    <xf numFmtId="42" fontId="52" fillId="0" borderId="12" xfId="0" applyNumberFormat="1" applyFont="1" applyBorder="1"/>
    <xf numFmtId="166" fontId="52" fillId="0" borderId="12" xfId="0" applyNumberFormat="1" applyFont="1" applyBorder="1"/>
    <xf numFmtId="0" fontId="52" fillId="0" borderId="6" xfId="0" applyFont="1" applyBorder="1"/>
    <xf numFmtId="166" fontId="52" fillId="0" borderId="12" xfId="11" applyNumberFormat="1" applyFont="1" applyBorder="1"/>
    <xf numFmtId="0" fontId="52" fillId="0" borderId="1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2" fillId="0" borderId="6" xfId="0" applyFont="1" applyBorder="1" applyAlignment="1">
      <alignment horizontal="left"/>
    </xf>
    <xf numFmtId="0" fontId="52" fillId="0" borderId="12" xfId="0" applyFont="1" applyBorder="1" applyAlignment="1">
      <alignment horizontal="left"/>
    </xf>
    <xf numFmtId="37" fontId="52" fillId="0" borderId="12" xfId="0" applyNumberFormat="1" applyFont="1" applyBorder="1" applyAlignment="1">
      <alignment horizontal="left"/>
    </xf>
    <xf numFmtId="0" fontId="52" fillId="0" borderId="13" xfId="0" applyFont="1" applyBorder="1" applyAlignment="1">
      <alignment horizontal="right"/>
    </xf>
    <xf numFmtId="0" fontId="52" fillId="0" borderId="7" xfId="0" applyFont="1" applyBorder="1" applyAlignment="1">
      <alignment horizontal="right"/>
    </xf>
    <xf numFmtId="37" fontId="52" fillId="0" borderId="13" xfId="0" applyNumberFormat="1" applyFont="1" applyBorder="1" applyAlignment="1">
      <alignment horizontal="right"/>
    </xf>
    <xf numFmtId="0" fontId="52" fillId="0" borderId="7" xfId="0" applyFont="1" applyBorder="1" applyAlignment="1">
      <alignment horizontal="center"/>
    </xf>
    <xf numFmtId="166" fontId="52" fillId="0" borderId="13" xfId="11" applyNumberFormat="1" applyFont="1" applyBorder="1" applyAlignment="1">
      <alignment horizontal="right"/>
    </xf>
    <xf numFmtId="6" fontId="53" fillId="0" borderId="0" xfId="0" quotePrefix="1" applyNumberFormat="1" applyFont="1" applyAlignment="1">
      <alignment horizontal="center"/>
    </xf>
    <xf numFmtId="166" fontId="52" fillId="0" borderId="14" xfId="11" applyNumberFormat="1" applyFont="1" applyBorder="1" applyAlignment="1">
      <alignment horizontal="center"/>
    </xf>
    <xf numFmtId="166" fontId="52" fillId="0" borderId="1" xfId="11" applyNumberFormat="1" applyFont="1" applyBorder="1" applyAlignment="1">
      <alignment horizontal="center"/>
    </xf>
    <xf numFmtId="37" fontId="52" fillId="0" borderId="1" xfId="0" applyNumberFormat="1" applyFont="1" applyBorder="1" applyAlignment="1">
      <alignment horizontal="center"/>
    </xf>
    <xf numFmtId="166" fontId="52" fillId="0" borderId="1" xfId="0" applyNumberFormat="1" applyFont="1" applyBorder="1" applyAlignment="1">
      <alignment horizontal="center"/>
    </xf>
    <xf numFmtId="166" fontId="52" fillId="0" borderId="0" xfId="11" applyNumberFormat="1" applyFont="1" applyAlignment="1">
      <alignment horizontal="center"/>
    </xf>
    <xf numFmtId="166" fontId="52" fillId="0" borderId="12" xfId="11" applyNumberFormat="1" applyFont="1" applyBorder="1" applyAlignment="1">
      <alignment horizontal="center"/>
    </xf>
    <xf numFmtId="37" fontId="57" fillId="0" borderId="1" xfId="28" applyNumberFormat="1" applyFont="1" applyFill="1" applyBorder="1" applyAlignment="1">
      <alignment horizontal="left"/>
    </xf>
    <xf numFmtId="13" fontId="17" fillId="13" borderId="0" xfId="28" applyNumberFormat="1" applyFont="1" applyFill="1" applyAlignment="1">
      <alignment horizontal="center"/>
    </xf>
    <xf numFmtId="43" fontId="17" fillId="13" borderId="0" xfId="11" applyFont="1" applyFill="1" applyAlignment="1">
      <alignment horizontal="center"/>
    </xf>
    <xf numFmtId="37" fontId="21" fillId="0" borderId="9" xfId="28" applyNumberFormat="1" applyFont="1" applyFill="1" applyBorder="1" applyAlignment="1">
      <alignment horizontal="center"/>
    </xf>
    <xf numFmtId="6" fontId="21" fillId="14" borderId="0" xfId="12" applyNumberFormat="1" applyFont="1" applyFill="1" applyBorder="1" applyAlignment="1">
      <alignment horizontal="right"/>
    </xf>
    <xf numFmtId="5" fontId="16" fillId="13" borderId="0" xfId="12" applyNumberFormat="1" applyFont="1" applyFill="1" applyBorder="1" applyAlignment="1">
      <alignment horizontal="right"/>
    </xf>
    <xf numFmtId="6" fontId="20" fillId="13" borderId="0" xfId="28" applyNumberFormat="1" applyFont="1" applyFill="1" applyBorder="1" applyAlignment="1">
      <alignment horizontal="center"/>
    </xf>
    <xf numFmtId="6" fontId="20" fillId="13" borderId="0" xfId="28" applyNumberFormat="1" applyFont="1" applyFill="1" applyAlignment="1"/>
    <xf numFmtId="0" fontId="47" fillId="13" borderId="0" xfId="28" applyFont="1" applyFill="1" applyBorder="1" applyAlignment="1">
      <alignment horizontal="center"/>
    </xf>
    <xf numFmtId="37" fontId="44" fillId="0" borderId="3" xfId="28" applyNumberFormat="1" applyFont="1" applyFill="1" applyBorder="1" applyAlignment="1">
      <alignment horizontal="left"/>
    </xf>
    <xf numFmtId="37" fontId="21" fillId="13" borderId="15" xfId="28" applyNumberFormat="1" applyFont="1" applyFill="1" applyBorder="1" applyAlignment="1">
      <alignment horizontal="center"/>
    </xf>
    <xf numFmtId="37" fontId="45" fillId="11" borderId="1" xfId="28" applyNumberFormat="1" applyFont="1" applyFill="1" applyBorder="1" applyAlignment="1">
      <alignment horizontal="left"/>
    </xf>
    <xf numFmtId="37" fontId="44" fillId="11" borderId="1" xfId="28" applyNumberFormat="1" applyFont="1" applyFill="1" applyBorder="1" applyAlignment="1">
      <alignment horizontal="left"/>
    </xf>
    <xf numFmtId="0" fontId="47" fillId="0" borderId="0" xfId="28" applyFont="1" applyFill="1" applyBorder="1" applyAlignment="1">
      <alignment horizontal="center"/>
    </xf>
    <xf numFmtId="6" fontId="16" fillId="0" borderId="0" xfId="12" applyNumberFormat="1" applyFont="1" applyFill="1" applyBorder="1" applyAlignment="1">
      <alignment horizontal="right"/>
    </xf>
    <xf numFmtId="0" fontId="17" fillId="13" borderId="0" xfId="28" applyFont="1" applyFill="1" applyBorder="1" applyAlignment="1"/>
    <xf numFmtId="38" fontId="17" fillId="13" borderId="0" xfId="28" applyNumberFormat="1" applyFont="1" applyFill="1" applyBorder="1"/>
    <xf numFmtId="37" fontId="44" fillId="0" borderId="1" xfId="28" applyNumberFormat="1" applyFont="1" applyFill="1" applyBorder="1" applyAlignment="1">
      <alignment horizontal="right"/>
    </xf>
    <xf numFmtId="37" fontId="21" fillId="13" borderId="16" xfId="28" applyNumberFormat="1" applyFont="1" applyFill="1" applyBorder="1" applyAlignment="1">
      <alignment horizontal="center"/>
    </xf>
    <xf numFmtId="37" fontId="21" fillId="11" borderId="1" xfId="28" applyNumberFormat="1" applyFont="1" applyFill="1" applyBorder="1" applyAlignment="1">
      <alignment horizontal="center"/>
    </xf>
    <xf numFmtId="42" fontId="21" fillId="13" borderId="1" xfId="12" applyNumberFormat="1" applyFont="1" applyFill="1" applyBorder="1" applyAlignment="1">
      <alignment horizontal="right"/>
    </xf>
    <xf numFmtId="6" fontId="21" fillId="13" borderId="5" xfId="12" applyNumberFormat="1" applyFont="1" applyFill="1" applyBorder="1" applyAlignment="1">
      <alignment horizontal="right"/>
    </xf>
    <xf numFmtId="42" fontId="58" fillId="13" borderId="0" xfId="12" applyNumberFormat="1" applyFont="1" applyFill="1" applyBorder="1" applyAlignment="1">
      <alignment horizontal="right"/>
    </xf>
    <xf numFmtId="37" fontId="44" fillId="0" borderId="16" xfId="28" applyNumberFormat="1" applyFont="1" applyFill="1" applyBorder="1" applyAlignment="1">
      <alignment horizontal="right"/>
    </xf>
    <xf numFmtId="6" fontId="44" fillId="0" borderId="0" xfId="12" applyNumberFormat="1" applyFont="1" applyFill="1" applyBorder="1" applyAlignment="1">
      <alignment horizontal="right"/>
    </xf>
    <xf numFmtId="37" fontId="44" fillId="0" borderId="0" xfId="28" applyNumberFormat="1" applyFont="1" applyFill="1" applyBorder="1" applyAlignment="1">
      <alignment horizontal="right"/>
    </xf>
    <xf numFmtId="42" fontId="21" fillId="13" borderId="0" xfId="12" applyNumberFormat="1" applyFont="1" applyFill="1" applyBorder="1" applyAlignment="1">
      <alignment horizontal="right"/>
    </xf>
    <xf numFmtId="37" fontId="44" fillId="0" borderId="14" xfId="28" applyNumberFormat="1" applyFont="1" applyFill="1" applyBorder="1" applyAlignment="1">
      <alignment horizontal="right"/>
    </xf>
    <xf numFmtId="42" fontId="44" fillId="13" borderId="1" xfId="12" applyNumberFormat="1" applyFont="1" applyFill="1" applyBorder="1" applyAlignment="1">
      <alignment horizontal="right"/>
    </xf>
    <xf numFmtId="0" fontId="47" fillId="13" borderId="8" xfId="28" applyFont="1" applyFill="1" applyBorder="1" applyAlignment="1">
      <alignment horizontal="center"/>
    </xf>
    <xf numFmtId="0" fontId="47" fillId="13" borderId="14" xfId="28" applyFont="1" applyFill="1" applyBorder="1" applyAlignment="1">
      <alignment horizontal="center"/>
    </xf>
    <xf numFmtId="0" fontId="47" fillId="13" borderId="17" xfId="28" applyFont="1" applyFill="1" applyBorder="1" applyAlignment="1">
      <alignment horizontal="center"/>
    </xf>
    <xf numFmtId="0" fontId="53" fillId="0" borderId="18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53" fillId="0" borderId="20" xfId="0" applyFont="1" applyBorder="1" applyAlignment="1">
      <alignment horizontal="center"/>
    </xf>
    <xf numFmtId="0" fontId="53" fillId="0" borderId="13" xfId="0" applyFont="1" applyBorder="1" applyAlignment="1">
      <alignment horizontal="center"/>
    </xf>
    <xf numFmtId="0" fontId="53" fillId="0" borderId="0" xfId="0" applyFont="1" applyBorder="1" applyAlignment="1">
      <alignment horizontal="center"/>
    </xf>
    <xf numFmtId="0" fontId="53" fillId="0" borderId="12" xfId="0" applyFont="1" applyBorder="1" applyAlignment="1">
      <alignment horizontal="center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0</xdr:col>
      <xdr:colOff>2952750</xdr:colOff>
      <xdr:row>6</xdr:row>
      <xdr:rowOff>19050</xdr:rowOff>
    </xdr:to>
    <xdr:pic>
      <xdr:nvPicPr>
        <xdr:cNvPr id="6145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2886075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0</xdr:row>
      <xdr:rowOff>219075</xdr:rowOff>
    </xdr:from>
    <xdr:to>
      <xdr:col>12</xdr:col>
      <xdr:colOff>981075</xdr:colOff>
      <xdr:row>2</xdr:row>
      <xdr:rowOff>571500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4300" y="219075"/>
          <a:ext cx="58007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0</xdr:col>
      <xdr:colOff>2952750</xdr:colOff>
      <xdr:row>6</xdr:row>
      <xdr:rowOff>19050</xdr:rowOff>
    </xdr:to>
    <xdr:pic>
      <xdr:nvPicPr>
        <xdr:cNvPr id="2049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2886075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0</xdr:row>
      <xdr:rowOff>219075</xdr:rowOff>
    </xdr:from>
    <xdr:to>
      <xdr:col>12</xdr:col>
      <xdr:colOff>1466850</xdr:colOff>
      <xdr:row>2</xdr:row>
      <xdr:rowOff>571500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8175" y="219075"/>
          <a:ext cx="579120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0</xdr:col>
      <xdr:colOff>2952750</xdr:colOff>
      <xdr:row>6</xdr:row>
      <xdr:rowOff>19050</xdr:rowOff>
    </xdr:to>
    <xdr:pic>
      <xdr:nvPicPr>
        <xdr:cNvPr id="3073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2886075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142875</xdr:colOff>
      <xdr:row>0</xdr:row>
      <xdr:rowOff>219075</xdr:rowOff>
    </xdr:from>
    <xdr:to>
      <xdr:col>10</xdr:col>
      <xdr:colOff>1466850</xdr:colOff>
      <xdr:row>2</xdr:row>
      <xdr:rowOff>571500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219075"/>
          <a:ext cx="579120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0</xdr:col>
      <xdr:colOff>2952750</xdr:colOff>
      <xdr:row>6</xdr:row>
      <xdr:rowOff>19050</xdr:rowOff>
    </xdr:to>
    <xdr:pic>
      <xdr:nvPicPr>
        <xdr:cNvPr id="409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2886075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142875</xdr:colOff>
      <xdr:row>0</xdr:row>
      <xdr:rowOff>219075</xdr:rowOff>
    </xdr:from>
    <xdr:to>
      <xdr:col>11</xdr:col>
      <xdr:colOff>47625</xdr:colOff>
      <xdr:row>2</xdr:row>
      <xdr:rowOff>571500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219075"/>
          <a:ext cx="579120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0</xdr:col>
      <xdr:colOff>2952750</xdr:colOff>
      <xdr:row>6</xdr:row>
      <xdr:rowOff>19050</xdr:rowOff>
    </xdr:to>
    <xdr:pic>
      <xdr:nvPicPr>
        <xdr:cNvPr id="5121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2886075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142875</xdr:colOff>
      <xdr:row>0</xdr:row>
      <xdr:rowOff>219075</xdr:rowOff>
    </xdr:from>
    <xdr:to>
      <xdr:col>10</xdr:col>
      <xdr:colOff>1066800</xdr:colOff>
      <xdr:row>2</xdr:row>
      <xdr:rowOff>571500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219075"/>
          <a:ext cx="579120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N-DPR112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rm/from_dy/Sithe%20Project/DPR%20Calc/MTM_Sithe_33001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Xochitl/Southern%20Cone/Cuiaba%20Accr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rm/from_dy/Sithe%20Project/DPR%20Calc/MTM_Sithe_40101Ne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rm/from_dy/Sithe%20Project/DPR%20Calc/MTM_Sithe_40301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ISK - RETURN SMALL (2)"/>
      <sheetName val="RISK - RETURN LARGE (2)"/>
      <sheetName val="DATA FOR USAGE"/>
      <sheetName val="RISK - RETURN SMALL"/>
      <sheetName val="RISK - RETURN LARGE"/>
      <sheetName val="SHARPE"/>
      <sheetName val="LIMIT USAGE %"/>
      <sheetName val="LIMIT USAGE $"/>
      <sheetName val="Publish Buttons"/>
      <sheetName val="INPUT"/>
      <sheetName val="New Summary"/>
      <sheetName val="Merchant Summary"/>
      <sheetName val="Summary"/>
      <sheetName val="Raw Data"/>
      <sheetName val="NDPR-Merchant Summary"/>
      <sheetName val="Raw Originations"/>
      <sheetName val="V@R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5">
          <cell r="I15">
            <v>122.79</v>
          </cell>
          <cell r="M15">
            <v>247.1</v>
          </cell>
        </row>
        <row r="16">
          <cell r="I16">
            <v>10.68</v>
          </cell>
          <cell r="M16">
            <v>35.46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M"/>
      <sheetName val="Summary"/>
      <sheetName val="Assumptions"/>
      <sheetName val="Curves"/>
      <sheetName val="Sithe Positions "/>
    </sheetNames>
    <sheetDataSet>
      <sheetData sheetId="0"/>
      <sheetData sheetId="1">
        <row r="7">
          <cell r="P7">
            <v>-2789919.6266781241</v>
          </cell>
          <cell r="Q7">
            <v>-98375.62667812407</v>
          </cell>
          <cell r="R7">
            <v>-98375.62667812407</v>
          </cell>
        </row>
        <row r="9">
          <cell r="P9">
            <v>1889177.6774288034</v>
          </cell>
          <cell r="Q9">
            <v>20012.677428803407</v>
          </cell>
          <cell r="R9">
            <v>20012.677428803407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 and PV"/>
      <sheetName val="Sheet2"/>
      <sheetName val="Sheet3"/>
    </sheetNames>
    <sheetDataSet>
      <sheetData sheetId="0">
        <row r="11">
          <cell r="C11">
            <v>2839901</v>
          </cell>
          <cell r="E11">
            <v>534609.76369999943</v>
          </cell>
        </row>
        <row r="13">
          <cell r="C13">
            <v>-44538841.300627463</v>
          </cell>
          <cell r="E13">
            <v>23756513.12104065</v>
          </cell>
        </row>
        <row r="17">
          <cell r="C17">
            <v>56390856</v>
          </cell>
          <cell r="E17">
            <v>10961109.263600003</v>
          </cell>
        </row>
        <row r="30">
          <cell r="C30">
            <v>2958.1468999134377</v>
          </cell>
          <cell r="E30">
            <v>240675612.33859995</v>
          </cell>
        </row>
        <row r="32">
          <cell r="C32">
            <v>4470695</v>
          </cell>
          <cell r="E32">
            <v>-33812319.819799989</v>
          </cell>
        </row>
        <row r="40">
          <cell r="C40">
            <v>153145038.12463322</v>
          </cell>
          <cell r="E40">
            <v>-607819362.61453879</v>
          </cell>
        </row>
        <row r="41">
          <cell r="C41">
            <v>22576000.190161899</v>
          </cell>
          <cell r="E41">
            <v>991569000.86741602</v>
          </cell>
        </row>
        <row r="46">
          <cell r="E46">
            <v>-25538000</v>
          </cell>
        </row>
        <row r="47">
          <cell r="E47">
            <v>-64499000</v>
          </cell>
        </row>
        <row r="48">
          <cell r="E48">
            <v>-6966000</v>
          </cell>
        </row>
        <row r="50">
          <cell r="E50">
            <v>-97003000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M"/>
      <sheetName val="Summary"/>
      <sheetName val="Assumptions"/>
      <sheetName val="Curves"/>
      <sheetName val="Sithe Positions "/>
    </sheetNames>
    <sheetDataSet>
      <sheetData sheetId="0">
        <row r="12">
          <cell r="D12">
            <v>403.34774886682652</v>
          </cell>
        </row>
        <row r="13">
          <cell r="D13">
            <v>-23.894483256206581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M"/>
      <sheetName val="Summary"/>
      <sheetName val="Assumptions"/>
      <sheetName val="Curves"/>
      <sheetName val="Sithe Positions "/>
    </sheetNames>
    <sheetDataSet>
      <sheetData sheetId="0">
        <row r="20">
          <cell r="H20">
            <v>129.72651254904483</v>
          </cell>
        </row>
      </sheetData>
      <sheetData sheetId="1">
        <row r="7">
          <cell r="F7">
            <v>-3052068.5058675953</v>
          </cell>
          <cell r="G7">
            <v>-645.15991812464722</v>
          </cell>
          <cell r="I7">
            <v>-24337.886949540582</v>
          </cell>
          <cell r="L7">
            <v>-22403.758975274395</v>
          </cell>
          <cell r="P7">
            <v>-3052068.5058675953</v>
          </cell>
          <cell r="R7">
            <v>-360524.50586759532</v>
          </cell>
        </row>
        <row r="9">
          <cell r="F9">
            <v>1835751.6450671388</v>
          </cell>
          <cell r="G9">
            <v>37664.3369746315</v>
          </cell>
          <cell r="I9">
            <v>-36761.308333572699</v>
          </cell>
          <cell r="L9">
            <v>13322.55033834069</v>
          </cell>
          <cell r="P9">
            <v>1835751.6450671388</v>
          </cell>
          <cell r="R9">
            <v>-33413.35493286117</v>
          </cell>
        </row>
        <row r="13">
          <cell r="F13">
            <v>1921606.2691913017</v>
          </cell>
          <cell r="G13">
            <v>403.34774886682652</v>
          </cell>
          <cell r="I13">
            <v>-23590.256418458652</v>
          </cell>
          <cell r="L13">
            <v>24302.163233925588</v>
          </cell>
          <cell r="P13">
            <v>1921606.2691913017</v>
          </cell>
          <cell r="R13">
            <v>312313.26919130166</v>
          </cell>
        </row>
        <row r="15">
          <cell r="F15">
            <v>-1149294.6137046246</v>
          </cell>
          <cell r="G15">
            <v>-23894.483256206582</v>
          </cell>
          <cell r="I15">
            <v>43938.705406557769</v>
          </cell>
          <cell r="L15">
            <v>-14534.894975063624</v>
          </cell>
          <cell r="P15">
            <v>-1149294.6137046246</v>
          </cell>
          <cell r="R15">
            <v>-15079.613704624586</v>
          </cell>
        </row>
        <row r="16">
          <cell r="F16">
            <v>772311.65548667707</v>
          </cell>
          <cell r="P16">
            <v>772311.65548667707</v>
          </cell>
          <cell r="Q16">
            <v>297233.65548667707</v>
          </cell>
        </row>
      </sheetData>
      <sheetData sheetId="2"/>
      <sheetData sheetId="3"/>
      <sheetData sheetId="4">
        <row r="3">
          <cell r="BD3">
            <v>1351398.9237026526</v>
          </cell>
        </row>
        <row r="8">
          <cell r="BB8">
            <v>129726.51254904484</v>
          </cell>
          <cell r="BD8">
            <v>30790.738671436968</v>
          </cell>
        </row>
        <row r="9">
          <cell r="I9">
            <v>-5354.0730267452327</v>
          </cell>
          <cell r="U9">
            <v>203.97972801145656</v>
          </cell>
          <cell r="V9">
            <v>88.235123480761459</v>
          </cell>
          <cell r="AC9">
            <v>2311.4484175749376</v>
          </cell>
          <cell r="AO9">
            <v>-88.061671399365977</v>
          </cell>
          <cell r="AP9">
            <v>-38.092669921634986</v>
          </cell>
          <cell r="BB9">
            <v>6092.8072766550131</v>
          </cell>
          <cell r="BD9">
            <v>1274.6046133360687</v>
          </cell>
        </row>
        <row r="10">
          <cell r="I10">
            <v>-5509.4867609215744</v>
          </cell>
          <cell r="U10">
            <v>216.43068488783805</v>
          </cell>
          <cell r="V10">
            <v>90.796341819987546</v>
          </cell>
          <cell r="AC10">
            <v>2388.496698160769</v>
          </cell>
          <cell r="AO10">
            <v>-93.827973215567823</v>
          </cell>
          <cell r="AP10">
            <v>-39.362425585689472</v>
          </cell>
          <cell r="BB10">
            <v>5397.5663523494177</v>
          </cell>
          <cell r="BD10">
            <v>1315.9596078884815</v>
          </cell>
        </row>
        <row r="11">
          <cell r="I11">
            <v>-5310.9330869742498</v>
          </cell>
          <cell r="U11">
            <v>183.96802917940812</v>
          </cell>
          <cell r="V11">
            <v>87.524177273335638</v>
          </cell>
          <cell r="AC11">
            <v>2311.4484175749376</v>
          </cell>
          <cell r="AO11">
            <v>-80.067401145395877</v>
          </cell>
          <cell r="AP11">
            <v>-38.092669921634979</v>
          </cell>
          <cell r="BB11">
            <v>4346.2476571177604</v>
          </cell>
          <cell r="BD11">
            <v>1348.3012601416042</v>
          </cell>
        </row>
        <row r="12">
          <cell r="I12">
            <v>-5466.1289338138449</v>
          </cell>
          <cell r="U12">
            <v>175.81716896252442</v>
          </cell>
          <cell r="V12">
            <v>90.081804829252178</v>
          </cell>
          <cell r="AC12">
            <v>2388.496698160769</v>
          </cell>
          <cell r="AO12">
            <v>-76.825616927766575</v>
          </cell>
          <cell r="AP12">
            <v>-39.362425585689479</v>
          </cell>
          <cell r="BB12">
            <v>1950.3614103946234</v>
          </cell>
          <cell r="BD12">
            <v>1364.261666463233</v>
          </cell>
        </row>
        <row r="13">
          <cell r="I13">
            <v>-5445.3572620155201</v>
          </cell>
          <cell r="U13">
            <v>175.41851949078151</v>
          </cell>
          <cell r="V13">
            <v>89.739487678015792</v>
          </cell>
          <cell r="AC13">
            <v>2388.496698160769</v>
          </cell>
          <cell r="AO13">
            <v>-76.943813681914463</v>
          </cell>
          <cell r="AP13">
            <v>-39.362425585689479</v>
          </cell>
          <cell r="BB13">
            <v>1985.5433900410858</v>
          </cell>
          <cell r="BD13">
            <v>1377.6910912655837</v>
          </cell>
        </row>
        <row r="14">
          <cell r="I14">
            <v>-5251.0175409804724</v>
          </cell>
          <cell r="U14">
            <v>194.79832834905704</v>
          </cell>
          <cell r="V14">
            <v>86.53676907535818</v>
          </cell>
          <cell r="AC14">
            <v>2311.4484175749376</v>
          </cell>
          <cell r="AO14">
            <v>-85.748387678133156</v>
          </cell>
          <cell r="AP14">
            <v>-38.092669921634979</v>
          </cell>
          <cell r="BB14">
            <v>5945.9450844847443</v>
          </cell>
          <cell r="BD14">
            <v>1419.9491958849001</v>
          </cell>
        </row>
        <row r="15">
          <cell r="I15">
            <v>-5406.1916888972801</v>
          </cell>
          <cell r="U15">
            <v>225.10132334636768</v>
          </cell>
          <cell r="V15">
            <v>89.094039033027187</v>
          </cell>
          <cell r="AC15">
            <v>2388.496698160769</v>
          </cell>
          <cell r="AO15">
            <v>-99.451480543799576</v>
          </cell>
          <cell r="AP15">
            <v>-39.362425585689472</v>
          </cell>
          <cell r="BB15">
            <v>5910.7205644269925</v>
          </cell>
          <cell r="BD15">
            <v>1464.0736743926639</v>
          </cell>
        </row>
        <row r="16">
          <cell r="I16">
            <v>-5213.0399047488836</v>
          </cell>
          <cell r="U16">
            <v>197.47052232495301</v>
          </cell>
          <cell r="V16">
            <v>85.910897630261601</v>
          </cell>
          <cell r="AC16">
            <v>2311.4484175749376</v>
          </cell>
          <cell r="AO16">
            <v>-87.557919119304387</v>
          </cell>
          <cell r="AP16">
            <v>-38.092669921634972</v>
          </cell>
          <cell r="BB16">
            <v>6397.7131442648333</v>
          </cell>
          <cell r="BD16">
            <v>1514.8840900619959</v>
          </cell>
        </row>
        <row r="17">
          <cell r="I17">
            <v>-5367.0884498410669</v>
          </cell>
          <cell r="U17">
            <v>197.98679293389037</v>
          </cell>
          <cell r="V17">
            <v>88.449617653380784</v>
          </cell>
          <cell r="AC17">
            <v>2388.496698160769</v>
          </cell>
          <cell r="AO17">
            <v>-88.109373568464406</v>
          </cell>
          <cell r="AP17">
            <v>-39.362425585689472</v>
          </cell>
          <cell r="BB17">
            <v>6996.9738500359308</v>
          </cell>
          <cell r="BD17">
            <v>1570.1257485352385</v>
          </cell>
        </row>
        <row r="18">
          <cell r="I18">
            <v>-5347.167602018465</v>
          </cell>
          <cell r="U18">
            <v>188.36098410336629</v>
          </cell>
          <cell r="V18">
            <v>88.12132208126431</v>
          </cell>
          <cell r="AC18">
            <v>2388.496698160769</v>
          </cell>
          <cell r="AO18">
            <v>-84.137925361339725</v>
          </cell>
          <cell r="AP18">
            <v>-39.362425585689472</v>
          </cell>
          <cell r="BB18">
            <v>6174.671372284507</v>
          </cell>
          <cell r="BD18">
            <v>1621.6455235555072</v>
          </cell>
        </row>
        <row r="19">
          <cell r="I19">
            <v>-4812.8912497517886</v>
          </cell>
          <cell r="U19">
            <v>172.31726660009497</v>
          </cell>
          <cell r="V19">
            <v>79.316447795909482</v>
          </cell>
          <cell r="AC19">
            <v>2157.3518564032752</v>
          </cell>
          <cell r="AO19">
            <v>-77.240260728771901</v>
          </cell>
          <cell r="AP19">
            <v>-35.553158593525986</v>
          </cell>
          <cell r="BB19">
            <v>5028.0293503471703</v>
          </cell>
          <cell r="BD19">
            <v>1668.623740340596</v>
          </cell>
        </row>
        <row r="20">
          <cell r="I20">
            <v>-5308.0180795826936</v>
          </cell>
          <cell r="U20">
            <v>200.86810964633861</v>
          </cell>
          <cell r="V20">
            <v>87.476137951522787</v>
          </cell>
          <cell r="AC20">
            <v>2388.496698160769</v>
          </cell>
          <cell r="AO20">
            <v>-90.386432273379512</v>
          </cell>
          <cell r="AP20">
            <v>-39.362425585689472</v>
          </cell>
          <cell r="BB20">
            <v>6279.0563257678477</v>
          </cell>
          <cell r="BD20">
            <v>1725.0174498191677</v>
          </cell>
        </row>
        <row r="21">
          <cell r="I21">
            <v>-5117.5675729851218</v>
          </cell>
          <cell r="U21">
            <v>201.43821637596207</v>
          </cell>
          <cell r="V21">
            <v>84.3375136027948</v>
          </cell>
          <cell r="AC21">
            <v>2311.4484175749376</v>
          </cell>
          <cell r="AO21">
            <v>-90.983468188919048</v>
          </cell>
          <cell r="AP21">
            <v>-38.092669921634972</v>
          </cell>
          <cell r="BB21">
            <v>5144.4889060904079</v>
          </cell>
          <cell r="BD21">
            <v>1773.9567044313214</v>
          </cell>
        </row>
        <row r="22">
          <cell r="I22">
            <v>-5267.5180858010181</v>
          </cell>
          <cell r="U22">
            <v>218.91741704395793</v>
          </cell>
          <cell r="V22">
            <v>86.808698054000786</v>
          </cell>
          <cell r="AC22">
            <v>2388.496698160769</v>
          </cell>
          <cell r="AO22">
            <v>-99.265635022468842</v>
          </cell>
          <cell r="AP22">
            <v>-39.362425585689479</v>
          </cell>
          <cell r="BB22">
            <v>4368.8135543839526</v>
          </cell>
          <cell r="BD22">
            <v>1818.2937057585661</v>
          </cell>
        </row>
        <row r="23">
          <cell r="I23">
            <v>-5078.3465026493286</v>
          </cell>
          <cell r="U23">
            <v>181.51147875756391</v>
          </cell>
          <cell r="V23">
            <v>83.691150363660938</v>
          </cell>
          <cell r="AC23">
            <v>2311.4484175749376</v>
          </cell>
          <cell r="AO23">
            <v>-82.61634375026992</v>
          </cell>
          <cell r="AP23">
            <v>-38.092669921634979</v>
          </cell>
          <cell r="BB23">
            <v>3288.6645168090736</v>
          </cell>
          <cell r="BD23">
            <v>1855.156912409409</v>
          </cell>
        </row>
        <row r="24">
          <cell r="I24">
            <v>-5226.8068665693372</v>
          </cell>
          <cell r="U24">
            <v>174.38066363508676</v>
          </cell>
          <cell r="V24">
            <v>86.137777161062687</v>
          </cell>
          <cell r="AC24">
            <v>2388.496698160769</v>
          </cell>
          <cell r="AO24">
            <v>-79.686824087469503</v>
          </cell>
          <cell r="AP24">
            <v>-39.362425585689472</v>
          </cell>
          <cell r="BB24">
            <v>1725.0230095085533</v>
          </cell>
          <cell r="BD24">
            <v>1882.0223993771501</v>
          </cell>
        </row>
        <row r="25">
          <cell r="I25">
            <v>-5205.430368412216</v>
          </cell>
          <cell r="U25">
            <v>173.98707604891197</v>
          </cell>
          <cell r="V25">
            <v>85.785492471433329</v>
          </cell>
          <cell r="AC25">
            <v>2388.496698160769</v>
          </cell>
          <cell r="AO25">
            <v>-79.833467600918311</v>
          </cell>
          <cell r="AP25">
            <v>-39.362425585689472</v>
          </cell>
          <cell r="BB25">
            <v>1700.3592012260654</v>
          </cell>
          <cell r="BD25">
            <v>1910.6609042107302</v>
          </cell>
        </row>
        <row r="26">
          <cell r="I26">
            <v>-5017.4428949103803</v>
          </cell>
          <cell r="U26">
            <v>194.88643593632551</v>
          </cell>
          <cell r="V26">
            <v>82.687458908123062</v>
          </cell>
          <cell r="AC26">
            <v>2311.4484175749376</v>
          </cell>
          <cell r="AO26">
            <v>-89.780781443230609</v>
          </cell>
          <cell r="AP26">
            <v>-38.092669921634972</v>
          </cell>
          <cell r="BB26">
            <v>4715.4482251769587</v>
          </cell>
          <cell r="BD26">
            <v>1961.4146633950509</v>
          </cell>
        </row>
        <row r="27">
          <cell r="I27">
            <v>-5163.0834477201652</v>
          </cell>
          <cell r="U27">
            <v>225.08224521906698</v>
          </cell>
          <cell r="V27">
            <v>85.087615218428311</v>
          </cell>
          <cell r="AC27">
            <v>2388.496698160769</v>
          </cell>
          <cell r="AO27">
            <v>-104.12541361456064</v>
          </cell>
          <cell r="AP27">
            <v>-39.362425585689472</v>
          </cell>
          <cell r="BB27">
            <v>4524.1593050833826</v>
          </cell>
          <cell r="BD27">
            <v>2011.8081169394347</v>
          </cell>
        </row>
        <row r="28">
          <cell r="I28">
            <v>-4975.8564016335122</v>
          </cell>
          <cell r="U28">
            <v>195.6910168243387</v>
          </cell>
          <cell r="V28">
            <v>82.002113498920266</v>
          </cell>
          <cell r="AC28">
            <v>2311.4484175749376</v>
          </cell>
          <cell r="AO28">
            <v>-90.904892477153084</v>
          </cell>
          <cell r="AP28">
            <v>-38.092669921634979</v>
          </cell>
          <cell r="BB28">
            <v>5118.457980435207</v>
          </cell>
          <cell r="BD28">
            <v>2068.0638439461659</v>
          </cell>
        </row>
        <row r="29">
          <cell r="I29">
            <v>-5119.6841329637818</v>
          </cell>
          <cell r="U29">
            <v>195.58646496568986</v>
          </cell>
          <cell r="V29">
            <v>84.372394511243115</v>
          </cell>
          <cell r="AC29">
            <v>2388.496698160769</v>
          </cell>
          <cell r="AO29">
            <v>-91.247353087201105</v>
          </cell>
          <cell r="AP29">
            <v>-39.362425585689472</v>
          </cell>
          <cell r="BB29">
            <v>5652.4979258672683</v>
          </cell>
          <cell r="BD29">
            <v>2128.6972001088202</v>
          </cell>
        </row>
        <row r="30">
          <cell r="I30">
            <v>-5097.2967530332317</v>
          </cell>
          <cell r="U30">
            <v>182.7298337458771</v>
          </cell>
          <cell r="V30">
            <v>84.003450489987657</v>
          </cell>
          <cell r="AC30">
            <v>2388.496698160769</v>
          </cell>
          <cell r="AO30">
            <v>-85.623738562558117</v>
          </cell>
          <cell r="AP30">
            <v>-39.362425585689472</v>
          </cell>
          <cell r="BB30">
            <v>4764.6206772791656</v>
          </cell>
          <cell r="BD30">
            <v>2184.2883994985091</v>
          </cell>
        </row>
        <row r="31">
          <cell r="I31">
            <v>-4585.2307372521409</v>
          </cell>
          <cell r="U31">
            <v>167.22333023294652</v>
          </cell>
          <cell r="V31">
            <v>75.564602549915278</v>
          </cell>
          <cell r="AC31">
            <v>2157.3518564032752</v>
          </cell>
          <cell r="AO31">
            <v>-78.678605850963763</v>
          </cell>
          <cell r="AP31">
            <v>-35.553158593525971</v>
          </cell>
          <cell r="BB31">
            <v>3726.2049826441853</v>
          </cell>
          <cell r="BD31">
            <v>2233.6812231971471</v>
          </cell>
        </row>
        <row r="32">
          <cell r="I32">
            <v>-5053.8833015665086</v>
          </cell>
          <cell r="U32">
            <v>195.17295235788851</v>
          </cell>
          <cell r="V32">
            <v>83.28799680981605</v>
          </cell>
          <cell r="AC32">
            <v>2388.496698160769</v>
          </cell>
          <cell r="AO32">
            <v>-92.239951827263425</v>
          </cell>
          <cell r="AP32">
            <v>-39.362425585689472</v>
          </cell>
          <cell r="BB32">
            <v>5178.5609317836052</v>
          </cell>
          <cell r="BD32">
            <v>2293.7263755103477</v>
          </cell>
        </row>
        <row r="33">
          <cell r="I33">
            <v>-4869.4297759326646</v>
          </cell>
          <cell r="U33">
            <v>194.92693479998195</v>
          </cell>
          <cell r="V33">
            <v>80.248202707370311</v>
          </cell>
          <cell r="AC33">
            <v>2311.4484175749376</v>
          </cell>
          <cell r="AO33">
            <v>-92.529017917678615</v>
          </cell>
          <cell r="AP33">
            <v>-38.092669921634979</v>
          </cell>
          <cell r="BB33">
            <v>4412.0411563574089</v>
          </cell>
          <cell r="BD33">
            <v>2349.0732467602929</v>
          </cell>
        </row>
        <row r="34">
          <cell r="I34">
            <v>-5009.168438237024</v>
          </cell>
          <cell r="U34">
            <v>212.50497405437335</v>
          </cell>
          <cell r="V34">
            <v>82.551095862146155</v>
          </cell>
          <cell r="AC34">
            <v>2388.496698160769</v>
          </cell>
          <cell r="AO34">
            <v>-101.32768245466482</v>
          </cell>
          <cell r="AP34">
            <v>-39.362425585689472</v>
          </cell>
          <cell r="BB34">
            <v>3831.6747851207629</v>
          </cell>
          <cell r="BD34">
            <v>2400.0411583651739</v>
          </cell>
        </row>
        <row r="35">
          <cell r="I35">
            <v>-4826.2339935176587</v>
          </cell>
          <cell r="U35">
            <v>174.77481220342648</v>
          </cell>
          <cell r="V35">
            <v>79.536336213171026</v>
          </cell>
          <cell r="AC35">
            <v>2311.4484175749376</v>
          </cell>
          <cell r="AO35">
            <v>-83.705631273198847</v>
          </cell>
          <cell r="AP35">
            <v>-38.092669921634979</v>
          </cell>
          <cell r="BB35">
            <v>2862.990674351634</v>
          </cell>
          <cell r="BD35">
            <v>2444.6162830571361</v>
          </cell>
        </row>
        <row r="36">
          <cell r="I36">
            <v>-4964.4631685893255</v>
          </cell>
          <cell r="U36">
            <v>166.57147588612071</v>
          </cell>
          <cell r="V36">
            <v>81.814353018352094</v>
          </cell>
          <cell r="AC36">
            <v>2388.496698160769</v>
          </cell>
          <cell r="AO36">
            <v>-80.140673150530787</v>
          </cell>
          <cell r="AP36">
            <v>-39.362425585689479</v>
          </cell>
          <cell r="BB36">
            <v>1194.6050947827825</v>
          </cell>
          <cell r="BD36">
            <v>2477.0034006306764</v>
          </cell>
        </row>
        <row r="37">
          <cell r="I37">
            <v>-4941.7723689929408</v>
          </cell>
          <cell r="U37">
            <v>166.1228763599197</v>
          </cell>
          <cell r="V37">
            <v>81.440408641003685</v>
          </cell>
          <cell r="AC37">
            <v>2388.496698160769</v>
          </cell>
          <cell r="AO37">
            <v>-80.291828932520517</v>
          </cell>
          <cell r="AP37">
            <v>-39.362425585689479</v>
          </cell>
          <cell r="BB37">
            <v>1272.5499590001621</v>
          </cell>
          <cell r="BD37">
            <v>2510.3003336815791</v>
          </cell>
        </row>
        <row r="38">
          <cell r="I38">
            <v>-4760.9830263225285</v>
          </cell>
          <cell r="U38">
            <v>188.16359467513163</v>
          </cell>
          <cell r="V38">
            <v>78.461000273795278</v>
          </cell>
          <cell r="AC38">
            <v>2311.4484175749376</v>
          </cell>
          <cell r="AO38">
            <v>-91.353075772881581</v>
          </cell>
          <cell r="AP38">
            <v>-38.092669921634979</v>
          </cell>
          <cell r="BB38">
            <v>4340.9104709877101</v>
          </cell>
          <cell r="BD38">
            <v>2566.8083965959954</v>
          </cell>
        </row>
        <row r="39">
          <cell r="I39">
            <v>-4897.0422877472547</v>
          </cell>
          <cell r="U39">
            <v>218.32197426194202</v>
          </cell>
          <cell r="V39">
            <v>80.70325690207477</v>
          </cell>
          <cell r="AC39">
            <v>2388.496698160769</v>
          </cell>
          <cell r="AO39">
            <v>-106.4849523487518</v>
          </cell>
          <cell r="AP39">
            <v>-39.362425585689472</v>
          </cell>
          <cell r="BB39">
            <v>4156.7882103910179</v>
          </cell>
          <cell r="BD39">
            <v>2622.2197417950829</v>
          </cell>
        </row>
        <row r="40">
          <cell r="I40">
            <v>-4717.7774785349657</v>
          </cell>
          <cell r="U40">
            <v>188.98991909180475</v>
          </cell>
          <cell r="V40">
            <v>77.748972846256223</v>
          </cell>
          <cell r="AC40">
            <v>2311.4484175749376</v>
          </cell>
          <cell r="AO40">
            <v>-92.594542962213197</v>
          </cell>
          <cell r="AP40">
            <v>-38.092669921634972</v>
          </cell>
          <cell r="BB40">
            <v>4745.6085147030108</v>
          </cell>
          <cell r="BD40">
            <v>2682.599305014272</v>
          </cell>
        </row>
        <row r="41">
          <cell r="I41">
            <v>-4852.413291314484</v>
          </cell>
          <cell r="U41">
            <v>188.59427015411785</v>
          </cell>
          <cell r="V41">
            <v>79.967771040862701</v>
          </cell>
          <cell r="AC41">
            <v>2388.496698160769</v>
          </cell>
          <cell r="AO41">
            <v>-92.831497342042155</v>
          </cell>
          <cell r="AP41">
            <v>-39.362425585689472</v>
          </cell>
          <cell r="BB41">
            <v>5323.1023725516015</v>
          </cell>
          <cell r="BD41">
            <v>2747.8000295679899</v>
          </cell>
        </row>
        <row r="42">
          <cell r="I42">
            <v>-4829.6207534531586</v>
          </cell>
          <cell r="U42">
            <v>174.62026912254834</v>
          </cell>
          <cell r="V42">
            <v>79.592150016908064</v>
          </cell>
          <cell r="AC42">
            <v>2388.496698160769</v>
          </cell>
          <cell r="AO42">
            <v>-86.358734468527615</v>
          </cell>
          <cell r="AP42">
            <v>-39.362425585689479</v>
          </cell>
          <cell r="BB42">
            <v>4256.1014926286871</v>
          </cell>
          <cell r="BD42">
            <v>2806.0209523063545</v>
          </cell>
        </row>
        <row r="43">
          <cell r="I43">
            <v>-4497.8400514075638</v>
          </cell>
          <cell r="U43">
            <v>165.51962182813213</v>
          </cell>
          <cell r="V43">
            <v>74.124404047196649</v>
          </cell>
          <cell r="AC43">
            <v>2234.4001369891066</v>
          </cell>
          <cell r="AO43">
            <v>-82.225481889118285</v>
          </cell>
          <cell r="AP43">
            <v>-36.822914257580472</v>
          </cell>
          <cell r="BB43">
            <v>3461.1560257587225</v>
          </cell>
          <cell r="BD43">
            <v>2859.0492925949416</v>
          </cell>
        </row>
        <row r="44">
          <cell r="I44">
            <v>-4785.2781199855308</v>
          </cell>
          <cell r="U44">
            <v>187.26099975152803</v>
          </cell>
          <cell r="V44">
            <v>78.861383417361566</v>
          </cell>
          <cell r="AC44">
            <v>2388.496698160769</v>
          </cell>
          <cell r="AO44">
            <v>-93.468397945940438</v>
          </cell>
          <cell r="AP44">
            <v>-39.362425585689479</v>
          </cell>
          <cell r="BB44">
            <v>4851.4598729775589</v>
          </cell>
          <cell r="BD44">
            <v>2922.7575699854447</v>
          </cell>
        </row>
        <row r="45">
          <cell r="I45">
            <v>-4609.5367281442723</v>
          </cell>
          <cell r="U45">
            <v>187.165840089082</v>
          </cell>
          <cell r="V45">
            <v>75.965165279817612</v>
          </cell>
          <cell r="AC45">
            <v>2311.4484175749376</v>
          </cell>
          <cell r="AO45">
            <v>-93.854157242426425</v>
          </cell>
          <cell r="AP45">
            <v>-38.092669921634979</v>
          </cell>
          <cell r="BB45">
            <v>4274.630150622831</v>
          </cell>
          <cell r="BD45">
            <v>2982.7126348724883</v>
          </cell>
        </row>
        <row r="46">
          <cell r="I46">
            <v>-4740.7414584478447</v>
          </cell>
          <cell r="U46">
            <v>204.2738943993032</v>
          </cell>
          <cell r="V46">
            <v>78.127419235220472</v>
          </cell>
          <cell r="AC46">
            <v>2388.496698160769</v>
          </cell>
          <cell r="AO46">
            <v>-102.91797740282637</v>
          </cell>
          <cell r="AP46">
            <v>-39.362425585689479</v>
          </cell>
          <cell r="BB46">
            <v>3910.1773693247596</v>
          </cell>
          <cell r="BD46">
            <v>3039.8507242980386</v>
          </cell>
        </row>
        <row r="47">
          <cell r="I47">
            <v>-4566.6323396077842</v>
          </cell>
          <cell r="U47">
            <v>166.97252752370281</v>
          </cell>
          <cell r="V47">
            <v>75.258100956736271</v>
          </cell>
          <cell r="AC47">
            <v>2311.4484175749376</v>
          </cell>
          <cell r="AO47">
            <v>-84.514880073813586</v>
          </cell>
          <cell r="AP47">
            <v>-38.092669921634972</v>
          </cell>
          <cell r="BB47">
            <v>3021.6520320089262</v>
          </cell>
          <cell r="BD47">
            <v>3091.0386774844696</v>
          </cell>
        </row>
        <row r="48">
          <cell r="I48">
            <v>-4696.4362349039056</v>
          </cell>
          <cell r="U48">
            <v>158.34628892827044</v>
          </cell>
          <cell r="V48">
            <v>77.397269151216378</v>
          </cell>
          <cell r="AC48">
            <v>2388.496698160769</v>
          </cell>
          <cell r="AO48">
            <v>-80.531187767510218</v>
          </cell>
          <cell r="AP48">
            <v>-39.362425585689472</v>
          </cell>
          <cell r="BB48">
            <v>1460.8884660158615</v>
          </cell>
          <cell r="BD48">
            <v>3130.631018094823</v>
          </cell>
        </row>
        <row r="49">
          <cell r="I49">
            <v>-4673.9952889510851</v>
          </cell>
          <cell r="U49">
            <v>157.89305512485711</v>
          </cell>
          <cell r="V49">
            <v>77.027442361913899</v>
          </cell>
          <cell r="AC49">
            <v>2388.496698160769</v>
          </cell>
          <cell r="AO49">
            <v>-80.686226132861705</v>
          </cell>
          <cell r="AP49">
            <v>-39.362425585689472</v>
          </cell>
          <cell r="BB49">
            <v>1562.6216116938001</v>
          </cell>
          <cell r="BD49">
            <v>3171.4438086768346</v>
          </cell>
        </row>
        <row r="50">
          <cell r="I50">
            <v>-4502.121612951616</v>
          </cell>
          <cell r="U50">
            <v>180.38399053260261</v>
          </cell>
          <cell r="V50">
            <v>74.194964181442614</v>
          </cell>
          <cell r="AC50">
            <v>2311.4484175749376</v>
          </cell>
          <cell r="AO50">
            <v>-92.611511930945653</v>
          </cell>
          <cell r="AP50">
            <v>-38.092669921634972</v>
          </cell>
          <cell r="BB50">
            <v>4589.8922839224497</v>
          </cell>
          <cell r="BD50">
            <v>3235.7296676916035</v>
          </cell>
        </row>
        <row r="51">
          <cell r="I51">
            <v>-4629.8829924575221</v>
          </cell>
          <cell r="U51">
            <v>210.07727671988775</v>
          </cell>
          <cell r="V51">
            <v>76.300471715699985</v>
          </cell>
          <cell r="AC51">
            <v>2388.496698160769</v>
          </cell>
          <cell r="AO51">
            <v>-108.37614743644339</v>
          </cell>
          <cell r="AP51">
            <v>-39.362425585689479</v>
          </cell>
          <cell r="BB51">
            <v>4470.1213580734138</v>
          </cell>
          <cell r="BD51">
            <v>3299.4655069890223</v>
          </cell>
        </row>
        <row r="52">
          <cell r="I52">
            <v>-4459.5516778124756</v>
          </cell>
          <cell r="U52">
            <v>181.25846761739177</v>
          </cell>
          <cell r="V52">
            <v>73.4934116503496</v>
          </cell>
          <cell r="AC52">
            <v>2311.4484175749376</v>
          </cell>
          <cell r="AO52">
            <v>-93.948815579550285</v>
          </cell>
          <cell r="AP52">
            <v>-38.092669921634979</v>
          </cell>
          <cell r="BB52">
            <v>5069.6439888686245</v>
          </cell>
          <cell r="BD52">
            <v>3368.4755444020589</v>
          </cell>
        </row>
        <row r="53">
          <cell r="I53">
            <v>-4585.9580525523925</v>
          </cell>
          <cell r="U53">
            <v>180.67606371065818</v>
          </cell>
          <cell r="V53">
            <v>75.576588706063433</v>
          </cell>
          <cell r="AC53">
            <v>2388.496698160769</v>
          </cell>
          <cell r="AO53">
            <v>-94.10120560727951</v>
          </cell>
          <cell r="AP53">
            <v>-39.362425585689479</v>
          </cell>
          <cell r="BB53">
            <v>5658.8858330726453</v>
          </cell>
          <cell r="BD53">
            <v>3442.5459664436667</v>
          </cell>
        </row>
        <row r="54">
          <cell r="I54">
            <v>-4563.5781492588494</v>
          </cell>
          <cell r="U54">
            <v>166.29726650170588</v>
          </cell>
          <cell r="V54">
            <v>75.20776789978585</v>
          </cell>
          <cell r="AC54">
            <v>2388.496698160769</v>
          </cell>
          <cell r="AO54">
            <v>-87.037070246511163</v>
          </cell>
          <cell r="AP54">
            <v>-39.362425585689472</v>
          </cell>
          <cell r="BB54">
            <v>4459.6579616728704</v>
          </cell>
          <cell r="BD54">
            <v>3508.5082726585824</v>
          </cell>
        </row>
        <row r="55">
          <cell r="I55">
            <v>-4103.4151781136625</v>
          </cell>
          <cell r="U55">
            <v>152.25388098302795</v>
          </cell>
          <cell r="V55">
            <v>67.624282135313152</v>
          </cell>
          <cell r="AC55">
            <v>2157.3518564032752</v>
          </cell>
          <cell r="AO55">
            <v>-80.046785062176909</v>
          </cell>
          <cell r="AP55">
            <v>-35.553158593525978</v>
          </cell>
          <cell r="BB55">
            <v>3525.0644448924991</v>
          </cell>
          <cell r="BD55">
            <v>3568.1055252888568</v>
          </cell>
        </row>
        <row r="56">
          <cell r="I56">
            <v>-4520.8910905385965</v>
          </cell>
          <cell r="U56">
            <v>179.06983849736332</v>
          </cell>
          <cell r="V56">
            <v>74.504285172076052</v>
          </cell>
          <cell r="AC56">
            <v>2388.496698160769</v>
          </cell>
          <cell r="AO56">
            <v>-94.606950140039643</v>
          </cell>
          <cell r="AP56">
            <v>-39.362425585689465</v>
          </cell>
          <cell r="BB56">
            <v>5050.1317254096357</v>
          </cell>
          <cell r="BD56">
            <v>3639.4886533356971</v>
          </cell>
        </row>
        <row r="57">
          <cell r="I57">
            <v>-4354.1731363863373</v>
          </cell>
          <cell r="U57">
            <v>179.1096812923202</v>
          </cell>
          <cell r="V57">
            <v>71.756773287646837</v>
          </cell>
          <cell r="AC57">
            <v>2311.4484175749376</v>
          </cell>
          <cell r="AO57">
            <v>-95.081839060510731</v>
          </cell>
          <cell r="AP57">
            <v>-38.092669921634979</v>
          </cell>
          <cell r="BB57">
            <v>4454.1814209761069</v>
          </cell>
          <cell r="BD57">
            <v>3707.1339955421072</v>
          </cell>
        </row>
        <row r="58">
          <cell r="I58">
            <v>-4477.3755790986997</v>
          </cell>
          <cell r="U58">
            <v>195.72320678370659</v>
          </cell>
          <cell r="V58">
            <v>73.787149543546576</v>
          </cell>
          <cell r="AC58">
            <v>2388.496698160769</v>
          </cell>
          <cell r="AO58">
            <v>-104.41032361426909</v>
          </cell>
          <cell r="AP58">
            <v>-39.362425585689479</v>
          </cell>
          <cell r="BB58">
            <v>4102.2859327807382</v>
          </cell>
          <cell r="BD58">
            <v>3772.1755028994385</v>
          </cell>
        </row>
        <row r="59">
          <cell r="I59">
            <v>-4312.2711052019795</v>
          </cell>
          <cell r="U59">
            <v>159.12085698741106</v>
          </cell>
          <cell r="V59">
            <v>71.066227813728631</v>
          </cell>
          <cell r="AC59">
            <v>2311.4484175749376</v>
          </cell>
          <cell r="AO59">
            <v>-85.291403094539945</v>
          </cell>
          <cell r="AP59">
            <v>-38.092669921634972</v>
          </cell>
          <cell r="BB59">
            <v>3236.5212275536501</v>
          </cell>
          <cell r="BD59">
            <v>3831.3652470931297</v>
          </cell>
        </row>
        <row r="60">
          <cell r="I60">
            <v>-4434.2332330964491</v>
          </cell>
          <cell r="U60">
            <v>150.16686183879693</v>
          </cell>
          <cell r="V60">
            <v>73.076163681429463</v>
          </cell>
          <cell r="AC60">
            <v>2388.496698160769</v>
          </cell>
          <cell r="AO60">
            <v>-80.887277421054264</v>
          </cell>
          <cell r="AP60">
            <v>-39.362425585689472</v>
          </cell>
          <cell r="BB60">
            <v>1680.9475592115248</v>
          </cell>
          <cell r="BD60">
            <v>3878.7021253397165</v>
          </cell>
        </row>
        <row r="61">
          <cell r="I61">
            <v>-4412.5305748123392</v>
          </cell>
          <cell r="U61">
            <v>149.72485342712005</v>
          </cell>
          <cell r="V61">
            <v>72.718503872907348</v>
          </cell>
          <cell r="AC61">
            <v>2388.496698160769</v>
          </cell>
          <cell r="AO61">
            <v>-81.0458561091082</v>
          </cell>
          <cell r="AP61">
            <v>-39.362425585689472</v>
          </cell>
          <cell r="BB61">
            <v>1782.5840193684169</v>
          </cell>
          <cell r="BD61">
            <v>3927.1768131063227</v>
          </cell>
        </row>
        <row r="62">
          <cell r="I62">
            <v>-4249.8201023887896</v>
          </cell>
          <cell r="U62">
            <v>172.42832050968534</v>
          </cell>
          <cell r="V62">
            <v>70.03703528736726</v>
          </cell>
          <cell r="AC62">
            <v>2311.4484175749376</v>
          </cell>
          <cell r="AO62">
            <v>-93.78259761235293</v>
          </cell>
          <cell r="AP62">
            <v>-38.092669921634979</v>
          </cell>
          <cell r="BB62">
            <v>4774.4473840451765</v>
          </cell>
          <cell r="BD62">
            <v>3999.2991623544185</v>
          </cell>
        </row>
        <row r="63">
          <cell r="I63">
            <v>-4369.8987704039791</v>
          </cell>
          <cell r="U63">
            <v>201.50568440346763</v>
          </cell>
          <cell r="V63">
            <v>72.015931736257585</v>
          </cell>
          <cell r="AC63">
            <v>2388.496698160769</v>
          </cell>
          <cell r="AO63">
            <v>-110.1388583914072</v>
          </cell>
          <cell r="AP63">
            <v>-39.362425585689479</v>
          </cell>
          <cell r="BB63">
            <v>4657.1678183960394</v>
          </cell>
          <cell r="BD63">
            <v>4071.0757545717679</v>
          </cell>
        </row>
        <row r="64">
          <cell r="I64">
            <v>-4208.609497643758</v>
          </cell>
          <cell r="U64">
            <v>173.35721575784231</v>
          </cell>
          <cell r="V64">
            <v>69.35788452116914</v>
          </cell>
          <cell r="AC64">
            <v>2311.4484175749376</v>
          </cell>
          <cell r="AO64">
            <v>-95.211081537263567</v>
          </cell>
          <cell r="AP64">
            <v>-38.092669921634979</v>
          </cell>
          <cell r="BB64">
            <v>5231.0161924752956</v>
          </cell>
          <cell r="BD64">
            <v>4148.1808127161557</v>
          </cell>
        </row>
        <row r="65">
          <cell r="I65">
            <v>-4327.36867589127</v>
          </cell>
          <cell r="U65">
            <v>172.63235917198483</v>
          </cell>
          <cell r="V65">
            <v>71.315035778688127</v>
          </cell>
          <cell r="AC65">
            <v>2388.496698160769</v>
          </cell>
          <cell r="AO65">
            <v>-95.28465235125023</v>
          </cell>
          <cell r="AP65">
            <v>-39.362425585689479</v>
          </cell>
          <cell r="BB65">
            <v>5826.5839140161133</v>
          </cell>
          <cell r="BD65">
            <v>4230.5228823548314</v>
          </cell>
        </row>
        <row r="66">
          <cell r="I66">
            <v>-4305.7956450731008</v>
          </cell>
          <cell r="U66">
            <v>166.97478251992709</v>
          </cell>
          <cell r="V66">
            <v>74.901707354738292</v>
          </cell>
          <cell r="AC66">
            <v>2388.496698160769</v>
          </cell>
          <cell r="AO66">
            <v>-92.623698289375625</v>
          </cell>
          <cell r="AP66">
            <v>-41.54922700711667</v>
          </cell>
          <cell r="BB66">
            <v>4304.3910727021339</v>
          </cell>
          <cell r="BD66">
            <v>4302.0104440370433</v>
          </cell>
        </row>
        <row r="67">
          <cell r="I67">
            <v>-3871.3235036724163</v>
          </cell>
          <cell r="U67">
            <v>152.92744498370257</v>
          </cell>
          <cell r="V67">
            <v>67.343823081661498</v>
          </cell>
          <cell r="AC67">
            <v>2157.3518564032752</v>
          </cell>
          <cell r="AO67">
            <v>-85.221063808703448</v>
          </cell>
          <cell r="AP67">
            <v>-37.528334070944091</v>
          </cell>
          <cell r="BB67">
            <v>3370.6284259909312</v>
          </cell>
          <cell r="BD67">
            <v>4366.940974211082</v>
          </cell>
        </row>
        <row r="68">
          <cell r="I68">
            <v>-4264.8159170757099</v>
          </cell>
          <cell r="U68">
            <v>179.86531032783671</v>
          </cell>
          <cell r="V68">
            <v>74.188842219708135</v>
          </cell>
          <cell r="AC68">
            <v>2388.496698160769</v>
          </cell>
          <cell r="AO68">
            <v>-100.73299954439125</v>
          </cell>
          <cell r="AP68">
            <v>-41.54922700711667</v>
          </cell>
          <cell r="BB68">
            <v>4922.7410184837154</v>
          </cell>
          <cell r="BD68">
            <v>4444.1103086323592</v>
          </cell>
        </row>
        <row r="69">
          <cell r="I69">
            <v>-4107.1835153624133</v>
          </cell>
          <cell r="U69">
            <v>180.00349550113341</v>
          </cell>
          <cell r="V69">
            <v>71.446739018348836</v>
          </cell>
          <cell r="AC69">
            <v>2311.4484175749376</v>
          </cell>
          <cell r="AO69">
            <v>-101.30270373305655</v>
          </cell>
          <cell r="AP69">
            <v>-40.208929361725808</v>
          </cell>
          <cell r="BB69">
            <v>4334.0671002750387</v>
          </cell>
          <cell r="BD69">
            <v>4517.6339127730207</v>
          </cell>
        </row>
        <row r="70">
          <cell r="I70">
            <v>-4223.1556584838218</v>
          </cell>
          <cell r="U70">
            <v>197.86920464165655</v>
          </cell>
          <cell r="V70">
            <v>73.464138876914134</v>
          </cell>
          <cell r="AC70">
            <v>2388.496698160769</v>
          </cell>
          <cell r="AO70">
            <v>-111.90919307103367</v>
          </cell>
          <cell r="AP70">
            <v>-41.54922700711667</v>
          </cell>
          <cell r="BB70">
            <v>3987.9427179732202</v>
          </cell>
          <cell r="BD70">
            <v>4588.3285520466789</v>
          </cell>
        </row>
        <row r="71">
          <cell r="I71">
            <v>-4067.2370397851287</v>
          </cell>
          <cell r="U71">
            <v>159.22684485448423</v>
          </cell>
          <cell r="V71">
            <v>70.751847883195524</v>
          </cell>
          <cell r="AC71">
            <v>2311.4484175749376</v>
          </cell>
          <cell r="AO71">
            <v>-90.490088228000459</v>
          </cell>
          <cell r="AP71">
            <v>-40.208929361725801</v>
          </cell>
          <cell r="BB71">
            <v>3036.6802305598371</v>
          </cell>
          <cell r="BD71">
            <v>4652.4056659068992</v>
          </cell>
        </row>
        <row r="72">
          <cell r="I72">
            <v>-4181.9599937758885</v>
          </cell>
          <cell r="U72">
            <v>150.54788288358677</v>
          </cell>
          <cell r="V72">
            <v>72.747517402839222</v>
          </cell>
          <cell r="AC72">
            <v>2388.496698160769</v>
          </cell>
          <cell r="AO72">
            <v>-85.984352245769301</v>
          </cell>
          <cell r="AP72">
            <v>-41.549227007116663</v>
          </cell>
          <cell r="BB72">
            <v>1496.939808296818</v>
          </cell>
          <cell r="BD72">
            <v>4704.8986451033379</v>
          </cell>
        </row>
        <row r="73">
          <cell r="I73">
            <v>-4161.0862856760168</v>
          </cell>
          <cell r="U73">
            <v>150.09850672561308</v>
          </cell>
          <cell r="V73">
            <v>72.384407653937458</v>
          </cell>
          <cell r="AC73">
            <v>2388.496698160769</v>
          </cell>
          <cell r="AO73">
            <v>-86.157739373757011</v>
          </cell>
          <cell r="AP73">
            <v>-41.549227007116663</v>
          </cell>
          <cell r="BB73">
            <v>1597.7513569951147</v>
          </cell>
          <cell r="BD73">
            <v>4758.830986662374</v>
          </cell>
        </row>
        <row r="74">
          <cell r="I74">
            <v>-4007.2840662214949</v>
          </cell>
          <cell r="U74">
            <v>173.19980837285959</v>
          </cell>
          <cell r="V74">
            <v>69.708932600848584</v>
          </cell>
          <cell r="AC74">
            <v>2311.4484175749376</v>
          </cell>
          <cell r="AO74">
            <v>-99.903679492633373</v>
          </cell>
          <cell r="AP74">
            <v>-40.208929361725808</v>
          </cell>
          <cell r="BB74">
            <v>4654.0361253824422</v>
          </cell>
          <cell r="BD74">
            <v>4837.2545573072384</v>
          </cell>
        </row>
        <row r="75">
          <cell r="I75">
            <v>-4120.1358219973845</v>
          </cell>
          <cell r="U75">
            <v>202.90608865913569</v>
          </cell>
          <cell r="V75">
            <v>71.67205158799004</v>
          </cell>
          <cell r="AC75">
            <v>2388.496698160769</v>
          </cell>
          <cell r="AO75">
            <v>-117.62731709269596</v>
          </cell>
          <cell r="AP75">
            <v>-41.549227007116663</v>
          </cell>
          <cell r="BB75">
            <v>4509.1430035684634</v>
          </cell>
          <cell r="BD75">
            <v>4915.1459004691451</v>
          </cell>
        </row>
        <row r="76">
          <cell r="I76">
            <v>-3967.7322175691306</v>
          </cell>
          <cell r="U76">
            <v>174.19852613959904</v>
          </cell>
          <cell r="V76">
            <v>69.020906220291451</v>
          </cell>
          <cell r="AC76">
            <v>2311.4484175749376</v>
          </cell>
          <cell r="AO76">
            <v>-101.48137160222738</v>
          </cell>
          <cell r="AP76">
            <v>-40.208929361725801</v>
          </cell>
          <cell r="BB76">
            <v>5128.9633093356306</v>
          </cell>
          <cell r="BD76">
            <v>4998.8120364746283</v>
          </cell>
        </row>
        <row r="77">
          <cell r="I77">
            <v>-4079.35189719666</v>
          </cell>
          <cell r="U77">
            <v>173.34970136845754</v>
          </cell>
          <cell r="V77">
            <v>70.962592558345449</v>
          </cell>
          <cell r="AC77">
            <v>2388.496698160769</v>
          </cell>
          <cell r="AO77">
            <v>-101.49778684948679</v>
          </cell>
          <cell r="AP77">
            <v>-41.549227007116663</v>
          </cell>
          <cell r="BB77">
            <v>5729.2073067180563</v>
          </cell>
          <cell r="BD77">
            <v>5087.852101627218</v>
          </cell>
        </row>
        <row r="78">
          <cell r="I78">
            <v>-4058.6904544092436</v>
          </cell>
          <cell r="U78">
            <v>158.18792877639655</v>
          </cell>
          <cell r="V78">
            <v>70.603175282479015</v>
          </cell>
          <cell r="AC78">
            <v>2388.496698160769</v>
          </cell>
          <cell r="AO78">
            <v>-93.091934409742692</v>
          </cell>
          <cell r="AP78">
            <v>-41.54922700711667</v>
          </cell>
          <cell r="BB78">
            <v>4514.9604236386594</v>
          </cell>
          <cell r="BD78">
            <v>5168.3501053957125</v>
          </cell>
        </row>
        <row r="79">
          <cell r="I79">
            <v>-3648.9052569433552</v>
          </cell>
          <cell r="U79">
            <v>144.90800473699895</v>
          </cell>
          <cell r="V79">
            <v>63.474734114116856</v>
          </cell>
          <cell r="AC79">
            <v>2157.3518564032752</v>
          </cell>
          <cell r="AO79">
            <v>-85.674340936145697</v>
          </cell>
          <cell r="AP79">
            <v>-37.528334070944091</v>
          </cell>
          <cell r="BB79">
            <v>3560.1880005348944</v>
          </cell>
          <cell r="BD79">
            <v>5242.1030397095956</v>
          </cell>
        </row>
        <row r="80">
          <cell r="I80">
            <v>-4019.4895279138059</v>
          </cell>
          <cell r="U80">
            <v>170.75790269339555</v>
          </cell>
          <cell r="V80">
            <v>69.921253387798387</v>
          </cell>
          <cell r="AC80">
            <v>2388.496698160769</v>
          </cell>
          <cell r="AO80">
            <v>-101.4692746269494</v>
          </cell>
          <cell r="AP80">
            <v>-41.54922700711667</v>
          </cell>
          <cell r="BB80">
            <v>5128.1543852185705</v>
          </cell>
          <cell r="BD80">
            <v>5328.4447386463835</v>
          </cell>
        </row>
        <row r="81">
          <cell r="I81">
            <v>-3870.5311896007565</v>
          </cell>
          <cell r="U81">
            <v>170.96204784757717</v>
          </cell>
          <cell r="V81">
            <v>67.330040338210495</v>
          </cell>
          <cell r="AC81">
            <v>2311.4484175749376</v>
          </cell>
          <cell r="AO81">
            <v>-102.09708580165572</v>
          </cell>
          <cell r="AP81">
            <v>-40.208929361725801</v>
          </cell>
          <cell r="BB81">
            <v>4531.6355160068942</v>
          </cell>
          <cell r="BD81">
            <v>5411.4017333317943</v>
          </cell>
        </row>
        <row r="82">
          <cell r="I82">
            <v>-3979.1310029107385</v>
          </cell>
          <cell r="U82">
            <v>188.21925138074667</v>
          </cell>
          <cell r="V82">
            <v>69.219194423967267</v>
          </cell>
          <cell r="AC82">
            <v>2388.496698160769</v>
          </cell>
          <cell r="AO82">
            <v>-112.97970841481489</v>
          </cell>
          <cell r="AP82">
            <v>-41.54922700711667</v>
          </cell>
          <cell r="BB82">
            <v>4202.336946548774</v>
          </cell>
          <cell r="BD82">
            <v>5492.3914721764768</v>
          </cell>
        </row>
        <row r="83">
          <cell r="I83">
            <v>-3831.557311752244</v>
          </cell>
          <cell r="U83">
            <v>150.67501047654244</v>
          </cell>
          <cell r="V83">
            <v>66.65206808088125</v>
          </cell>
          <cell r="AC83">
            <v>2311.4484175749376</v>
          </cell>
          <cell r="AO83">
            <v>-90.89711733290433</v>
          </cell>
          <cell r="AP83">
            <v>-40.208929361725808</v>
          </cell>
          <cell r="BB83">
            <v>3247.9506429133639</v>
          </cell>
          <cell r="BD83">
            <v>5566.784803428035</v>
          </cell>
        </row>
        <row r="84">
          <cell r="I84">
            <v>-3938.9494814770724</v>
          </cell>
          <cell r="U84">
            <v>142.9681570521999</v>
          </cell>
          <cell r="V84">
            <v>68.520214535561152</v>
          </cell>
          <cell r="AC84">
            <v>2388.496698160769</v>
          </cell>
          <cell r="AO84">
            <v>-86.692904457677386</v>
          </cell>
          <cell r="AP84">
            <v>-41.54922700711667</v>
          </cell>
          <cell r="BB84">
            <v>1905.7862292937159</v>
          </cell>
          <cell r="BD84">
            <v>5631.0987146881789</v>
          </cell>
        </row>
        <row r="85">
          <cell r="I85">
            <v>-3918.5981205739249</v>
          </cell>
          <cell r="U85">
            <v>142.52550238174382</v>
          </cell>
          <cell r="V85">
            <v>68.1661913063393</v>
          </cell>
          <cell r="AC85">
            <v>2388.496698160769</v>
          </cell>
          <cell r="AO85">
            <v>-86.873336169681295</v>
          </cell>
          <cell r="AP85">
            <v>-41.54922700711667</v>
          </cell>
          <cell r="BB85">
            <v>2006.4957210531309</v>
          </cell>
          <cell r="BD85">
            <v>5697.0050715272364</v>
          </cell>
        </row>
        <row r="86">
          <cell r="I86">
            <v>-3773.1045769103662</v>
          </cell>
          <cell r="U86">
            <v>164.35338024015709</v>
          </cell>
          <cell r="V86">
            <v>65.635250284565203</v>
          </cell>
          <cell r="AC86">
            <v>2311.4484175749376</v>
          </cell>
          <cell r="AO86">
            <v>-100.68482146081473</v>
          </cell>
          <cell r="AP86">
            <v>-40.208929361725801</v>
          </cell>
          <cell r="BB86">
            <v>4856.8863614264956</v>
          </cell>
          <cell r="BD86">
            <v>5786.1613464597203</v>
          </cell>
        </row>
        <row r="87">
          <cell r="I87">
            <v>-3878.6889726660675</v>
          </cell>
          <cell r="U87">
            <v>192.92130211431359</v>
          </cell>
          <cell r="V87">
            <v>67.471949506733296</v>
          </cell>
          <cell r="AC87">
            <v>2388.496698160769</v>
          </cell>
          <cell r="AO87">
            <v>-118.80093927412358</v>
          </cell>
          <cell r="AP87">
            <v>-41.54922700711667</v>
          </cell>
          <cell r="BB87">
            <v>4714.891077872524</v>
          </cell>
          <cell r="BD87">
            <v>5874.8771964289854</v>
          </cell>
        </row>
        <row r="88">
          <cell r="I88">
            <v>-3734.5690599443133</v>
          </cell>
          <cell r="U88">
            <v>165.31963526804765</v>
          </cell>
          <cell r="V88">
            <v>64.964903558320188</v>
          </cell>
          <cell r="AC88">
            <v>2311.4484175749376</v>
          </cell>
          <cell r="AO88">
            <v>-102.32179488470688</v>
          </cell>
          <cell r="AP88">
            <v>-40.208929361725808</v>
          </cell>
          <cell r="BB88">
            <v>5331.741332353804</v>
          </cell>
          <cell r="BD88">
            <v>5969.5373071833928</v>
          </cell>
        </row>
        <row r="89">
          <cell r="I89">
            <v>-3838.9639225256437</v>
          </cell>
          <cell r="U89">
            <v>164.40099532274994</v>
          </cell>
          <cell r="V89">
            <v>66.780910190068326</v>
          </cell>
          <cell r="AC89">
            <v>2388.496698160769</v>
          </cell>
          <cell r="AO89">
            <v>-102.28573188684592</v>
          </cell>
          <cell r="AP89">
            <v>-41.54922700711667</v>
          </cell>
          <cell r="BB89">
            <v>5939.7440012691459</v>
          </cell>
          <cell r="BD89">
            <v>6069.7706439048106</v>
          </cell>
        </row>
        <row r="90">
          <cell r="I90">
            <v>-3818.8472084216414</v>
          </cell>
          <cell r="U90">
            <v>149.53229337580572</v>
          </cell>
          <cell r="V90">
            <v>66.430968772276898</v>
          </cell>
          <cell r="AC90">
            <v>2388.496698160769</v>
          </cell>
          <cell r="AO90">
            <v>-93.52492244489018</v>
          </cell>
          <cell r="AP90">
            <v>-41.54922700711667</v>
          </cell>
          <cell r="BB90">
            <v>4728.0180241840562</v>
          </cell>
          <cell r="BD90">
            <v>6161.5168734227991</v>
          </cell>
        </row>
        <row r="91">
          <cell r="I91">
            <v>-3554.7646726357248</v>
          </cell>
          <cell r="U91">
            <v>141.86008529762529</v>
          </cell>
          <cell r="V91">
            <v>61.837106349761015</v>
          </cell>
          <cell r="AC91">
            <v>2234.4001369891066</v>
          </cell>
          <cell r="AO91">
            <v>-89.168263784752099</v>
          </cell>
          <cell r="AP91">
            <v>-38.868631716334953</v>
          </cell>
          <cell r="BB91">
            <v>3885.9948487077245</v>
          </cell>
          <cell r="BD91">
            <v>6247.4465577895298</v>
          </cell>
        </row>
        <row r="92">
          <cell r="I92">
            <v>-3780.0500045180765</v>
          </cell>
          <cell r="U92">
            <v>161.64910159705295</v>
          </cell>
          <cell r="V92">
            <v>65.756069856372235</v>
          </cell>
          <cell r="AC92">
            <v>2388.496698160769</v>
          </cell>
          <cell r="AO92">
            <v>-102.14106823024417</v>
          </cell>
          <cell r="AP92">
            <v>-41.54922700711667</v>
          </cell>
          <cell r="BB92">
            <v>5336.0560015623023</v>
          </cell>
          <cell r="BD92">
            <v>6345.3938509397294</v>
          </cell>
        </row>
        <row r="93">
          <cell r="I93">
            <v>-3639.5081233363767</v>
          </cell>
          <cell r="U93">
            <v>161.89912848920264</v>
          </cell>
          <cell r="V93">
            <v>63.311265754393695</v>
          </cell>
          <cell r="AC93">
            <v>2311.4484175749376</v>
          </cell>
          <cell r="AO93">
            <v>-102.82199453097415</v>
          </cell>
          <cell r="AP93">
            <v>-40.208929361725815</v>
          </cell>
          <cell r="BB93">
            <v>4731.611915231204</v>
          </cell>
          <cell r="BD93">
            <v>6439.3895690990421</v>
          </cell>
        </row>
        <row r="94">
          <cell r="I94">
            <v>-3741.7602081262185</v>
          </cell>
          <cell r="U94">
            <v>178.58858542597534</v>
          </cell>
          <cell r="V94">
            <v>65.089997576026747</v>
          </cell>
          <cell r="AC94">
            <v>2388.496698160769</v>
          </cell>
          <cell r="AO94">
            <v>-113.9993540186677</v>
          </cell>
          <cell r="AP94">
            <v>-41.549227007116663</v>
          </cell>
          <cell r="BB94">
            <v>4421.4213068573863</v>
          </cell>
          <cell r="BD94">
            <v>6530.0653868019272</v>
          </cell>
        </row>
        <row r="95">
          <cell r="I95">
            <v>-3603.161648469264</v>
          </cell>
          <cell r="U95">
            <v>142.65044720854971</v>
          </cell>
          <cell r="V95">
            <v>62.678998631594219</v>
          </cell>
          <cell r="AC95">
            <v>2311.4484175749376</v>
          </cell>
          <cell r="AO95">
            <v>-91.511062404496514</v>
          </cell>
          <cell r="AP95">
            <v>-40.208929361725808</v>
          </cell>
          <cell r="BB95">
            <v>3504.1439429003799</v>
          </cell>
          <cell r="BD95">
            <v>6614.3723824924691</v>
          </cell>
        </row>
        <row r="96">
          <cell r="I96">
            <v>-3704.3215006505507</v>
          </cell>
          <cell r="U96">
            <v>135.39239303715678</v>
          </cell>
          <cell r="V96">
            <v>64.438730460205576</v>
          </cell>
          <cell r="AC96">
            <v>2388.496698160769</v>
          </cell>
          <cell r="AO96">
            <v>-87.29919464834289</v>
          </cell>
          <cell r="AP96">
            <v>-41.54922700711667</v>
          </cell>
          <cell r="BB96">
            <v>2214.2922357365333</v>
          </cell>
          <cell r="BD96">
            <v>6689.0015868432192</v>
          </cell>
        </row>
        <row r="97">
          <cell r="I97">
            <v>-3685.3848704873321</v>
          </cell>
          <cell r="U97">
            <v>134.9879640786688</v>
          </cell>
          <cell r="V97">
            <v>64.1093172581663</v>
          </cell>
          <cell r="AC97">
            <v>2388.496698160769</v>
          </cell>
          <cell r="AO97">
            <v>-87.485654232555206</v>
          </cell>
          <cell r="AP97">
            <v>-41.54922700711667</v>
          </cell>
          <cell r="BB97">
            <v>2314.899670557063</v>
          </cell>
          <cell r="BD97">
            <v>6765.2554472568645</v>
          </cell>
        </row>
        <row r="98">
          <cell r="I98">
            <v>-3548.7718232339953</v>
          </cell>
          <cell r="U98">
            <v>155.68657957669146</v>
          </cell>
          <cell r="V98">
            <v>61.732857405057153</v>
          </cell>
          <cell r="AC98">
            <v>2311.4484175749376</v>
          </cell>
          <cell r="AO98">
            <v>-101.40451849965838</v>
          </cell>
          <cell r="AP98">
            <v>-40.208929361725801</v>
          </cell>
          <cell r="BB98">
            <v>5066.1654738991801</v>
          </cell>
          <cell r="BD98">
            <v>6864.2447953566034</v>
          </cell>
        </row>
        <row r="99">
          <cell r="I99">
            <v>-3648.2990980503396</v>
          </cell>
          <cell r="U99">
            <v>183.11314281079248</v>
          </cell>
          <cell r="V99">
            <v>63.46418964341791</v>
          </cell>
          <cell r="AC99">
            <v>2388.496698160769</v>
          </cell>
          <cell r="AO99">
            <v>-119.88192997310672</v>
          </cell>
          <cell r="AP99">
            <v>-41.54922700711667</v>
          </cell>
          <cell r="BB99">
            <v>4927.2823244861711</v>
          </cell>
          <cell r="BD99">
            <v>6962.8925789281784</v>
          </cell>
        </row>
        <row r="100">
          <cell r="I100">
            <v>-3512.993386709993</v>
          </cell>
          <cell r="U100">
            <v>156.68753873585169</v>
          </cell>
          <cell r="V100">
            <v>61.110471624812945</v>
          </cell>
          <cell r="AC100">
            <v>2311.4484175749376</v>
          </cell>
          <cell r="AO100">
            <v>-103.09588535943199</v>
          </cell>
          <cell r="AP100">
            <v>-40.208929361725808</v>
          </cell>
          <cell r="BB100">
            <v>5540.9482318006058</v>
          </cell>
          <cell r="BD100">
            <v>7067.5087753077014</v>
          </cell>
        </row>
        <row r="101">
          <cell r="I101">
            <v>-3611.4479549866155</v>
          </cell>
          <cell r="U101">
            <v>155.75513298600598</v>
          </cell>
          <cell r="V101">
            <v>62.82314353696718</v>
          </cell>
          <cell r="AC101">
            <v>2388.496698160769</v>
          </cell>
          <cell r="AO101">
            <v>-103.01148611182064</v>
          </cell>
          <cell r="AP101">
            <v>-41.54922700711667</v>
          </cell>
          <cell r="BB101">
            <v>6156.9238681298166</v>
          </cell>
          <cell r="BD101">
            <v>7177.8875446019129</v>
          </cell>
        </row>
        <row r="102">
          <cell r="I102">
            <v>-3592.8103891107512</v>
          </cell>
          <cell r="U102">
            <v>141.67282095194477</v>
          </cell>
          <cell r="V102">
            <v>62.498932724353253</v>
          </cell>
          <cell r="AC102">
            <v>2388.496698160769</v>
          </cell>
          <cell r="AO102">
            <v>-94.183947499270843</v>
          </cell>
          <cell r="AP102">
            <v>-41.54922700711667</v>
          </cell>
          <cell r="BB102">
            <v>4983.863303861348</v>
          </cell>
          <cell r="BD102">
            <v>7280.0092867014255</v>
          </cell>
        </row>
        <row r="103">
          <cell r="I103">
            <v>-3229.8152553017949</v>
          </cell>
          <cell r="U103">
            <v>129.84743960579516</v>
          </cell>
          <cell r="V103">
            <v>56.184430707783221</v>
          </cell>
          <cell r="AC103">
            <v>2157.3518564032752</v>
          </cell>
          <cell r="AO103">
            <v>-86.73146689208987</v>
          </cell>
          <cell r="AP103">
            <v>-37.528334070944091</v>
          </cell>
          <cell r="BB103">
            <v>3982.448988132187</v>
          </cell>
          <cell r="BD103">
            <v>7375.0282667085221</v>
          </cell>
        </row>
        <row r="104">
          <cell r="I104">
            <v>-3557.5068329178116</v>
          </cell>
          <cell r="U104">
            <v>153.77122350494852</v>
          </cell>
          <cell r="V104">
            <v>61.884807751290303</v>
          </cell>
          <cell r="AC104">
            <v>2388.496698160769</v>
          </cell>
          <cell r="AO104">
            <v>-103.24142070936576</v>
          </cell>
          <cell r="AP104">
            <v>-41.549227007116677</v>
          </cell>
          <cell r="BB104">
            <v>5586.7452970379218</v>
          </cell>
          <cell r="BD104">
            <v>7483.3690236030143</v>
          </cell>
        </row>
        <row r="105">
          <cell r="I105">
            <v>-3425.4057246128914</v>
          </cell>
          <cell r="U105">
            <v>154.13153374093022</v>
          </cell>
          <cell r="V105">
            <v>59.586835582821585</v>
          </cell>
          <cell r="AC105">
            <v>2311.4484175749376</v>
          </cell>
          <cell r="AO105">
            <v>-104.00726757824678</v>
          </cell>
          <cell r="AP105">
            <v>-40.208929361725801</v>
          </cell>
          <cell r="BB105">
            <v>4972.9957458734816</v>
          </cell>
          <cell r="BD105">
            <v>7588.2194104637647</v>
          </cell>
        </row>
        <row r="106">
          <cell r="I106">
            <v>-3521.2383844977153</v>
          </cell>
          <cell r="U106">
            <v>170.41658165639481</v>
          </cell>
          <cell r="V106">
            <v>61.253897941884716</v>
          </cell>
          <cell r="AC106">
            <v>2388.496698160769</v>
          </cell>
          <cell r="AO106">
            <v>-115.59553718093584</v>
          </cell>
          <cell r="AP106">
            <v>-41.54922700711667</v>
          </cell>
          <cell r="BB106">
            <v>4685.495228422089</v>
          </cell>
          <cell r="BD106">
            <v>7691.5701726587049</v>
          </cell>
        </row>
        <row r="107">
          <cell r="I107">
            <v>-3390.4190138804197</v>
          </cell>
          <cell r="U107">
            <v>134.88936151966089</v>
          </cell>
          <cell r="V107">
            <v>58.978222312568732</v>
          </cell>
          <cell r="AC107">
            <v>2311.4484175749376</v>
          </cell>
          <cell r="AO107">
            <v>-91.962025919463727</v>
          </cell>
          <cell r="AP107">
            <v>-40.208929361725808</v>
          </cell>
          <cell r="BB107">
            <v>3727.2669651357523</v>
          </cell>
          <cell r="BD107">
            <v>7788.3119378814054</v>
          </cell>
        </row>
        <row r="108">
          <cell r="I108">
            <v>-3485.2060109427971</v>
          </cell>
          <cell r="U108">
            <v>127.22140505495264</v>
          </cell>
          <cell r="V108">
            <v>60.627094785911588</v>
          </cell>
          <cell r="AC108">
            <v>2388.496698160769</v>
          </cell>
          <cell r="AO108">
            <v>-87.187932350354131</v>
          </cell>
          <cell r="AP108">
            <v>-41.54922700711667</v>
          </cell>
          <cell r="BB108">
            <v>2290.9841050158784</v>
          </cell>
          <cell r="BD108">
            <v>7874.2161833045202</v>
          </cell>
        </row>
        <row r="109">
          <cell r="I109">
            <v>-3466.9850598219728</v>
          </cell>
          <cell r="U109">
            <v>126.8253276303046</v>
          </cell>
          <cell r="V109">
            <v>60.310131218414234</v>
          </cell>
          <cell r="AC109">
            <v>2388.496698160769</v>
          </cell>
          <cell r="AO109">
            <v>-87.373285740001165</v>
          </cell>
          <cell r="AP109">
            <v>-41.54922700711667</v>
          </cell>
          <cell r="BB109">
            <v>2391.4894828975275</v>
          </cell>
          <cell r="BD109">
            <v>7961.8805986659299</v>
          </cell>
        </row>
        <row r="110">
          <cell r="I110">
            <v>-3338.084742563165</v>
          </cell>
          <cell r="U110">
            <v>148.09841842240974</v>
          </cell>
          <cell r="V110">
            <v>58.067838588409906</v>
          </cell>
          <cell r="AC110">
            <v>2311.4484175749376</v>
          </cell>
          <cell r="AO110">
            <v>-102.55037882740403</v>
          </cell>
          <cell r="AP110">
            <v>-40.208929361725801</v>
          </cell>
          <cell r="BB110">
            <v>5312.8311248536575</v>
          </cell>
          <cell r="BD110">
            <v>8073.9240604251336</v>
          </cell>
        </row>
        <row r="111">
          <cell r="I111">
            <v>-3431.3093772392499</v>
          </cell>
          <cell r="U111">
            <v>174.71055629953761</v>
          </cell>
          <cell r="V111">
            <v>59.689532900064101</v>
          </cell>
          <cell r="AC111">
            <v>2388.496698160769</v>
          </cell>
          <cell r="AO111">
            <v>-121.61409566368593</v>
          </cell>
          <cell r="AP111">
            <v>-41.54922700711667</v>
          </cell>
          <cell r="BB111">
            <v>5178.3063275310051</v>
          </cell>
          <cell r="BD111">
            <v>8185.755184157415</v>
          </cell>
        </row>
        <row r="112">
          <cell r="I112">
            <v>-3303.6721160081538</v>
          </cell>
          <cell r="U112">
            <v>149.12418112444766</v>
          </cell>
          <cell r="V112">
            <v>57.469211831359615</v>
          </cell>
          <cell r="AC112">
            <v>2311.4484175749376</v>
          </cell>
          <cell r="AO112">
            <v>-104.3362780501224</v>
          </cell>
          <cell r="AP112">
            <v>-40.208929361725808</v>
          </cell>
          <cell r="BB112">
            <v>5788.6973939379877</v>
          </cell>
          <cell r="BD112">
            <v>8303.7145963307521</v>
          </cell>
        </row>
        <row r="113">
          <cell r="I113">
            <v>-3395.8705777358277</v>
          </cell>
          <cell r="U113">
            <v>148.11109702839374</v>
          </cell>
          <cell r="V113">
            <v>59.073055294480135</v>
          </cell>
          <cell r="AC113">
            <v>2388.496698160769</v>
          </cell>
          <cell r="AO113">
            <v>-104.17442541321954</v>
          </cell>
          <cell r="AP113">
            <v>-41.54922700711667</v>
          </cell>
          <cell r="BB113">
            <v>6413.9307397707526</v>
          </cell>
          <cell r="BD113">
            <v>8427.652550622417</v>
          </cell>
        </row>
        <row r="114">
          <cell r="I114">
            <v>-3377.951563993146</v>
          </cell>
          <cell r="U114">
            <v>133.49679109227614</v>
          </cell>
          <cell r="V114">
            <v>58.761344095418551</v>
          </cell>
          <cell r="AC114">
            <v>2388.496698160769</v>
          </cell>
          <cell r="AO114">
            <v>-94.393492238838533</v>
          </cell>
          <cell r="AP114">
            <v>-41.54922700711667</v>
          </cell>
          <cell r="BB114">
            <v>5187.7276801362214</v>
          </cell>
          <cell r="BD114">
            <v>8542.9893254177186</v>
          </cell>
        </row>
        <row r="115">
          <cell r="I115">
            <v>-3036.3274686291743</v>
          </cell>
          <cell r="U115">
            <v>122.35419756599691</v>
          </cell>
          <cell r="V115">
            <v>52.81860316539818</v>
          </cell>
          <cell r="AC115">
            <v>2157.3518564032752</v>
          </cell>
          <cell r="AO115">
            <v>-86.934317192377264</v>
          </cell>
          <cell r="AP115">
            <v>-37.528334070944091</v>
          </cell>
          <cell r="BB115">
            <v>4165.9524565301481</v>
          </cell>
          <cell r="BD115">
            <v>8651.1270446327853</v>
          </cell>
        </row>
        <row r="116">
          <cell r="I116">
            <v>-3344.0169619784888</v>
          </cell>
          <cell r="U116">
            <v>144.89379240649475</v>
          </cell>
          <cell r="V116">
            <v>58.171032840816906</v>
          </cell>
          <cell r="AC116">
            <v>2388.496698160769</v>
          </cell>
          <cell r="AO116">
            <v>-103.49180302666504</v>
          </cell>
          <cell r="AP116">
            <v>-41.54922700711667</v>
          </cell>
          <cell r="BB116">
            <v>5785.4536891111284</v>
          </cell>
          <cell r="BD116">
            <v>8772.8566839558825</v>
          </cell>
        </row>
        <row r="117">
          <cell r="I117">
            <v>-3219.4740054822087</v>
          </cell>
          <cell r="U117">
            <v>145.24397546019523</v>
          </cell>
          <cell r="V117">
            <v>56.004538922032729</v>
          </cell>
          <cell r="AC117">
            <v>2311.4484175749376</v>
          </cell>
          <cell r="AO117">
            <v>-104.27913276146394</v>
          </cell>
          <cell r="AP117">
            <v>-40.208929361725801</v>
          </cell>
          <cell r="BB117">
            <v>5164.0754764488993</v>
          </cell>
          <cell r="BD117">
            <v>8891.2007708605179</v>
          </cell>
        </row>
        <row r="118">
          <cell r="I118">
            <v>-3309.165635793167</v>
          </cell>
          <cell r="U118">
            <v>160.59066542045286</v>
          </cell>
          <cell r="V118">
            <v>57.564774659975356</v>
          </cell>
          <cell r="AC118">
            <v>2388.496698160769</v>
          </cell>
          <cell r="AO118">
            <v>-115.9114762837356</v>
          </cell>
          <cell r="AP118">
            <v>-41.549227007116663</v>
          </cell>
          <cell r="BB118">
            <v>4886.0811528680779</v>
          </cell>
          <cell r="BD118">
            <v>9008.2106424722333</v>
          </cell>
        </row>
        <row r="119">
          <cell r="I119">
            <v>-3185.8595992261157</v>
          </cell>
          <cell r="U119">
            <v>126.94217701161473</v>
          </cell>
          <cell r="V119">
            <v>55.419797650537845</v>
          </cell>
          <cell r="AC119">
            <v>2311.4484175749376</v>
          </cell>
          <cell r="AO119">
            <v>-92.100823981160346</v>
          </cell>
          <cell r="AP119">
            <v>-40.208929361725801</v>
          </cell>
          <cell r="BB119">
            <v>3919.7451991233524</v>
          </cell>
          <cell r="BD119">
            <v>9118.6460735406945</v>
          </cell>
        </row>
        <row r="120">
          <cell r="I120">
            <v>-3274.5519959296053</v>
          </cell>
          <cell r="U120">
            <v>119.1390803506673</v>
          </cell>
          <cell r="V120">
            <v>56.96265116474877</v>
          </cell>
          <cell r="AC120">
            <v>2388.496698160769</v>
          </cell>
          <cell r="AO120">
            <v>-86.901444958944808</v>
          </cell>
          <cell r="AP120">
            <v>-41.549227007116663</v>
          </cell>
          <cell r="BB120">
            <v>2329.4040467332907</v>
          </cell>
          <cell r="BD120">
            <v>9217.0152057146806</v>
          </cell>
        </row>
        <row r="121">
          <cell r="I121">
            <v>-3257.0526000879399</v>
          </cell>
          <cell r="U121">
            <v>118.75126563083876</v>
          </cell>
          <cell r="V121">
            <v>56.658239452196419</v>
          </cell>
          <cell r="AC121">
            <v>2388.496698160769</v>
          </cell>
          <cell r="AO121">
            <v>-87.083950027092797</v>
          </cell>
          <cell r="AP121">
            <v>-41.549227007116663</v>
          </cell>
          <cell r="BB121">
            <v>2429.8073676760546</v>
          </cell>
          <cell r="BD121">
            <v>9317.2949723073962</v>
          </cell>
        </row>
        <row r="122">
          <cell r="I122">
            <v>-3135.597760753305</v>
          </cell>
          <cell r="U122">
            <v>139.53184042563959</v>
          </cell>
          <cell r="V122">
            <v>54.545465047059714</v>
          </cell>
          <cell r="AC122">
            <v>2311.4484175749376</v>
          </cell>
          <cell r="AO122">
            <v>-102.85778864559468</v>
          </cell>
          <cell r="AP122">
            <v>-40.208929361725801</v>
          </cell>
          <cell r="BB122">
            <v>5509.1926757412712</v>
          </cell>
          <cell r="BD122">
            <v>9443.5319483312196</v>
          </cell>
        </row>
        <row r="123">
          <cell r="I123">
            <v>-3222.7977396016722</v>
          </cell>
          <cell r="U123">
            <v>164.70549022835991</v>
          </cell>
          <cell r="V123">
            <v>56.06235712355975</v>
          </cell>
          <cell r="AC123">
            <v>2388.496698160769</v>
          </cell>
          <cell r="AO123">
            <v>-122.06739341576281</v>
          </cell>
          <cell r="AP123">
            <v>-41.54922700711667</v>
          </cell>
          <cell r="BB123">
            <v>5377.3494271734135</v>
          </cell>
          <cell r="BD123">
            <v>9569.6817230105244</v>
          </cell>
        </row>
        <row r="124">
          <cell r="I124">
            <v>-3102.5608006562575</v>
          </cell>
          <cell r="U124">
            <v>140.48193604486289</v>
          </cell>
          <cell r="V124">
            <v>53.970768772304858</v>
          </cell>
          <cell r="AC124">
            <v>2311.4484175749376</v>
          </cell>
          <cell r="AO124">
            <v>-104.66088164978991</v>
          </cell>
          <cell r="AP124">
            <v>-40.208929361725808</v>
          </cell>
          <cell r="BB124">
            <v>5984.9867317997241</v>
          </cell>
          <cell r="BD124">
            <v>9702.1382310401295</v>
          </cell>
        </row>
        <row r="125">
          <cell r="I125">
            <v>-3188.7809226253971</v>
          </cell>
          <cell r="U125">
            <v>139.48517352869757</v>
          </cell>
          <cell r="V125">
            <v>55.470615694025803</v>
          </cell>
          <cell r="AC125">
            <v>2388.496698160769</v>
          </cell>
          <cell r="AO125">
            <v>-104.47875990846613</v>
          </cell>
          <cell r="AP125">
            <v>-41.54922700711667</v>
          </cell>
          <cell r="BB125">
            <v>6617.7624596601909</v>
          </cell>
          <cell r="BD125">
            <v>9840.7855472501724</v>
          </cell>
        </row>
        <row r="126">
          <cell r="I126">
            <v>-3171.5849437270726</v>
          </cell>
          <cell r="U126">
            <v>132.23152428435185</v>
          </cell>
          <cell r="V126">
            <v>58.075244302913511</v>
          </cell>
          <cell r="AC126">
            <v>2388.496698160769</v>
          </cell>
          <cell r="AO126">
            <v>-99.582563528879831</v>
          </cell>
          <cell r="AP126">
            <v>-43.736028428543861</v>
          </cell>
          <cell r="BB126">
            <v>5051.208159044927</v>
          </cell>
          <cell r="BD126">
            <v>9968.1564495856892</v>
          </cell>
        </row>
        <row r="127">
          <cell r="I127">
            <v>-2850.5152590625967</v>
          </cell>
          <cell r="U127">
            <v>121.19484363720838</v>
          </cell>
          <cell r="V127">
            <v>52.196101632612894</v>
          </cell>
          <cell r="AC127">
            <v>2157.3518564032752</v>
          </cell>
          <cell r="AO127">
            <v>-91.723740146972006</v>
          </cell>
          <cell r="AP127">
            <v>-39.503509548362203</v>
          </cell>
          <cell r="BB127">
            <v>4028.2499344362263</v>
          </cell>
          <cell r="BD127">
            <v>10088.37609047697</v>
          </cell>
        </row>
        <row r="128">
          <cell r="I128">
            <v>-3139.027059307642</v>
          </cell>
          <cell r="U128">
            <v>143.51662116139056</v>
          </cell>
          <cell r="V128">
            <v>57.479073263766601</v>
          </cell>
          <cell r="AC128">
            <v>2388.496698160769</v>
          </cell>
          <cell r="AO128">
            <v>-109.20230036206772</v>
          </cell>
          <cell r="AP128">
            <v>-43.736028428543854</v>
          </cell>
          <cell r="BB128">
            <v>5707.6507715179068</v>
          </cell>
          <cell r="BD128">
            <v>10222.807173248175</v>
          </cell>
        </row>
        <row r="129">
          <cell r="I129">
            <v>-3022.0039864619412</v>
          </cell>
          <cell r="U129">
            <v>143.88496119670188</v>
          </cell>
          <cell r="V129">
            <v>55.336250774325329</v>
          </cell>
          <cell r="AC129">
            <v>2311.4484175749376</v>
          </cell>
          <cell r="AO129">
            <v>-110.05368204703275</v>
          </cell>
          <cell r="AP129">
            <v>-42.325188801816644</v>
          </cell>
          <cell r="BB129">
            <v>5080.0072400326017</v>
          </cell>
          <cell r="BD129">
            <v>10353.150005162919</v>
          </cell>
        </row>
        <row r="130">
          <cell r="I130">
            <v>-3106.5610309807957</v>
          </cell>
          <cell r="U130">
            <v>158.75376368037226</v>
          </cell>
          <cell r="V130">
            <v>56.884584211737241</v>
          </cell>
          <cell r="AC130">
            <v>2388.496698160769</v>
          </cell>
          <cell r="AO130">
            <v>-122.05871270182304</v>
          </cell>
          <cell r="AP130">
            <v>-43.736028428543861</v>
          </cell>
          <cell r="BB130">
            <v>4746.6359300246986</v>
          </cell>
          <cell r="BD130">
            <v>10480.099526789125</v>
          </cell>
        </row>
        <row r="131">
          <cell r="I131">
            <v>-2991.1919577842523</v>
          </cell>
          <cell r="U131">
            <v>125.24225772323175</v>
          </cell>
          <cell r="V131">
            <v>54.772048293649419</v>
          </cell>
          <cell r="AC131">
            <v>2311.4484175749376</v>
          </cell>
          <cell r="AO131">
            <v>-96.781156981419244</v>
          </cell>
          <cell r="AP131">
            <v>-42.32518880181663</v>
          </cell>
          <cell r="BB131">
            <v>3688.9063092608935</v>
          </cell>
          <cell r="BD131">
            <v>10599.661475658597</v>
          </cell>
        </row>
        <row r="132">
          <cell r="I132">
            <v>-3074.8515346651902</v>
          </cell>
          <cell r="U132">
            <v>117.39018748233335</v>
          </cell>
          <cell r="V132">
            <v>56.303948101424815</v>
          </cell>
          <cell r="AC132">
            <v>2388.496698160769</v>
          </cell>
          <cell r="AO132">
            <v>-91.186866109474494</v>
          </cell>
          <cell r="AP132">
            <v>-43.736028428543854</v>
          </cell>
          <cell r="BB132">
            <v>1901.6705018951325</v>
          </cell>
          <cell r="BD132">
            <v>10705.557828307094</v>
          </cell>
        </row>
        <row r="133">
          <cell r="I133">
            <v>-3058.834181044529</v>
          </cell>
          <cell r="U133">
            <v>117.02104036407427</v>
          </cell>
          <cell r="V133">
            <v>56.010652559570929</v>
          </cell>
          <cell r="AC133">
            <v>2388.496698160769</v>
          </cell>
          <cell r="AO133">
            <v>-91.376109975822388</v>
          </cell>
          <cell r="AP133">
            <v>-43.736028428543854</v>
          </cell>
          <cell r="BB133">
            <v>2001.2166828722879</v>
          </cell>
          <cell r="BD133">
            <v>10813.333819146303</v>
          </cell>
        </row>
        <row r="134">
          <cell r="I134">
            <v>-2945.1865124522906</v>
          </cell>
          <cell r="U134">
            <v>138.3698536387283</v>
          </cell>
          <cell r="V134">
            <v>53.929637472459731</v>
          </cell>
          <cell r="AC134">
            <v>2311.4484175749376</v>
          </cell>
          <cell r="AO134">
            <v>-108.5957639290579</v>
          </cell>
          <cell r="AP134">
            <v>-42.325188801816637</v>
          </cell>
          <cell r="BB134">
            <v>5426.7070705638025</v>
          </cell>
          <cell r="BD134">
            <v>10950.071357311697</v>
          </cell>
        </row>
        <row r="135">
          <cell r="I135">
            <v>-3027.5069140118312</v>
          </cell>
          <cell r="U135">
            <v>163.47470605261699</v>
          </cell>
          <cell r="V135">
            <v>55.437015492127756</v>
          </cell>
          <cell r="AC135">
            <v>2388.496698160769</v>
          </cell>
          <cell r="AO135">
            <v>-128.97040592454681</v>
          </cell>
          <cell r="AP135">
            <v>-43.736028428543861</v>
          </cell>
          <cell r="BB135">
            <v>5267.2942954569917</v>
          </cell>
          <cell r="BD135">
            <v>11086.589685449277</v>
          </cell>
        </row>
        <row r="136">
          <cell r="I136">
            <v>-2914.989684620286</v>
          </cell>
          <cell r="U136">
            <v>139.36766025068897</v>
          </cell>
          <cell r="V136">
            <v>53.376700002824791</v>
          </cell>
          <cell r="AC136">
            <v>2311.4484175749376</v>
          </cell>
          <cell r="AO136">
            <v>-110.51193746832746</v>
          </cell>
          <cell r="AP136">
            <v>-42.325188801816637</v>
          </cell>
          <cell r="BB136">
            <v>5909.2794559440117</v>
          </cell>
          <cell r="BD136">
            <v>11229.704092121598</v>
          </cell>
        </row>
        <row r="137">
          <cell r="I137">
            <v>-2996.4316323167345</v>
          </cell>
          <cell r="U137">
            <v>138.37277991623955</v>
          </cell>
          <cell r="V137">
            <v>54.867992556199773</v>
          </cell>
          <cell r="AC137">
            <v>2388.496698160769</v>
          </cell>
          <cell r="AO137">
            <v>-110.29883825172803</v>
          </cell>
          <cell r="AP137">
            <v>-43.736028428543861</v>
          </cell>
          <cell r="BB137">
            <v>6547.9252478499675</v>
          </cell>
          <cell r="BD137">
            <v>11379.183936490714</v>
          </cell>
        </row>
        <row r="138">
          <cell r="I138">
            <v>-2980.7354723217736</v>
          </cell>
          <cell r="U138">
            <v>124.58369780884161</v>
          </cell>
          <cell r="V138">
            <v>54.580578426514258</v>
          </cell>
          <cell r="AC138">
            <v>2388.496698160769</v>
          </cell>
          <cell r="AO138">
            <v>-99.83031155370989</v>
          </cell>
          <cell r="AP138">
            <v>-43.736028428543861</v>
          </cell>
          <cell r="BB138">
            <v>5282.2323205139928</v>
          </cell>
          <cell r="BD138">
            <v>11519.76491217991</v>
          </cell>
        </row>
        <row r="139">
          <cell r="I139">
            <v>-2774.6795909279404</v>
          </cell>
          <cell r="U139">
            <v>118.2790136883857</v>
          </cell>
          <cell r="V139">
            <v>50.807466287213842</v>
          </cell>
          <cell r="AC139">
            <v>2234.4001369891066</v>
          </cell>
          <cell r="AO139">
            <v>-95.247986561172993</v>
          </cell>
          <cell r="AP139">
            <v>-40.91434917508942</v>
          </cell>
          <cell r="BB139">
            <v>4387.5462517791229</v>
          </cell>
          <cell r="BD139">
            <v>11654.26974985085</v>
          </cell>
        </row>
        <row r="140">
          <cell r="I140">
            <v>-2950.5392597258638</v>
          </cell>
          <cell r="U140">
            <v>135.28597821761377</v>
          </cell>
          <cell r="V140">
            <v>54.027652222535814</v>
          </cell>
          <cell r="AC140">
            <v>2388.496698160769</v>
          </cell>
          <cell r="AO140">
            <v>-109.51561183776364</v>
          </cell>
          <cell r="AP140">
            <v>-43.736028428543861</v>
          </cell>
          <cell r="BB140">
            <v>5933.2475811957393</v>
          </cell>
          <cell r="BD140">
            <v>11802.357130854709</v>
          </cell>
        </row>
        <row r="141">
          <cell r="I141">
            <v>-2840.8012080777098</v>
          </cell>
          <cell r="U141">
            <v>135.67485803171158</v>
          </cell>
          <cell r="V141">
            <v>52.018226565689631</v>
          </cell>
          <cell r="AC141">
            <v>2311.4484175749376</v>
          </cell>
          <cell r="AO141">
            <v>-110.39330559645603</v>
          </cell>
          <cell r="AP141">
            <v>-42.325188801816644</v>
          </cell>
          <cell r="BB141">
            <v>5297.0438770940627</v>
          </cell>
          <cell r="BD141">
            <v>11946.825105236312</v>
          </cell>
        </row>
        <row r="142">
          <cell r="I142">
            <v>-2920.0868085121524</v>
          </cell>
          <cell r="U142">
            <v>149.35590318022867</v>
          </cell>
          <cell r="V142">
            <v>53.47003400475586</v>
          </cell>
          <cell r="AC142">
            <v>2388.496698160769</v>
          </cell>
          <cell r="AO142">
            <v>-122.16625908411278</v>
          </cell>
          <cell r="AP142">
            <v>-43.736028428543861</v>
          </cell>
          <cell r="BB142">
            <v>4947.5547270126226</v>
          </cell>
          <cell r="BD142">
            <v>12089.572018328816</v>
          </cell>
        </row>
        <row r="143">
          <cell r="I143">
            <v>-2811.4490649150412</v>
          </cell>
          <cell r="U143">
            <v>117.54683900271401</v>
          </cell>
          <cell r="V143">
            <v>51.480756210888757</v>
          </cell>
          <cell r="AC143">
            <v>2311.4484175749376</v>
          </cell>
          <cell r="AO143">
            <v>-96.641784620760973</v>
          </cell>
          <cell r="AP143">
            <v>-42.325188801816637</v>
          </cell>
          <cell r="BB143">
            <v>3834.517429673509</v>
          </cell>
          <cell r="BD143">
            <v>12224.603389658256</v>
          </cell>
        </row>
        <row r="144">
          <cell r="I144">
            <v>-2889.8822616579996</v>
          </cell>
          <cell r="U144">
            <v>110.00855093477125</v>
          </cell>
          <cell r="V144">
            <v>52.916955191248704</v>
          </cell>
          <cell r="AC144">
            <v>2388.496698160769</v>
          </cell>
          <cell r="AO144">
            <v>-90.922410287539734</v>
          </cell>
          <cell r="AP144">
            <v>-43.736028428543861</v>
          </cell>
          <cell r="BB144">
            <v>1958.5426269879179</v>
          </cell>
          <cell r="BD144">
            <v>12345.300642564638</v>
          </cell>
        </row>
        <row r="145">
          <cell r="I145">
            <v>-2874.6270364984166</v>
          </cell>
          <cell r="U145">
            <v>109.65242965452951</v>
          </cell>
          <cell r="V145">
            <v>52.637615068326561</v>
          </cell>
          <cell r="AC145">
            <v>2388.496698160769</v>
          </cell>
          <cell r="AO145">
            <v>-91.109024875162802</v>
          </cell>
          <cell r="AP145">
            <v>-43.736028428543861</v>
          </cell>
          <cell r="BB145">
            <v>2057.9813796083545</v>
          </cell>
          <cell r="BD145">
            <v>12468.034147927519</v>
          </cell>
        </row>
        <row r="146">
          <cell r="I146">
            <v>-2767.6326135176505</v>
          </cell>
          <cell r="U146">
            <v>130.4768166860174</v>
          </cell>
          <cell r="V146">
            <v>50.678428300856538</v>
          </cell>
          <cell r="AC146">
            <v>2311.4484175749376</v>
          </cell>
          <cell r="AO146">
            <v>-108.97054398986502</v>
          </cell>
          <cell r="AP146">
            <v>-42.325188801816637</v>
          </cell>
          <cell r="BB146">
            <v>5649.3035184802084</v>
          </cell>
          <cell r="BD146">
            <v>12621.348991267072</v>
          </cell>
        </row>
        <row r="147">
          <cell r="I147">
            <v>-2844.7941444175544</v>
          </cell>
          <cell r="U147">
            <v>154.27032255834163</v>
          </cell>
          <cell r="V147">
            <v>52.091341666668114</v>
          </cell>
          <cell r="AC147">
            <v>2388.496698160769</v>
          </cell>
          <cell r="AO147">
            <v>-129.52577140875601</v>
          </cell>
          <cell r="AP147">
            <v>-43.736028428543861</v>
          </cell>
          <cell r="BB147">
            <v>5493.2434288918812</v>
          </cell>
          <cell r="BD147">
            <v>12774.599456799229</v>
          </cell>
        </row>
        <row r="148">
          <cell r="I148">
            <v>-2738.8786517812596</v>
          </cell>
          <cell r="U148">
            <v>131.41890540304436</v>
          </cell>
          <cell r="V148">
            <v>50.151911312616839</v>
          </cell>
          <cell r="AC148">
            <v>2311.4484175749376</v>
          </cell>
          <cell r="AO148">
            <v>-110.9096311133531</v>
          </cell>
          <cell r="AP148">
            <v>-42.325188801816637</v>
          </cell>
          <cell r="BB148">
            <v>6131.7998901489682</v>
          </cell>
          <cell r="BD148">
            <v>12934.613433851302</v>
          </cell>
        </row>
        <row r="149">
          <cell r="I149">
            <v>-2815.2061875418481</v>
          </cell>
          <cell r="U149">
            <v>130.44340888081229</v>
          </cell>
          <cell r="V149">
            <v>51.549553300766284</v>
          </cell>
          <cell r="AC149">
            <v>2388.496698160769</v>
          </cell>
          <cell r="AO149">
            <v>-110.67169885723474</v>
          </cell>
          <cell r="AP149">
            <v>-43.736028428543861</v>
          </cell>
          <cell r="BB149">
            <v>6778.9150341764689</v>
          </cell>
          <cell r="BD149">
            <v>13101.220837587985</v>
          </cell>
        </row>
        <row r="150">
          <cell r="I150">
            <v>-2800.2631697397942</v>
          </cell>
          <cell r="U150">
            <v>117.14581073834482</v>
          </cell>
          <cell r="V150">
            <v>51.275930041457563</v>
          </cell>
          <cell r="AC150">
            <v>2388.496698160769</v>
          </cell>
          <cell r="AO150">
            <v>-99.920030794070954</v>
          </cell>
          <cell r="AP150">
            <v>-43.736028428543861</v>
          </cell>
          <cell r="BB150">
            <v>5503.5532141467829</v>
          </cell>
          <cell r="BD150">
            <v>13258.982284634189</v>
          </cell>
        </row>
        <row r="151">
          <cell r="I151">
            <v>-2517.0256684132701</v>
          </cell>
          <cell r="U151">
            <v>107.39707792780487</v>
          </cell>
          <cell r="V151">
            <v>46.089536683834105</v>
          </cell>
          <cell r="AC151">
            <v>2157.3518564032752</v>
          </cell>
          <cell r="AO151">
            <v>-92.050426162676459</v>
          </cell>
          <cell r="AP151">
            <v>-39.503509548362203</v>
          </cell>
          <cell r="BB151">
            <v>4435.4889305309634</v>
          </cell>
          <cell r="BD151">
            <v>13409.36773507396</v>
          </cell>
        </row>
        <row r="152">
          <cell r="I152">
            <v>-2771.9965838768285</v>
          </cell>
          <cell r="U152">
            <v>127.11666006437434</v>
          </cell>
          <cell r="V152">
            <v>50.758337446989032</v>
          </cell>
          <cell r="AC152">
            <v>2388.496698160769</v>
          </cell>
          <cell r="AO152">
            <v>-109.53033802817777</v>
          </cell>
          <cell r="AP152">
            <v>-43.736028428543861</v>
          </cell>
          <cell r="BB152">
            <v>6149.1411230372969</v>
          </cell>
          <cell r="BD152">
            <v>13574.718406038213</v>
          </cell>
        </row>
        <row r="153">
          <cell r="I153">
            <v>-2668.7155708485834</v>
          </cell>
          <cell r="U153">
            <v>127.47789367026827</v>
          </cell>
          <cell r="V153">
            <v>48.867147341760727</v>
          </cell>
          <cell r="AC153">
            <v>2311.4484175749376</v>
          </cell>
          <cell r="AO153">
            <v>-110.41213189543232</v>
          </cell>
          <cell r="AP153">
            <v>-42.325188801816644</v>
          </cell>
          <cell r="BB153">
            <v>5504.6902549591314</v>
          </cell>
          <cell r="BD153">
            <v>13736.716435828279</v>
          </cell>
        </row>
        <row r="154">
          <cell r="I154">
            <v>-2743.009805652362</v>
          </cell>
          <cell r="U154">
            <v>140.00117266678464</v>
          </cell>
          <cell r="V154">
            <v>50.227557330167699</v>
          </cell>
          <cell r="AC154">
            <v>2388.496698160769</v>
          </cell>
          <cell r="AO154">
            <v>-121.90708832472558</v>
          </cell>
          <cell r="AP154">
            <v>-43.736028428543861</v>
          </cell>
          <cell r="BB154">
            <v>5138.7702561642727</v>
          </cell>
          <cell r="BD154">
            <v>13896.986456059522</v>
          </cell>
        </row>
        <row r="155">
          <cell r="I155">
            <v>-2640.7784765253805</v>
          </cell>
          <cell r="U155">
            <v>110.09908669831617</v>
          </cell>
          <cell r="V155">
            <v>48.355588103486973</v>
          </cell>
          <cell r="AC155">
            <v>2311.4484175749376</v>
          </cell>
          <cell r="AO155">
            <v>-96.368689001174133</v>
          </cell>
          <cell r="AP155">
            <v>-42.325188801816644</v>
          </cell>
          <cell r="BB155">
            <v>3970.7382908897343</v>
          </cell>
          <cell r="BD155">
            <v>14049.230328253199</v>
          </cell>
        </row>
        <row r="156">
          <cell r="I156">
            <v>-2714.2638016082205</v>
          </cell>
          <cell r="U156">
            <v>102.95947652991192</v>
          </cell>
          <cell r="V156">
            <v>49.701186056114977</v>
          </cell>
          <cell r="AC156">
            <v>2388.496698160769</v>
          </cell>
          <cell r="AO156">
            <v>-90.60223607976036</v>
          </cell>
          <cell r="AP156">
            <v>-43.736028428543868</v>
          </cell>
          <cell r="BB156">
            <v>2005.7114842444291</v>
          </cell>
          <cell r="BD156">
            <v>14186.477251345925</v>
          </cell>
        </row>
        <row r="157">
          <cell r="I157">
            <v>-2699.7470621350608</v>
          </cell>
          <cell r="U157">
            <v>102.616151448222</v>
          </cell>
          <cell r="V157">
            <v>49.435368426650889</v>
          </cell>
          <cell r="AC157">
            <v>2388.496698160769</v>
          </cell>
          <cell r="AO157">
            <v>-90.785667424047787</v>
          </cell>
          <cell r="AP157">
            <v>-43.736028428543868</v>
          </cell>
          <cell r="BB157">
            <v>2105.0428085081471</v>
          </cell>
          <cell r="BD157">
            <v>14325.93580404318</v>
          </cell>
        </row>
        <row r="158">
          <cell r="I158">
            <v>-2599.0831126065787</v>
          </cell>
          <cell r="U158">
            <v>122.61806134010331</v>
          </cell>
          <cell r="V158">
            <v>47.592099661951579</v>
          </cell>
          <cell r="AC158">
            <v>2311.4484175749376</v>
          </cell>
          <cell r="AO158">
            <v>-109.04819567945472</v>
          </cell>
          <cell r="AP158">
            <v>-42.325188801816637</v>
          </cell>
          <cell r="BB158">
            <v>5862.5097072002227</v>
          </cell>
          <cell r="BD158">
            <v>14497.626228413317</v>
          </cell>
        </row>
        <row r="159">
          <cell r="I159">
            <v>-2671.3619095726813</v>
          </cell>
          <cell r="U159">
            <v>144.97884821387072</v>
          </cell>
          <cell r="V159">
            <v>48.915604744175326</v>
          </cell>
          <cell r="AC159">
            <v>2388.496698160769</v>
          </cell>
          <cell r="AO159">
            <v>-129.62732568024589</v>
          </cell>
          <cell r="AP159">
            <v>-43.736028428543861</v>
          </cell>
          <cell r="BB159">
            <v>5709.4892944905023</v>
          </cell>
          <cell r="BD159">
            <v>14669.419670116777</v>
          </cell>
        </row>
        <row r="160">
          <cell r="I160">
            <v>-2571.7268120454014</v>
          </cell>
          <cell r="U160">
            <v>123.4794131332952</v>
          </cell>
          <cell r="V160">
            <v>47.091175402786902</v>
          </cell>
          <cell r="AC160">
            <v>2311.4484175749376</v>
          </cell>
          <cell r="AO160">
            <v>-110.98235347285342</v>
          </cell>
          <cell r="AP160">
            <v>-42.325188801816637</v>
          </cell>
          <cell r="BB160">
            <v>6344.9300651575286</v>
          </cell>
          <cell r="BD160">
            <v>14848.165863790051</v>
          </cell>
        </row>
        <row r="161">
          <cell r="I161">
            <v>-2643.2144976656323</v>
          </cell>
          <cell r="U161">
            <v>122.54957570087046</v>
          </cell>
          <cell r="V161">
            <v>48.400194357255138</v>
          </cell>
          <cell r="AC161">
            <v>2388.496698160769</v>
          </cell>
          <cell r="AO161">
            <v>-110.73988024091116</v>
          </cell>
          <cell r="AP161">
            <v>-43.736028428543861</v>
          </cell>
          <cell r="BB161">
            <v>7000.2015526666919</v>
          </cell>
          <cell r="BD161">
            <v>15033.746618378635</v>
          </cell>
        </row>
        <row r="162">
          <cell r="I162">
            <v>-2629.0007951885914</v>
          </cell>
          <cell r="U162">
            <v>110.07925153873991</v>
          </cell>
          <cell r="V162">
            <v>48.139925671897764</v>
          </cell>
          <cell r="AC162">
            <v>2388.496698160769</v>
          </cell>
          <cell r="AO162">
            <v>-100.00907162807769</v>
          </cell>
          <cell r="AP162">
            <v>-43.736028428543861</v>
          </cell>
          <cell r="BB162">
            <v>5724.8741077795721</v>
          </cell>
          <cell r="BD162">
            <v>15210.633810201867</v>
          </cell>
        </row>
        <row r="163">
          <cell r="I163">
            <v>-2362.9288971109781</v>
          </cell>
          <cell r="U163">
            <v>100.91644847485695</v>
          </cell>
          <cell r="V163">
            <v>43.267853582654368</v>
          </cell>
          <cell r="AC163">
            <v>2157.3518564032752</v>
          </cell>
          <cell r="AO163">
            <v>-92.1366223609364</v>
          </cell>
          <cell r="AP163">
            <v>-39.503509548362203</v>
          </cell>
          <cell r="BB163">
            <v>4634.7263076200143</v>
          </cell>
          <cell r="BD163">
            <v>15380.101331416412</v>
          </cell>
        </row>
        <row r="164">
          <cell r="I164">
            <v>-2602.1170994895938</v>
          </cell>
          <cell r="U164">
            <v>119.34225439224414</v>
          </cell>
          <cell r="V164">
            <v>47.647655332876113</v>
          </cell>
          <cell r="AC164">
            <v>2388.496698160769</v>
          </cell>
          <cell r="AO164">
            <v>-109.54487045292852</v>
          </cell>
          <cell r="AP164">
            <v>-43.736028428543854</v>
          </cell>
          <cell r="BB164">
            <v>6365.0346648788573</v>
          </cell>
          <cell r="BD164">
            <v>15564.840290122542</v>
          </cell>
        </row>
        <row r="165">
          <cell r="I165">
            <v>-2504.9934653588848</v>
          </cell>
          <cell r="U165">
            <v>119.67743363324423</v>
          </cell>
          <cell r="V165">
            <v>45.869213676793798</v>
          </cell>
          <cell r="AC165">
            <v>2311.4484175749376</v>
          </cell>
          <cell r="AO165">
            <v>-110.43071306030738</v>
          </cell>
          <cell r="AP165">
            <v>-42.325188801816644</v>
          </cell>
          <cell r="BB165">
            <v>5712.3366328241991</v>
          </cell>
          <cell r="BD165">
            <v>15746.382169166392</v>
          </cell>
        </row>
        <row r="166">
          <cell r="I166">
            <v>-2574.5529553615147</v>
          </cell>
          <cell r="U166">
            <v>131.13061359918277</v>
          </cell>
          <cell r="V166">
            <v>47.142925227064183</v>
          </cell>
          <cell r="AC166">
            <v>2388.496698160769</v>
          </cell>
          <cell r="AO166">
            <v>-121.65414463788487</v>
          </cell>
          <cell r="AP166">
            <v>-43.736028428543854</v>
          </cell>
          <cell r="BB166">
            <v>5329.9857853159265</v>
          </cell>
          <cell r="BD166">
            <v>15926.204707872243</v>
          </cell>
        </row>
        <row r="167">
          <cell r="I167">
            <v>-2478.4296959940525</v>
          </cell>
          <cell r="U167">
            <v>103.04749343404526</v>
          </cell>
          <cell r="V167">
            <v>45.382801544424439</v>
          </cell>
          <cell r="AC167">
            <v>2311.4484175749376</v>
          </cell>
          <cell r="AO167">
            <v>-96.104790068557719</v>
          </cell>
          <cell r="AP167">
            <v>-42.325188801816637</v>
          </cell>
          <cell r="BB167">
            <v>4106.959152105961</v>
          </cell>
          <cell r="BD167">
            <v>16097.708350525674</v>
          </cell>
        </row>
        <row r="168">
          <cell r="I168">
            <v>-2547.2223113033047</v>
          </cell>
          <cell r="U168">
            <v>96.297657477365618</v>
          </cell>
          <cell r="V168">
            <v>46.642470766976068</v>
          </cell>
          <cell r="AC168">
            <v>2388.496698160769</v>
          </cell>
          <cell r="AO168">
            <v>-90.297040782286444</v>
          </cell>
          <cell r="AP168">
            <v>-43.736028428543854</v>
          </cell>
          <cell r="BB168">
            <v>2052.880341500947</v>
          </cell>
          <cell r="BD168">
            <v>16253.562945682632</v>
          </cell>
        </row>
        <row r="169">
          <cell r="I169">
            <v>-2533.4220587569266</v>
          </cell>
          <cell r="U169">
            <v>95.967282239210149</v>
          </cell>
          <cell r="V169">
            <v>46.389772809237932</v>
          </cell>
          <cell r="AC169">
            <v>2388.496698160769</v>
          </cell>
          <cell r="AO169">
            <v>-90.477437806903026</v>
          </cell>
          <cell r="AP169">
            <v>-43.736028428543854</v>
          </cell>
          <cell r="BB169">
            <v>2152.1042374079457</v>
          </cell>
          <cell r="BD169">
            <v>16411.826532330793</v>
          </cell>
        </row>
        <row r="170">
          <cell r="I170">
            <v>-2438.7922350235008</v>
          </cell>
          <cell r="U170">
            <v>115.13705704559037</v>
          </cell>
          <cell r="V170">
            <v>44.65699559243032</v>
          </cell>
          <cell r="AC170">
            <v>2311.4484175749376</v>
          </cell>
          <cell r="AO170">
            <v>-109.12506792924928</v>
          </cell>
          <cell r="AP170">
            <v>-42.325188801816637</v>
          </cell>
          <cell r="BB170">
            <v>6075.7158959202388</v>
          </cell>
          <cell r="BD170">
            <v>16604.004030641823</v>
          </cell>
        </row>
        <row r="171">
          <cell r="I171">
            <v>-2506.4412562301404</v>
          </cell>
          <cell r="U171">
            <v>136.13380970200049</v>
          </cell>
          <cell r="V171">
            <v>45.895724336303012</v>
          </cell>
          <cell r="AC171">
            <v>2388.496698160769</v>
          </cell>
          <cell r="AO171">
            <v>-129.72781794628227</v>
          </cell>
          <cell r="AP171">
            <v>-43.736028428543861</v>
          </cell>
          <cell r="BB171">
            <v>5925.7351600891197</v>
          </cell>
          <cell r="BD171">
            <v>16796.469786069702</v>
          </cell>
        </row>
        <row r="172">
          <cell r="I172">
            <v>-2412.7915391192723</v>
          </cell>
          <cell r="U172">
            <v>115.92337963965389</v>
          </cell>
          <cell r="V172">
            <v>44.180893960761786</v>
          </cell>
          <cell r="AC172">
            <v>2311.4484175749376</v>
          </cell>
          <cell r="AO172">
            <v>-111.05431533709097</v>
          </cell>
          <cell r="AP172">
            <v>-42.325188801816637</v>
          </cell>
          <cell r="BB172">
            <v>6558.0602401660881</v>
          </cell>
          <cell r="BD172">
            <v>16996.100159566802</v>
          </cell>
        </row>
        <row r="173">
          <cell r="I173">
            <v>-2479.6908696299611</v>
          </cell>
          <cell r="U173">
            <v>115.03803662956778</v>
          </cell>
          <cell r="V173">
            <v>45.405895035001954</v>
          </cell>
          <cell r="AC173">
            <v>2388.496698160769</v>
          </cell>
          <cell r="AO173">
            <v>-110.80734861665368</v>
          </cell>
          <cell r="AP173">
            <v>-43.736028428543861</v>
          </cell>
          <cell r="BB173">
            <v>7221.4880711569176</v>
          </cell>
          <cell r="BD173">
            <v>17202.824787964102</v>
          </cell>
        </row>
        <row r="174">
          <cell r="I174">
            <v>-2466.1843177743617</v>
          </cell>
          <cell r="U174">
            <v>103.35318496047692</v>
          </cell>
          <cell r="V174">
            <v>45.15857506324609</v>
          </cell>
          <cell r="AC174">
            <v>2388.496698160769</v>
          </cell>
          <cell r="AO174">
            <v>-100.0974417213386</v>
          </cell>
          <cell r="AP174">
            <v>-43.736028428543861</v>
          </cell>
          <cell r="BB174">
            <v>5950.9719948086822</v>
          </cell>
          <cell r="BD174">
            <v>17401.071167185844</v>
          </cell>
        </row>
        <row r="175">
          <cell r="I175">
            <v>-2216.4432537685825</v>
          </cell>
          <cell r="U175">
            <v>94.748199867651977</v>
          </cell>
          <cell r="V175">
            <v>40.585538691229154</v>
          </cell>
          <cell r="AC175">
            <v>2157.3518564032752</v>
          </cell>
          <cell r="AO175">
            <v>-92.222169246968406</v>
          </cell>
          <cell r="AP175">
            <v>-39.503509548362203</v>
          </cell>
          <cell r="BB175">
            <v>4838.2783884218716</v>
          </cell>
          <cell r="BD175">
            <v>17591.870135185036</v>
          </cell>
        </row>
        <row r="176">
          <cell r="I176">
            <v>-2440.6412413124895</v>
          </cell>
          <cell r="U176">
            <v>111.9510584222547</v>
          </cell>
          <cell r="V176">
            <v>44.690852952033133</v>
          </cell>
          <cell r="AC176">
            <v>2388.496698160769</v>
          </cell>
          <cell r="AO176">
            <v>-109.55921291134268</v>
          </cell>
          <cell r="AP176">
            <v>-43.736028428543854</v>
          </cell>
          <cell r="BB176">
            <v>6585.7052001167367</v>
          </cell>
          <cell r="BD176">
            <v>17798.265310096154</v>
          </cell>
        </row>
        <row r="177">
          <cell r="I177">
            <v>-2349.3832999118936</v>
          </cell>
          <cell r="U177">
            <v>112.26171461508916</v>
          </cell>
          <cell r="V177">
            <v>43.019818647275564</v>
          </cell>
          <cell r="AC177">
            <v>2311.4484175749376</v>
          </cell>
          <cell r="AO177">
            <v>-110.44905384788781</v>
          </cell>
          <cell r="AP177">
            <v>-42.325188801816637</v>
          </cell>
          <cell r="BB177">
            <v>5924.6059075244148</v>
          </cell>
          <cell r="BD177">
            <v>18001.646644614193</v>
          </cell>
        </row>
        <row r="178">
          <cell r="I178">
            <v>-2414.4559125427381</v>
          </cell>
          <cell r="U178">
            <v>122.72671224946457</v>
          </cell>
          <cell r="V178">
            <v>44.211370487449244</v>
          </cell>
          <cell r="AC178">
            <v>2388.496698160769</v>
          </cell>
          <cell r="AO178">
            <v>-121.40720626174789</v>
          </cell>
          <cell r="AP178">
            <v>-43.736028428543861</v>
          </cell>
          <cell r="BB178">
            <v>5525.9783078638993</v>
          </cell>
          <cell r="BD178">
            <v>18203.336666753581</v>
          </cell>
        </row>
        <row r="179">
          <cell r="I179">
            <v>-2324.1503925717111</v>
          </cell>
          <cell r="U179">
            <v>96.376348148420064</v>
          </cell>
          <cell r="V179">
            <v>42.557776077313108</v>
          </cell>
          <cell r="AC179">
            <v>2311.4484175749376</v>
          </cell>
          <cell r="AO179">
            <v>-95.849630958183937</v>
          </cell>
          <cell r="AP179">
            <v>-42.325188801816637</v>
          </cell>
          <cell r="BB179">
            <v>4247.8029101573338</v>
          </cell>
          <cell r="BD179">
            <v>18396.434664591186</v>
          </cell>
        </row>
        <row r="180">
          <cell r="I180">
            <v>-2388.496698160769</v>
          </cell>
          <cell r="U180">
            <v>90.005797269839917</v>
          </cell>
          <cell r="V180">
            <v>43.736028428543861</v>
          </cell>
          <cell r="AC180">
            <v>2388.496698160769</v>
          </cell>
          <cell r="AO180">
            <v>-90.005797269839903</v>
          </cell>
          <cell r="AP180">
            <v>-43.736028428543868</v>
          </cell>
          <cell r="BB180">
            <v>2104.8261921537814</v>
          </cell>
          <cell r="BD180">
            <v>18573.24603933387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AJ110"/>
  <sheetViews>
    <sheetView tabSelected="1" zoomScale="40" zoomScaleNormal="40" zoomScaleSheetLayoutView="5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30" sqref="A30"/>
    </sheetView>
  </sheetViews>
  <sheetFormatPr defaultRowHeight="15.75"/>
  <cols>
    <col min="1" max="1" width="72" style="19" customWidth="1"/>
    <col min="2" max="2" width="6.140625" style="19" customWidth="1"/>
    <col min="3" max="3" width="34.140625" style="19" customWidth="1"/>
    <col min="4" max="4" width="24.85546875" style="19" customWidth="1"/>
    <col min="5" max="5" width="38.42578125" style="19" customWidth="1"/>
    <col min="6" max="6" width="6.140625" style="19" customWidth="1"/>
    <col min="7" max="7" width="42" style="19" customWidth="1"/>
    <col min="8" max="9" width="4.42578125" style="3" customWidth="1"/>
    <col min="10" max="10" width="28.5703125" style="3" customWidth="1"/>
    <col min="11" max="11" width="29.85546875" style="3" customWidth="1"/>
    <col min="12" max="12" width="11.5703125" style="5" customWidth="1"/>
    <col min="13" max="13" width="24.140625" style="33" customWidth="1"/>
    <col min="14" max="14" width="17" style="33" customWidth="1"/>
    <col min="15" max="15" width="2.140625" style="33" customWidth="1"/>
    <col min="16" max="16" width="12.42578125" style="33" customWidth="1"/>
    <col min="17" max="17" width="16" style="33" customWidth="1"/>
    <col min="18" max="18" width="19.140625" style="33" customWidth="1"/>
    <col min="19" max="19" width="20.42578125" style="33" customWidth="1"/>
    <col min="20" max="20" width="18.5703125" style="33" customWidth="1"/>
    <col min="21" max="21" width="9.140625" style="33"/>
    <col min="22" max="24" width="19.85546875" style="33" customWidth="1"/>
    <col min="25" max="25" width="13.5703125" style="33" customWidth="1"/>
    <col min="26" max="26" width="22.140625" style="33" customWidth="1"/>
    <col min="27" max="27" width="32.5703125" style="33" customWidth="1"/>
    <col min="28" max="28" width="20.7109375" style="33" customWidth="1"/>
    <col min="29" max="29" width="19.85546875" style="33" customWidth="1"/>
    <col min="30" max="30" width="14.42578125" style="33" customWidth="1"/>
    <col min="31" max="31" width="14.140625" style="33" customWidth="1"/>
    <col min="32" max="32" width="14.7109375" style="33" customWidth="1"/>
    <col min="33" max="33" width="13.28515625" style="33" customWidth="1"/>
    <col min="34" max="34" width="18.5703125" style="33" customWidth="1"/>
    <col min="35" max="35" width="14.42578125" style="33" customWidth="1"/>
    <col min="36" max="37" width="12.42578125" style="33" customWidth="1"/>
    <col min="38" max="16384" width="9.140625" style="33"/>
  </cols>
  <sheetData>
    <row r="1" spans="1:36" s="32" customFormat="1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4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</row>
    <row r="2" spans="1:36" ht="60.75">
      <c r="A2" s="1"/>
      <c r="B2" s="1"/>
      <c r="C2" s="36" t="s">
        <v>0</v>
      </c>
      <c r="D2" s="36"/>
      <c r="E2" s="1"/>
      <c r="F2" s="1"/>
      <c r="G2" s="1"/>
      <c r="H2" s="1"/>
      <c r="I2" s="1"/>
      <c r="J2" s="1"/>
      <c r="K2" s="1"/>
      <c r="L2" s="1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</row>
    <row r="3" spans="1:36" ht="72.75" customHeight="1">
      <c r="A3" s="2"/>
      <c r="B3" s="3"/>
      <c r="C3" s="3"/>
      <c r="D3" s="3"/>
      <c r="E3" s="3"/>
      <c r="F3" s="3"/>
      <c r="G3" s="153"/>
      <c r="J3" s="4" t="s">
        <v>1</v>
      </c>
      <c r="K3" s="6" t="s">
        <v>80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 spans="1:36" ht="21" customHeight="1">
      <c r="A4" s="3"/>
      <c r="B4" s="3"/>
      <c r="C4" s="3"/>
      <c r="D4" s="3"/>
      <c r="E4" s="3"/>
      <c r="F4" s="3"/>
      <c r="G4" s="3"/>
      <c r="J4" s="154" t="s">
        <v>45</v>
      </c>
      <c r="K4" s="154">
        <f ca="1">TODAY()</f>
        <v>41887</v>
      </c>
      <c r="L4" s="154"/>
      <c r="M4" s="34"/>
      <c r="N4" s="34"/>
      <c r="O4" s="34"/>
      <c r="P4" s="34"/>
      <c r="Q4" s="34"/>
      <c r="R4" s="34"/>
      <c r="S4" s="37"/>
      <c r="T4" s="38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 spans="1:36" ht="30">
      <c r="A5" s="2"/>
      <c r="B5" s="3"/>
      <c r="C5" s="3"/>
      <c r="D5" s="3"/>
      <c r="E5" s="3"/>
      <c r="F5" s="3"/>
      <c r="G5" s="3"/>
      <c r="L5" s="8"/>
      <c r="M5" s="34"/>
      <c r="N5" s="34"/>
      <c r="O5" s="34"/>
      <c r="P5" s="34"/>
      <c r="Q5" s="34"/>
      <c r="R5" s="34"/>
      <c r="S5" s="37"/>
      <c r="T5" s="38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</row>
    <row r="6" spans="1:36" ht="15.75" customHeight="1">
      <c r="A6" s="10"/>
      <c r="B6" s="3"/>
      <c r="C6" s="3"/>
      <c r="D6" s="3"/>
      <c r="E6" s="3"/>
      <c r="F6" s="3"/>
      <c r="G6" s="3"/>
      <c r="L6" s="9"/>
      <c r="M6" s="34"/>
      <c r="N6" s="34"/>
      <c r="O6" s="34"/>
      <c r="P6" s="34"/>
      <c r="Q6" s="34"/>
      <c r="R6" s="34"/>
      <c r="S6" s="37"/>
      <c r="T6" s="38"/>
      <c r="U6" s="34"/>
      <c r="V6" s="34"/>
      <c r="W6" s="34"/>
      <c r="X6" s="34"/>
      <c r="Y6" s="34"/>
      <c r="Z6" s="39"/>
      <c r="AA6" s="34"/>
      <c r="AB6" s="34"/>
      <c r="AC6" s="34"/>
      <c r="AD6" s="34"/>
      <c r="AE6" s="34"/>
      <c r="AF6" s="34"/>
      <c r="AG6" s="34"/>
      <c r="AH6" s="34"/>
    </row>
    <row r="7" spans="1:36" ht="31.5" customHeight="1">
      <c r="A7" s="10"/>
      <c r="B7" s="3"/>
      <c r="C7" s="97" t="s">
        <v>101</v>
      </c>
      <c r="D7" s="218"/>
      <c r="E7" s="97" t="s">
        <v>104</v>
      </c>
      <c r="F7" s="40"/>
      <c r="G7" s="97" t="s">
        <v>35</v>
      </c>
      <c r="H7" s="11"/>
      <c r="I7" s="11"/>
      <c r="J7" s="239" t="s">
        <v>2</v>
      </c>
      <c r="K7" s="240"/>
      <c r="L7" s="33"/>
      <c r="M7" s="34"/>
      <c r="N7" s="34"/>
      <c r="O7" s="41"/>
      <c r="P7" s="42"/>
      <c r="Q7" s="43"/>
      <c r="R7" s="42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</row>
    <row r="8" spans="1:36" s="46" customFormat="1" ht="18.75">
      <c r="A8" s="12"/>
      <c r="B8" s="7"/>
      <c r="C8" s="44" t="s">
        <v>33</v>
      </c>
      <c r="D8" s="13"/>
      <c r="E8" s="44" t="s">
        <v>33</v>
      </c>
      <c r="F8" s="13"/>
      <c r="G8" s="44" t="s">
        <v>28</v>
      </c>
      <c r="H8" s="13"/>
      <c r="I8" s="13"/>
      <c r="J8" s="44" t="s">
        <v>31</v>
      </c>
      <c r="K8" s="44" t="s">
        <v>100</v>
      </c>
      <c r="M8" s="47"/>
      <c r="N8" s="47"/>
      <c r="O8" s="47"/>
      <c r="P8" s="47"/>
      <c r="Q8" s="48"/>
      <c r="R8" s="13"/>
      <c r="S8" s="13"/>
      <c r="T8" s="49"/>
      <c r="U8" s="13"/>
      <c r="V8" s="47"/>
      <c r="W8" s="34"/>
      <c r="X8" s="14"/>
      <c r="Y8" s="14"/>
      <c r="Z8" s="14"/>
      <c r="AA8" s="14"/>
      <c r="AB8" s="14"/>
      <c r="AC8" s="47"/>
      <c r="AD8" s="47"/>
    </row>
    <row r="9" spans="1:36" ht="12.75" customHeight="1" thickBot="1">
      <c r="A9" s="14"/>
      <c r="B9" s="3"/>
      <c r="C9" s="98"/>
      <c r="D9" s="98"/>
      <c r="E9" s="14"/>
      <c r="F9" s="14"/>
      <c r="G9" s="117"/>
      <c r="J9" s="117"/>
      <c r="K9" s="117"/>
      <c r="L9" s="33"/>
      <c r="M9" s="34"/>
      <c r="N9" s="34"/>
      <c r="O9" s="34"/>
      <c r="P9" s="34"/>
      <c r="Q9" s="41"/>
      <c r="R9" s="14"/>
      <c r="S9" s="14"/>
      <c r="T9" s="14"/>
      <c r="U9" s="14"/>
      <c r="V9" s="34"/>
      <c r="W9" s="34"/>
      <c r="X9" s="34"/>
      <c r="Y9" s="34"/>
      <c r="Z9" s="34"/>
      <c r="AA9" s="34"/>
      <c r="AB9" s="34"/>
      <c r="AC9" s="34"/>
      <c r="AD9" s="34"/>
    </row>
    <row r="10" spans="1:36" s="32" customFormat="1" ht="30" customHeight="1" thickBot="1">
      <c r="A10" s="165" t="s">
        <v>48</v>
      </c>
      <c r="B10" s="2"/>
      <c r="C10" s="99"/>
      <c r="D10" s="99"/>
      <c r="E10" s="2"/>
      <c r="F10" s="2"/>
      <c r="G10" s="166"/>
      <c r="H10" s="15"/>
      <c r="I10" s="15"/>
      <c r="J10" s="166"/>
      <c r="K10" s="166"/>
      <c r="L10" s="35"/>
      <c r="M10" s="26"/>
      <c r="N10" s="35"/>
      <c r="O10" s="51"/>
      <c r="P10" s="51"/>
      <c r="Q10" s="51"/>
      <c r="R10" s="52"/>
      <c r="S10" s="52"/>
      <c r="T10" s="52"/>
      <c r="U10" s="35"/>
      <c r="V10" s="35"/>
      <c r="W10" s="53"/>
      <c r="X10" s="53"/>
      <c r="Y10" s="53"/>
      <c r="Z10" s="53"/>
      <c r="AA10" s="53"/>
      <c r="AB10" s="53"/>
      <c r="AC10" s="35"/>
      <c r="AD10" s="35"/>
    </row>
    <row r="11" spans="1:36" ht="12.75" customHeight="1">
      <c r="A11" s="17"/>
      <c r="B11" s="3"/>
      <c r="C11" s="100"/>
      <c r="D11" s="100"/>
      <c r="E11" s="18"/>
      <c r="F11" s="18"/>
      <c r="G11" s="100"/>
      <c r="H11" s="18"/>
      <c r="I11" s="18"/>
      <c r="J11" s="126"/>
      <c r="K11" s="126"/>
      <c r="L11" s="34"/>
      <c r="M11" s="14"/>
      <c r="N11" s="34"/>
      <c r="O11" s="53"/>
      <c r="P11" s="53"/>
      <c r="Q11" s="53"/>
      <c r="R11" s="41"/>
      <c r="S11" s="41"/>
      <c r="T11" s="41"/>
      <c r="U11" s="34"/>
      <c r="V11" s="34"/>
      <c r="W11" s="53"/>
      <c r="X11" s="53"/>
      <c r="Y11" s="53"/>
      <c r="Z11" s="53"/>
      <c r="AA11" s="53"/>
      <c r="AB11" s="53"/>
      <c r="AC11" s="34"/>
      <c r="AD11" s="34"/>
      <c r="AE11" s="32"/>
    </row>
    <row r="12" spans="1:36" s="32" customFormat="1" ht="30" customHeight="1">
      <c r="A12" s="85" t="s">
        <v>112</v>
      </c>
      <c r="B12" s="23"/>
      <c r="C12" s="101"/>
      <c r="D12" s="22"/>
      <c r="E12" s="22"/>
      <c r="F12" s="22"/>
      <c r="G12" s="139">
        <f>Americas!G12</f>
        <v>2275.0067979757305</v>
      </c>
      <c r="H12" s="68"/>
      <c r="I12" s="68"/>
      <c r="J12" s="30">
        <f>Americas!J12</f>
        <v>0</v>
      </c>
      <c r="K12" s="30">
        <f>Americas!K12</f>
        <v>0</v>
      </c>
      <c r="L12" s="22"/>
      <c r="M12" s="54"/>
      <c r="N12" s="54"/>
      <c r="O12" s="50"/>
      <c r="P12" s="26"/>
      <c r="Q12" s="26"/>
      <c r="R12" s="26"/>
      <c r="S12" s="35"/>
      <c r="T12" s="51"/>
      <c r="U12" s="51"/>
      <c r="V12" s="51"/>
      <c r="W12" s="52"/>
      <c r="X12" s="52"/>
      <c r="Y12" s="52"/>
      <c r="Z12" s="35"/>
      <c r="AA12" s="35"/>
      <c r="AB12" s="53"/>
      <c r="AC12" s="53"/>
      <c r="AD12" s="53"/>
      <c r="AE12" s="53"/>
      <c r="AF12" s="53"/>
      <c r="AG12" s="53"/>
      <c r="AH12" s="35"/>
      <c r="AI12" s="35"/>
    </row>
    <row r="13" spans="1:36" s="46" customFormat="1" ht="26.25">
      <c r="A13" s="86" t="s">
        <v>5</v>
      </c>
      <c r="B13" s="23"/>
      <c r="C13" s="102">
        <f>IF(ISNA([1]Summary!I15=TRUE),"-",([1]Summary!I15))</f>
        <v>122.79</v>
      </c>
      <c r="D13" s="81"/>
      <c r="E13" s="81"/>
      <c r="F13" s="81"/>
      <c r="G13" s="105">
        <f>IF(ISNA([1]Summary!M15=TRUE),"-",([1]Summary!M15))</f>
        <v>247.1</v>
      </c>
      <c r="H13" s="22"/>
      <c r="I13" s="22"/>
      <c r="J13" s="127"/>
      <c r="K13" s="215"/>
      <c r="L13" s="69"/>
      <c r="M13" s="56"/>
      <c r="N13" s="54"/>
      <c r="O13" s="50"/>
      <c r="P13" s="26"/>
      <c r="Q13" s="26"/>
      <c r="R13" s="26"/>
      <c r="S13" s="47"/>
      <c r="T13" s="51"/>
      <c r="U13" s="51"/>
      <c r="V13" s="51"/>
      <c r="W13" s="48"/>
      <c r="X13" s="48"/>
      <c r="Y13" s="48"/>
      <c r="Z13" s="47"/>
      <c r="AA13" s="47"/>
      <c r="AB13" s="53"/>
      <c r="AC13" s="53"/>
      <c r="AD13" s="53"/>
      <c r="AE13" s="53"/>
      <c r="AF13" s="53"/>
      <c r="AG13" s="53"/>
      <c r="AH13" s="47"/>
      <c r="AI13" s="47"/>
      <c r="AJ13" s="32"/>
    </row>
    <row r="14" spans="1:36" s="56" customFormat="1" ht="26.25">
      <c r="A14" s="86" t="s">
        <v>6</v>
      </c>
      <c r="B14" s="23"/>
      <c r="C14" s="103">
        <f>IF(ISNA([1]Summary!I16=TRUE),"-",([1]Summary!I16))</f>
        <v>10.68</v>
      </c>
      <c r="D14" s="22"/>
      <c r="E14" s="22"/>
      <c r="F14" s="22"/>
      <c r="G14" s="105">
        <f>IF(ISNA([1]Summary!M16=TRUE),"-",([1]Summary!M16))</f>
        <v>35.46</v>
      </c>
      <c r="H14" s="22"/>
      <c r="I14" s="22"/>
      <c r="J14" s="127"/>
      <c r="K14" s="215"/>
      <c r="L14" s="24"/>
      <c r="M14" s="54"/>
      <c r="N14" s="54"/>
      <c r="O14" s="50"/>
      <c r="P14" s="26"/>
      <c r="Q14" s="26"/>
      <c r="R14" s="26"/>
      <c r="S14" s="54"/>
      <c r="T14" s="51"/>
      <c r="U14" s="51"/>
      <c r="V14" s="51"/>
      <c r="W14" s="55"/>
      <c r="X14" s="55"/>
      <c r="Y14" s="55"/>
      <c r="Z14" s="54"/>
      <c r="AA14" s="54"/>
      <c r="AB14" s="53"/>
      <c r="AC14" s="53"/>
      <c r="AD14" s="53"/>
      <c r="AE14" s="53"/>
      <c r="AF14" s="53"/>
      <c r="AG14" s="53"/>
      <c r="AH14" s="54"/>
      <c r="AI14" s="54"/>
      <c r="AJ14" s="32"/>
    </row>
    <row r="15" spans="1:36" ht="12.75" customHeight="1">
      <c r="A15" s="87"/>
      <c r="B15" s="23"/>
      <c r="C15" s="104"/>
      <c r="D15" s="22"/>
      <c r="E15" s="22"/>
      <c r="F15" s="22"/>
      <c r="G15" s="104" t="s">
        <v>7</v>
      </c>
      <c r="H15" s="22"/>
      <c r="I15" s="22"/>
      <c r="J15" s="128"/>
      <c r="K15" s="128"/>
      <c r="L15" s="25"/>
      <c r="M15" s="56"/>
      <c r="N15" s="54"/>
      <c r="O15" s="14"/>
      <c r="P15" s="57"/>
      <c r="Q15" s="57"/>
      <c r="R15" s="57"/>
      <c r="S15" s="34"/>
      <c r="T15" s="53"/>
      <c r="U15" s="53"/>
      <c r="V15" s="53"/>
      <c r="W15" s="41"/>
      <c r="X15" s="41"/>
      <c r="Y15" s="41"/>
      <c r="Z15" s="34"/>
      <c r="AA15" s="34"/>
      <c r="AB15" s="53"/>
      <c r="AC15" s="53"/>
      <c r="AD15" s="53"/>
      <c r="AE15" s="53"/>
      <c r="AF15" s="53"/>
      <c r="AG15" s="53"/>
      <c r="AH15" s="34"/>
      <c r="AI15" s="34"/>
      <c r="AJ15" s="32"/>
    </row>
    <row r="16" spans="1:36" ht="30" customHeight="1">
      <c r="A16" s="222" t="s">
        <v>113</v>
      </c>
      <c r="B16" s="23"/>
      <c r="C16" s="104"/>
      <c r="D16" s="22"/>
      <c r="E16" s="22"/>
      <c r="F16" s="22"/>
      <c r="G16" s="104"/>
      <c r="H16" s="22"/>
      <c r="I16" s="22"/>
      <c r="J16" s="128"/>
      <c r="K16" s="128"/>
      <c r="L16" s="25"/>
      <c r="M16" s="56"/>
      <c r="N16" s="54"/>
      <c r="O16" s="14"/>
      <c r="P16" s="57"/>
      <c r="Q16" s="57"/>
      <c r="R16" s="57"/>
      <c r="S16" s="34"/>
      <c r="T16" s="53"/>
      <c r="U16" s="53"/>
      <c r="V16" s="53"/>
      <c r="W16" s="41"/>
      <c r="X16" s="41"/>
      <c r="Y16" s="41"/>
      <c r="Z16" s="34"/>
      <c r="AA16" s="34"/>
      <c r="AB16" s="53"/>
      <c r="AC16" s="53"/>
      <c r="AD16" s="53"/>
      <c r="AE16" s="53"/>
      <c r="AF16" s="53"/>
      <c r="AG16" s="53"/>
      <c r="AH16" s="34"/>
      <c r="AI16" s="34"/>
      <c r="AJ16" s="32"/>
    </row>
    <row r="17" spans="1:36" s="32" customFormat="1" ht="30" customHeight="1">
      <c r="A17" s="227" t="s">
        <v>25</v>
      </c>
      <c r="B17" s="23"/>
      <c r="C17" s="105">
        <f>Americas!C17</f>
        <v>-106</v>
      </c>
      <c r="D17" s="22" t="s">
        <v>20</v>
      </c>
      <c r="E17" s="228">
        <f>Americas!E17</f>
        <v>4.657</v>
      </c>
      <c r="F17" s="22"/>
      <c r="G17" s="118">
        <f>Americas!G17</f>
        <v>-2789.9196266781241</v>
      </c>
      <c r="H17" s="22"/>
      <c r="I17" s="22"/>
      <c r="J17" s="124">
        <f>Americas!J17</f>
        <v>4.5</v>
      </c>
      <c r="K17" s="124">
        <f>Americas!K17</f>
        <v>34.856850115866756</v>
      </c>
      <c r="L17" s="22"/>
      <c r="M17" s="56"/>
      <c r="N17" s="54"/>
      <c r="O17" s="50"/>
      <c r="P17" s="26"/>
      <c r="Q17" s="26"/>
      <c r="R17" s="26"/>
      <c r="S17" s="35"/>
      <c r="T17" s="51"/>
      <c r="U17" s="51"/>
      <c r="V17" s="51"/>
      <c r="W17" s="52"/>
      <c r="X17" s="52"/>
      <c r="Y17" s="52"/>
      <c r="Z17" s="35"/>
      <c r="AA17" s="35"/>
      <c r="AB17" s="53"/>
      <c r="AC17" s="53"/>
      <c r="AD17" s="53"/>
      <c r="AE17" s="53"/>
      <c r="AF17" s="53"/>
      <c r="AG17" s="53"/>
      <c r="AH17" s="35"/>
      <c r="AI17" s="35"/>
    </row>
    <row r="18" spans="1:36" s="32" customFormat="1" ht="30" customHeight="1">
      <c r="A18" s="227" t="s">
        <v>26</v>
      </c>
      <c r="B18" s="23"/>
      <c r="C18" s="105">
        <f>Americas!C18</f>
        <v>37.664336974631503</v>
      </c>
      <c r="D18" s="22" t="s">
        <v>27</v>
      </c>
      <c r="E18" s="105">
        <f>Americas!E18</f>
        <v>37.664336974631503</v>
      </c>
      <c r="F18" s="22"/>
      <c r="G18" s="118">
        <f>Americas!G18</f>
        <v>1889.1776774288035</v>
      </c>
      <c r="H18" s="22"/>
      <c r="I18" s="22"/>
      <c r="J18" s="101"/>
      <c r="K18" s="129"/>
      <c r="L18" s="22"/>
      <c r="M18" s="56"/>
      <c r="N18" s="54"/>
      <c r="O18" s="50"/>
      <c r="P18" s="26"/>
      <c r="Q18" s="26"/>
      <c r="R18" s="26"/>
      <c r="S18" s="35"/>
      <c r="T18" s="51"/>
      <c r="U18" s="51"/>
      <c r="V18" s="51"/>
      <c r="W18" s="52"/>
      <c r="X18" s="52"/>
      <c r="Y18" s="52"/>
      <c r="Z18" s="35"/>
      <c r="AA18" s="35"/>
      <c r="AB18" s="53"/>
      <c r="AC18" s="53"/>
      <c r="AD18" s="53"/>
      <c r="AE18" s="53"/>
      <c r="AF18" s="53"/>
      <c r="AG18" s="53"/>
      <c r="AH18" s="35"/>
      <c r="AI18" s="35"/>
    </row>
    <row r="19" spans="1:36" s="32" customFormat="1" ht="30" customHeight="1">
      <c r="A19" s="89"/>
      <c r="B19" s="23"/>
      <c r="C19" s="101"/>
      <c r="D19" s="22"/>
      <c r="E19" s="22"/>
      <c r="F19" s="22"/>
      <c r="G19" s="119"/>
      <c r="H19" s="22"/>
      <c r="I19" s="22"/>
      <c r="J19" s="119"/>
      <c r="K19" s="119"/>
      <c r="L19" s="22"/>
      <c r="M19" s="56"/>
      <c r="N19" s="54"/>
      <c r="O19" s="50"/>
      <c r="P19" s="26"/>
      <c r="Q19" s="26"/>
      <c r="R19" s="26"/>
      <c r="S19" s="35"/>
      <c r="T19" s="51"/>
      <c r="U19" s="51"/>
      <c r="V19" s="51"/>
      <c r="W19" s="52"/>
      <c r="X19" s="52"/>
      <c r="Y19" s="52"/>
      <c r="Z19" s="35"/>
      <c r="AA19" s="35"/>
      <c r="AB19" s="53"/>
      <c r="AC19" s="53"/>
      <c r="AD19" s="53"/>
      <c r="AE19" s="53"/>
      <c r="AF19" s="53"/>
      <c r="AG19" s="53"/>
      <c r="AH19" s="35"/>
      <c r="AI19" s="35"/>
    </row>
    <row r="20" spans="1:36" s="32" customFormat="1" ht="30" customHeight="1">
      <c r="A20" s="222" t="s">
        <v>114</v>
      </c>
      <c r="B20" s="23"/>
      <c r="C20" s="101"/>
      <c r="D20" s="22"/>
      <c r="E20" s="22"/>
      <c r="F20" s="22"/>
      <c r="H20" s="22"/>
      <c r="I20" s="22"/>
      <c r="J20" s="119"/>
      <c r="K20" s="119"/>
      <c r="L20" s="22"/>
      <c r="M20" s="56"/>
      <c r="N20" s="54"/>
      <c r="O20" s="50"/>
      <c r="P20" s="26"/>
      <c r="Q20" s="26"/>
      <c r="R20" s="26"/>
      <c r="S20" s="35"/>
      <c r="T20" s="51"/>
      <c r="U20" s="51"/>
      <c r="V20" s="51"/>
      <c r="W20" s="52"/>
      <c r="X20" s="52"/>
      <c r="Y20" s="52"/>
      <c r="Z20" s="35"/>
      <c r="AA20" s="35"/>
      <c r="AB20" s="53"/>
      <c r="AC20" s="53"/>
      <c r="AD20" s="53"/>
      <c r="AE20" s="53"/>
      <c r="AF20" s="53"/>
      <c r="AG20" s="53"/>
      <c r="AH20" s="35"/>
      <c r="AI20" s="35"/>
    </row>
    <row r="21" spans="1:36" s="32" customFormat="1" ht="30" customHeight="1">
      <c r="A21" s="227" t="s">
        <v>58</v>
      </c>
      <c r="B21" s="23"/>
      <c r="C21" s="105">
        <f>Americas!C21</f>
        <v>403.34774886682652</v>
      </c>
      <c r="D21" s="22" t="s">
        <v>20</v>
      </c>
      <c r="E21" s="101"/>
      <c r="F21" s="22"/>
      <c r="G21" s="230">
        <f>Americas!G21</f>
        <v>1921.6062691913016</v>
      </c>
      <c r="H21" s="22"/>
      <c r="I21" s="22"/>
      <c r="J21" s="124">
        <f>Americas!J21</f>
        <v>33.979999999999997</v>
      </c>
      <c r="K21" s="124">
        <f>Americas!K21</f>
        <v>263.20794820825603</v>
      </c>
      <c r="L21" s="22"/>
      <c r="M21" s="56"/>
      <c r="N21" s="54"/>
      <c r="O21" s="50"/>
      <c r="P21" s="26"/>
      <c r="Q21" s="26"/>
      <c r="R21" s="26"/>
      <c r="S21" s="35"/>
      <c r="T21" s="51"/>
      <c r="U21" s="51"/>
      <c r="V21" s="51"/>
      <c r="W21" s="52"/>
      <c r="X21" s="52"/>
      <c r="Y21" s="52"/>
      <c r="Z21" s="35"/>
      <c r="AA21" s="35"/>
      <c r="AB21" s="53"/>
      <c r="AC21" s="53"/>
      <c r="AD21" s="53"/>
      <c r="AE21" s="53"/>
      <c r="AF21" s="53"/>
      <c r="AG21" s="53"/>
      <c r="AH21" s="35"/>
      <c r="AI21" s="35"/>
    </row>
    <row r="22" spans="1:36" s="32" customFormat="1" ht="30" customHeight="1">
      <c r="A22" s="227" t="s">
        <v>26</v>
      </c>
      <c r="B22" s="23"/>
      <c r="C22" s="105">
        <f>Americas!C22</f>
        <v>-23.894483256206581</v>
      </c>
      <c r="D22" s="22" t="s">
        <v>27</v>
      </c>
      <c r="E22" s="101"/>
      <c r="F22" s="22"/>
      <c r="G22" s="230">
        <f>Americas!G22</f>
        <v>-1149.2946137046247</v>
      </c>
      <c r="H22" s="22"/>
      <c r="I22" s="22"/>
      <c r="J22" s="124">
        <f>Americas!J22</f>
        <v>42</v>
      </c>
      <c r="K22" s="124">
        <f>Americas!K22</f>
        <v>325.33060108142303</v>
      </c>
      <c r="L22" s="22"/>
      <c r="M22" s="56"/>
      <c r="N22" s="54"/>
      <c r="O22" s="50"/>
      <c r="P22" s="26"/>
      <c r="Q22" s="26"/>
      <c r="R22" s="26"/>
      <c r="S22" s="35"/>
      <c r="T22" s="51"/>
      <c r="U22" s="51"/>
      <c r="V22" s="51"/>
      <c r="W22" s="52"/>
      <c r="X22" s="52"/>
      <c r="Y22" s="52"/>
      <c r="Z22" s="35"/>
      <c r="AA22" s="35"/>
      <c r="AB22" s="53"/>
      <c r="AC22" s="53"/>
      <c r="AD22" s="53"/>
      <c r="AE22" s="53"/>
      <c r="AF22" s="53"/>
      <c r="AG22" s="53"/>
      <c r="AH22" s="35"/>
      <c r="AI22" s="35"/>
    </row>
    <row r="23" spans="1:36" s="35" customFormat="1" ht="30" customHeight="1">
      <c r="A23" s="235"/>
      <c r="B23" s="27"/>
      <c r="C23" s="101"/>
      <c r="D23" s="22"/>
      <c r="E23" s="101"/>
      <c r="F23" s="22"/>
      <c r="G23" s="236"/>
      <c r="H23" s="22"/>
      <c r="I23" s="22"/>
      <c r="J23" s="129"/>
      <c r="K23" s="129"/>
      <c r="L23" s="22"/>
      <c r="M23" s="54"/>
      <c r="N23" s="54"/>
      <c r="O23" s="50"/>
      <c r="P23" s="26"/>
      <c r="Q23" s="26"/>
      <c r="R23" s="26"/>
      <c r="T23" s="51"/>
      <c r="U23" s="51"/>
      <c r="V23" s="51"/>
      <c r="W23" s="52"/>
      <c r="X23" s="52"/>
      <c r="Y23" s="52"/>
      <c r="AB23" s="53"/>
      <c r="AC23" s="53"/>
      <c r="AD23" s="53"/>
      <c r="AE23" s="53"/>
      <c r="AF23" s="53"/>
      <c r="AG23" s="53"/>
    </row>
    <row r="24" spans="1:36" s="32" customFormat="1" ht="30" customHeight="1">
      <c r="A24" s="222" t="s">
        <v>111</v>
      </c>
      <c r="B24" s="23"/>
      <c r="C24" s="101"/>
      <c r="D24" s="22"/>
      <c r="E24" s="22"/>
      <c r="F24" s="22"/>
      <c r="G24" s="232" t="s">
        <v>7</v>
      </c>
      <c r="H24" s="22"/>
      <c r="I24" s="22"/>
      <c r="J24" s="119"/>
      <c r="K24" s="119"/>
      <c r="L24" s="22"/>
      <c r="M24" s="56"/>
      <c r="N24" s="54"/>
      <c r="O24" s="50"/>
      <c r="P24" s="26"/>
      <c r="Q24" s="26"/>
      <c r="R24" s="26"/>
      <c r="S24" s="35"/>
      <c r="T24" s="51"/>
      <c r="U24" s="51"/>
      <c r="V24" s="51"/>
      <c r="W24" s="52"/>
      <c r="X24" s="52"/>
      <c r="Y24" s="52"/>
      <c r="Z24" s="35"/>
      <c r="AA24" s="35"/>
      <c r="AB24" s="53"/>
      <c r="AC24" s="53"/>
      <c r="AD24" s="53"/>
      <c r="AE24" s="53"/>
      <c r="AF24" s="53"/>
      <c r="AG24" s="53"/>
      <c r="AH24" s="35"/>
      <c r="AI24" s="35"/>
    </row>
    <row r="25" spans="1:36" s="32" customFormat="1" ht="30" customHeight="1">
      <c r="A25" s="227" t="s">
        <v>110</v>
      </c>
      <c r="B25" s="23"/>
      <c r="C25" s="101"/>
      <c r="D25" s="22"/>
      <c r="E25" s="22"/>
      <c r="F25" s="22"/>
      <c r="G25" s="238">
        <f>Americas!G25</f>
        <v>129.72651254904483</v>
      </c>
      <c r="H25" s="22"/>
      <c r="I25" s="22"/>
      <c r="J25" s="119"/>
      <c r="K25" s="119"/>
      <c r="L25" s="22"/>
      <c r="M25" s="56"/>
      <c r="N25" s="54"/>
      <c r="O25" s="50"/>
      <c r="P25" s="26"/>
      <c r="Q25" s="26"/>
      <c r="R25" s="26"/>
      <c r="S25" s="35"/>
      <c r="T25" s="51"/>
      <c r="U25" s="51"/>
      <c r="V25" s="51"/>
      <c r="W25" s="52"/>
      <c r="X25" s="52"/>
      <c r="Y25" s="52"/>
      <c r="Z25" s="35"/>
      <c r="AA25" s="35"/>
      <c r="AB25" s="53"/>
      <c r="AC25" s="53"/>
      <c r="AD25" s="53"/>
      <c r="AE25" s="53"/>
      <c r="AF25" s="53"/>
      <c r="AG25" s="53"/>
      <c r="AH25" s="35"/>
      <c r="AI25" s="35"/>
    </row>
    <row r="26" spans="1:36" s="32" customFormat="1" ht="27.75" customHeight="1">
      <c r="A26" s="227" t="s">
        <v>114</v>
      </c>
      <c r="B26" s="23"/>
      <c r="C26" s="101"/>
      <c r="D26" s="22"/>
      <c r="E26" s="22"/>
      <c r="F26" s="22"/>
      <c r="G26" s="238">
        <f>Americas!G26</f>
        <v>772.31165548667695</v>
      </c>
      <c r="H26" s="22"/>
      <c r="I26" s="22"/>
      <c r="J26" s="119"/>
      <c r="K26" s="119"/>
      <c r="L26" s="22"/>
      <c r="M26" s="56"/>
      <c r="N26" s="54"/>
      <c r="O26" s="50"/>
      <c r="P26" s="26"/>
      <c r="Q26" s="26"/>
      <c r="R26" s="26"/>
      <c r="S26" s="35"/>
      <c r="T26" s="51"/>
      <c r="U26" s="51"/>
      <c r="V26" s="51"/>
      <c r="W26" s="52"/>
      <c r="X26" s="52"/>
      <c r="Y26" s="52"/>
      <c r="Z26" s="35"/>
      <c r="AA26" s="35"/>
      <c r="AB26" s="53"/>
      <c r="AC26" s="53"/>
      <c r="AD26" s="53"/>
      <c r="AE26" s="53"/>
      <c r="AF26" s="53"/>
      <c r="AG26" s="53"/>
      <c r="AH26" s="35"/>
      <c r="AI26" s="35"/>
    </row>
    <row r="27" spans="1:36" s="32" customFormat="1" ht="27.75" customHeight="1">
      <c r="A27" s="227" t="s">
        <v>115</v>
      </c>
      <c r="B27" s="23"/>
      <c r="C27" s="101"/>
      <c r="D27" s="22"/>
      <c r="E27" s="22"/>
      <c r="F27" s="22"/>
      <c r="G27" s="238">
        <f>Americas!G27</f>
        <v>1351.3989237026526</v>
      </c>
      <c r="H27" s="22"/>
      <c r="I27" s="22"/>
      <c r="J27" s="119"/>
      <c r="K27" s="119"/>
      <c r="L27" s="22"/>
      <c r="M27" s="56"/>
      <c r="N27" s="54"/>
      <c r="O27" s="50"/>
      <c r="P27" s="26"/>
      <c r="Q27" s="26"/>
      <c r="R27" s="26"/>
      <c r="S27" s="35"/>
      <c r="T27" s="51"/>
      <c r="U27" s="51"/>
      <c r="V27" s="51"/>
      <c r="W27" s="52"/>
      <c r="X27" s="52"/>
      <c r="Y27" s="52"/>
      <c r="Z27" s="35"/>
      <c r="AA27" s="35"/>
      <c r="AB27" s="53"/>
      <c r="AC27" s="53"/>
      <c r="AD27" s="53"/>
      <c r="AE27" s="53"/>
      <c r="AF27" s="53"/>
      <c r="AG27" s="53"/>
      <c r="AH27" s="35"/>
      <c r="AI27" s="35"/>
    </row>
    <row r="28" spans="1:36" s="56" customFormat="1" ht="26.25">
      <c r="A28" s="227" t="s">
        <v>106</v>
      </c>
      <c r="B28" s="23"/>
      <c r="C28" s="101" t="s">
        <v>7</v>
      </c>
      <c r="D28" s="22"/>
      <c r="E28" s="22"/>
      <c r="F28" s="22"/>
      <c r="G28" s="238">
        <f>Americas!G28</f>
        <v>150</v>
      </c>
      <c r="H28" s="22"/>
      <c r="I28" s="22"/>
      <c r="J28" s="152"/>
      <c r="K28" s="152"/>
      <c r="L28" s="22"/>
      <c r="M28" s="54"/>
      <c r="N28" s="54"/>
      <c r="O28" s="50"/>
      <c r="P28" s="26"/>
      <c r="Q28" s="26"/>
      <c r="R28" s="26"/>
      <c r="S28" s="54"/>
      <c r="T28" s="51"/>
      <c r="U28" s="51"/>
      <c r="V28" s="51"/>
      <c r="W28" s="55"/>
      <c r="X28" s="55"/>
      <c r="Y28" s="55"/>
      <c r="Z28" s="54"/>
      <c r="AA28" s="54"/>
      <c r="AB28" s="53"/>
      <c r="AC28" s="53"/>
      <c r="AD28" s="53"/>
      <c r="AE28" s="53"/>
      <c r="AF28" s="53"/>
      <c r="AG28" s="53"/>
      <c r="AH28" s="54"/>
      <c r="AI28" s="54"/>
      <c r="AJ28" s="32"/>
    </row>
    <row r="29" spans="1:36" s="56" customFormat="1" ht="26.25">
      <c r="A29" s="90"/>
      <c r="B29" s="23"/>
      <c r="C29" s="101"/>
      <c r="D29" s="22"/>
      <c r="E29" s="22"/>
      <c r="F29" s="22"/>
      <c r="G29" s="120"/>
      <c r="H29" s="22"/>
      <c r="I29" s="119"/>
      <c r="J29" s="152"/>
      <c r="K29" s="152"/>
      <c r="L29" s="22"/>
      <c r="M29" s="54"/>
      <c r="N29" s="54"/>
      <c r="O29" s="50"/>
      <c r="P29" s="26"/>
      <c r="Q29" s="26"/>
      <c r="R29" s="26"/>
      <c r="S29" s="54"/>
      <c r="T29" s="51"/>
      <c r="U29" s="51"/>
      <c r="V29" s="51"/>
      <c r="W29" s="55"/>
      <c r="X29" s="55"/>
      <c r="Y29" s="55"/>
      <c r="Z29" s="54"/>
      <c r="AA29" s="54"/>
      <c r="AB29" s="53"/>
      <c r="AC29" s="53"/>
      <c r="AD29" s="53"/>
      <c r="AE29" s="53"/>
      <c r="AF29" s="53"/>
      <c r="AG29" s="53"/>
      <c r="AH29" s="54"/>
      <c r="AI29" s="54"/>
      <c r="AJ29" s="32"/>
    </row>
    <row r="30" spans="1:36" s="54" customFormat="1" ht="26.25">
      <c r="A30" s="88" t="s">
        <v>29</v>
      </c>
      <c r="B30" s="27"/>
      <c r="C30" s="106">
        <f>Americas!C30</f>
        <v>311000</v>
      </c>
      <c r="D30" s="84" t="s">
        <v>30</v>
      </c>
      <c r="E30" s="22"/>
      <c r="F30" s="84"/>
      <c r="G30" s="119"/>
      <c r="H30" s="77"/>
      <c r="I30" s="22"/>
      <c r="J30" s="119"/>
      <c r="K30" s="119"/>
      <c r="L30" s="77"/>
      <c r="O30" s="50"/>
      <c r="P30" s="26"/>
      <c r="Q30" s="26"/>
      <c r="R30" s="26"/>
      <c r="T30" s="51"/>
      <c r="U30" s="51"/>
      <c r="V30" s="51"/>
      <c r="W30" s="55"/>
      <c r="X30" s="55"/>
      <c r="Y30" s="55"/>
      <c r="AB30" s="53"/>
      <c r="AC30" s="53"/>
      <c r="AD30" s="53"/>
      <c r="AE30" s="53"/>
      <c r="AF30" s="53"/>
      <c r="AG30" s="53"/>
      <c r="AJ30" s="32"/>
    </row>
    <row r="31" spans="1:36" ht="26.25">
      <c r="A31" s="92"/>
      <c r="B31" s="23"/>
      <c r="C31" s="96"/>
      <c r="D31" s="96"/>
      <c r="E31" s="27"/>
      <c r="F31" s="27"/>
      <c r="G31" s="96"/>
      <c r="H31" s="21"/>
      <c r="I31" s="21"/>
      <c r="J31" s="131"/>
      <c r="K31" s="131"/>
      <c r="L31" s="56"/>
      <c r="M31" s="34"/>
      <c r="N31" s="34"/>
      <c r="O31" s="53"/>
      <c r="P31" s="53"/>
      <c r="Q31" s="53"/>
      <c r="R31" s="34"/>
      <c r="S31" s="34"/>
      <c r="T31" s="34"/>
      <c r="U31" s="34"/>
      <c r="V31" s="34"/>
      <c r="W31" s="53"/>
      <c r="X31" s="53"/>
      <c r="Y31" s="53"/>
      <c r="Z31" s="53"/>
      <c r="AA31" s="53"/>
      <c r="AB31" s="53"/>
      <c r="AC31" s="35"/>
      <c r="AD31" s="34"/>
      <c r="AE31" s="32"/>
    </row>
    <row r="32" spans="1:36" s="46" customFormat="1" ht="26.25">
      <c r="A32" s="86" t="s">
        <v>5</v>
      </c>
      <c r="B32" s="23"/>
      <c r="C32" s="103"/>
      <c r="D32" s="101"/>
      <c r="E32" s="81"/>
      <c r="F32" s="81"/>
      <c r="G32" s="103"/>
      <c r="H32" s="22"/>
      <c r="I32" s="22"/>
      <c r="J32" s="127"/>
      <c r="K32" s="127"/>
      <c r="L32" s="56"/>
      <c r="M32" s="26"/>
      <c r="N32" s="47"/>
      <c r="O32" s="51"/>
      <c r="P32" s="51"/>
      <c r="Q32" s="51"/>
      <c r="R32" s="48"/>
      <c r="S32" s="48"/>
      <c r="T32" s="48"/>
      <c r="U32" s="47"/>
      <c r="V32" s="47"/>
      <c r="W32" s="53"/>
      <c r="X32" s="53"/>
      <c r="Y32" s="53"/>
      <c r="Z32" s="53"/>
      <c r="AA32" s="53"/>
      <c r="AB32" s="53"/>
      <c r="AC32" s="47"/>
      <c r="AD32" s="47"/>
      <c r="AE32" s="32"/>
    </row>
    <row r="33" spans="1:32" s="56" customFormat="1" ht="26.25">
      <c r="A33" s="86" t="s">
        <v>6</v>
      </c>
      <c r="B33" s="23"/>
      <c r="C33" s="103"/>
      <c r="D33" s="101"/>
      <c r="E33" s="22"/>
      <c r="F33" s="22"/>
      <c r="G33" s="103"/>
      <c r="H33" s="22"/>
      <c r="I33" s="22"/>
      <c r="J33" s="127"/>
      <c r="K33" s="127"/>
      <c r="L33" s="54"/>
      <c r="M33" s="26"/>
      <c r="N33" s="54"/>
      <c r="O33" s="51"/>
      <c r="P33" s="51"/>
      <c r="Q33" s="51"/>
      <c r="R33" s="55"/>
      <c r="S33" s="55"/>
      <c r="T33" s="55"/>
      <c r="U33" s="54"/>
      <c r="V33" s="54"/>
      <c r="W33" s="53"/>
      <c r="X33" s="53"/>
      <c r="Y33" s="53"/>
      <c r="Z33" s="53"/>
      <c r="AA33" s="53"/>
      <c r="AB33" s="53"/>
      <c r="AC33" s="54"/>
      <c r="AD33" s="54"/>
      <c r="AE33" s="32"/>
    </row>
    <row r="34" spans="1:32" ht="7.5" customHeight="1">
      <c r="A34" s="92"/>
      <c r="B34" s="23"/>
      <c r="C34" s="96"/>
      <c r="D34" s="96"/>
      <c r="E34" s="27"/>
      <c r="F34" s="27"/>
      <c r="G34" s="96"/>
      <c r="H34" s="21"/>
      <c r="I34" s="96"/>
      <c r="J34" s="21"/>
      <c r="K34" s="21"/>
      <c r="L34" s="56"/>
      <c r="M34" s="34"/>
      <c r="N34" s="34"/>
      <c r="O34" s="34"/>
      <c r="P34" s="53"/>
      <c r="Q34" s="53"/>
      <c r="R34" s="53"/>
      <c r="S34" s="34"/>
      <c r="T34" s="34"/>
      <c r="U34" s="34"/>
      <c r="V34" s="34"/>
      <c r="W34" s="34"/>
      <c r="X34" s="53"/>
      <c r="Y34" s="53"/>
      <c r="Z34" s="53"/>
      <c r="AA34" s="53"/>
      <c r="AB34" s="53"/>
      <c r="AC34" s="53"/>
      <c r="AD34" s="35"/>
      <c r="AE34" s="34"/>
      <c r="AF34" s="32"/>
    </row>
    <row r="35" spans="1:32" ht="22.5">
      <c r="A35" s="22"/>
      <c r="B35" s="23"/>
      <c r="C35" s="115"/>
      <c r="D35" s="23"/>
      <c r="E35" s="23"/>
      <c r="F35" s="23"/>
      <c r="G35" s="23"/>
      <c r="H35" s="21"/>
      <c r="I35" s="21"/>
      <c r="J35" s="225"/>
      <c r="K35" s="225"/>
      <c r="L35" s="21"/>
    </row>
    <row r="36" spans="1:32" ht="23.25">
      <c r="A36" s="91" t="s">
        <v>10</v>
      </c>
      <c r="B36" s="27"/>
      <c r="C36" s="107"/>
      <c r="D36" s="107"/>
      <c r="E36" s="79"/>
      <c r="F36" s="79"/>
      <c r="G36" s="30">
        <f>Europe!E13</f>
        <v>-164.27479299999999</v>
      </c>
      <c r="H36" s="70"/>
      <c r="I36" s="70"/>
      <c r="J36" s="139">
        <f>Europe!H13</f>
        <v>1.5305949999999999</v>
      </c>
      <c r="K36" s="139">
        <f>Europe!I13</f>
        <v>14.520499125796261</v>
      </c>
      <c r="L36" s="56"/>
    </row>
    <row r="37" spans="1:32" ht="23.25">
      <c r="A37" s="89"/>
      <c r="B37" s="76"/>
      <c r="C37" s="108"/>
      <c r="D37" s="108"/>
      <c r="E37" s="23"/>
      <c r="F37" s="80"/>
      <c r="G37" s="121"/>
      <c r="H37" s="72"/>
      <c r="I37" s="72"/>
      <c r="J37" s="129"/>
      <c r="K37" s="129"/>
      <c r="L37" s="56"/>
    </row>
    <row r="38" spans="1:32" ht="22.5">
      <c r="A38" s="88" t="s">
        <v>8</v>
      </c>
      <c r="B38" s="23"/>
      <c r="C38" s="105">
        <f>Europe!C15</f>
        <v>-28</v>
      </c>
      <c r="D38" s="22" t="s">
        <v>20</v>
      </c>
      <c r="E38" s="23"/>
      <c r="F38" s="22"/>
      <c r="G38" s="119"/>
      <c r="H38" s="22"/>
      <c r="I38" s="22"/>
      <c r="J38" s="118">
        <f>Europe!H15</f>
        <v>1.0868169999999999</v>
      </c>
      <c r="K38" s="118">
        <f>Europe!I15</f>
        <v>10.310451359373651</v>
      </c>
      <c r="L38" s="56"/>
    </row>
    <row r="39" spans="1:32" ht="22.5">
      <c r="A39" s="88" t="s">
        <v>9</v>
      </c>
      <c r="B39" s="23"/>
      <c r="C39" s="105">
        <f>Europe!C16</f>
        <v>3.6</v>
      </c>
      <c r="D39" s="22" t="s">
        <v>27</v>
      </c>
      <c r="E39" s="23"/>
      <c r="F39" s="22"/>
      <c r="G39" s="119"/>
      <c r="H39" s="22"/>
      <c r="I39" s="22"/>
      <c r="J39" s="118">
        <f>Europe!H16</f>
        <v>1.0695300000000001</v>
      </c>
      <c r="K39" s="118">
        <f>Europe!I16</f>
        <v>10.146452477639661</v>
      </c>
      <c r="L39" s="56"/>
    </row>
    <row r="40" spans="1:32" ht="22.5">
      <c r="A40" s="89"/>
      <c r="B40" s="23"/>
      <c r="C40" s="101"/>
      <c r="D40" s="22"/>
      <c r="E40" s="23"/>
      <c r="F40" s="22"/>
      <c r="G40" s="119"/>
      <c r="H40" s="22"/>
      <c r="I40" s="22"/>
      <c r="J40" s="119"/>
      <c r="K40" s="119"/>
      <c r="L40" s="56"/>
    </row>
    <row r="41" spans="1:32" ht="22.5">
      <c r="A41" s="88" t="s">
        <v>29</v>
      </c>
      <c r="B41" s="23"/>
      <c r="C41" s="106">
        <f>Europe!C18</f>
        <v>-17235.413744000001</v>
      </c>
      <c r="D41" s="84" t="s">
        <v>30</v>
      </c>
      <c r="E41" s="23"/>
      <c r="F41" s="84"/>
      <c r="G41" s="119"/>
      <c r="H41" s="77"/>
      <c r="I41" s="22"/>
      <c r="J41" s="119"/>
      <c r="K41" s="119"/>
      <c r="L41" s="56"/>
    </row>
    <row r="42" spans="1:32" ht="22.5">
      <c r="A42" s="88" t="s">
        <v>36</v>
      </c>
      <c r="B42" s="23"/>
      <c r="C42" s="106"/>
      <c r="D42" s="84"/>
      <c r="E42" s="23"/>
      <c r="F42" s="84"/>
      <c r="G42" s="119"/>
      <c r="H42" s="77"/>
      <c r="I42" s="22"/>
      <c r="J42" s="119"/>
      <c r="K42" s="119"/>
      <c r="L42" s="56"/>
    </row>
    <row r="43" spans="1:32" ht="23.25">
      <c r="A43" s="92"/>
      <c r="B43" s="23"/>
      <c r="C43" s="96"/>
      <c r="D43" s="27"/>
      <c r="E43" s="23"/>
      <c r="F43" s="27"/>
      <c r="G43" s="96"/>
      <c r="H43" s="21"/>
      <c r="I43" s="21"/>
      <c r="J43" s="131"/>
      <c r="K43" s="131"/>
      <c r="L43" s="56"/>
    </row>
    <row r="44" spans="1:32" ht="23.25">
      <c r="A44" s="92"/>
      <c r="B44" s="23"/>
      <c r="C44" s="110"/>
      <c r="D44" s="22"/>
      <c r="E44" s="23"/>
      <c r="F44" s="22"/>
      <c r="G44" s="122"/>
      <c r="H44" s="31"/>
      <c r="I44" s="31"/>
      <c r="J44" s="119"/>
      <c r="K44" s="119"/>
      <c r="L44" s="56"/>
    </row>
    <row r="45" spans="1:32" ht="23.25">
      <c r="A45" s="91" t="s">
        <v>13</v>
      </c>
      <c r="B45" s="27"/>
      <c r="C45" s="111"/>
      <c r="D45" s="81"/>
      <c r="E45" s="23"/>
      <c r="F45" s="81"/>
      <c r="G45" s="30">
        <f>Europe!E22</f>
        <v>-690</v>
      </c>
      <c r="H45" s="22"/>
      <c r="I45" s="22"/>
      <c r="J45" s="139">
        <f>Europe!H22</f>
        <v>0</v>
      </c>
      <c r="K45" s="139">
        <f>Europe!I22</f>
        <v>0</v>
      </c>
      <c r="L45" s="56"/>
    </row>
    <row r="46" spans="1:32" ht="23.25">
      <c r="A46" s="89"/>
      <c r="B46" s="76"/>
      <c r="C46" s="112"/>
      <c r="D46" s="82"/>
      <c r="E46" s="23"/>
      <c r="F46" s="82"/>
      <c r="G46" s="123"/>
      <c r="H46" s="77"/>
      <c r="I46" s="77"/>
      <c r="J46" s="133"/>
      <c r="K46" s="133"/>
      <c r="L46" s="56"/>
    </row>
    <row r="47" spans="1:32" ht="23.25">
      <c r="A47" s="88" t="s">
        <v>23</v>
      </c>
      <c r="B47" s="76"/>
      <c r="C47" s="113">
        <f>Europe!C24</f>
        <v>76</v>
      </c>
      <c r="D47" s="22" t="s">
        <v>20</v>
      </c>
      <c r="E47" s="23"/>
      <c r="F47" s="22"/>
      <c r="G47" s="124">
        <f>Europe!E24</f>
        <v>-690</v>
      </c>
      <c r="H47" s="77"/>
      <c r="I47" s="77"/>
      <c r="J47" s="134"/>
      <c r="K47" s="134"/>
      <c r="L47" s="56"/>
    </row>
    <row r="48" spans="1:32" ht="23.25">
      <c r="A48" s="89"/>
      <c r="B48" s="76"/>
      <c r="C48" s="114"/>
      <c r="D48" s="22"/>
      <c r="E48" s="23"/>
      <c r="F48" s="22"/>
      <c r="G48" s="125"/>
      <c r="H48" s="77"/>
      <c r="I48" s="77"/>
      <c r="J48" s="133"/>
      <c r="K48" s="133"/>
      <c r="L48" s="56"/>
    </row>
    <row r="49" spans="1:12" ht="22.5">
      <c r="A49" s="88" t="s">
        <v>29</v>
      </c>
      <c r="B49" s="23"/>
      <c r="C49" s="113">
        <f>Europe!C26</f>
        <v>250000</v>
      </c>
      <c r="D49" s="84" t="s">
        <v>30</v>
      </c>
      <c r="E49" s="23"/>
      <c r="F49" s="84"/>
      <c r="G49" s="119"/>
      <c r="H49" s="71"/>
      <c r="I49" s="71"/>
      <c r="J49" s="124"/>
      <c r="K49" s="124"/>
      <c r="L49" s="56"/>
    </row>
    <row r="50" spans="1:12" ht="22.5">
      <c r="A50" s="88" t="s">
        <v>36</v>
      </c>
      <c r="B50" s="23"/>
      <c r="C50" s="113">
        <f>Europe!C27</f>
        <v>-460</v>
      </c>
      <c r="D50" s="77" t="s">
        <v>37</v>
      </c>
      <c r="E50" s="23"/>
      <c r="F50" s="77"/>
      <c r="G50" s="119"/>
      <c r="H50" s="71"/>
      <c r="I50" s="71"/>
      <c r="J50" s="129"/>
      <c r="K50" s="129"/>
      <c r="L50" s="56"/>
    </row>
    <row r="51" spans="1:12" ht="24" thickBot="1">
      <c r="A51" s="92"/>
      <c r="B51" s="23"/>
      <c r="C51" s="110"/>
      <c r="D51" s="22"/>
      <c r="E51" s="23"/>
      <c r="F51" s="22"/>
      <c r="G51" s="122"/>
      <c r="H51" s="31"/>
      <c r="I51" s="31"/>
      <c r="J51" s="119"/>
      <c r="K51" s="119"/>
      <c r="L51" s="56"/>
    </row>
    <row r="52" spans="1:12" ht="30.75" thickBot="1">
      <c r="A52" s="165" t="s">
        <v>79</v>
      </c>
      <c r="B52" s="2"/>
      <c r="C52" s="99"/>
      <c r="D52" s="2"/>
      <c r="E52" s="23"/>
      <c r="F52" s="2"/>
      <c r="G52" s="166"/>
      <c r="H52" s="15"/>
      <c r="I52" s="15"/>
      <c r="J52" s="166"/>
      <c r="K52" s="166"/>
      <c r="L52" s="56"/>
    </row>
    <row r="53" spans="1:12" ht="23.25">
      <c r="A53" s="92"/>
      <c r="B53" s="23"/>
      <c r="C53" s="96"/>
      <c r="D53" s="27"/>
      <c r="E53" s="23"/>
      <c r="F53" s="27"/>
      <c r="G53" s="96"/>
      <c r="H53" s="21"/>
      <c r="I53" s="21"/>
      <c r="J53" s="131"/>
      <c r="K53" s="131"/>
      <c r="L53" s="56"/>
    </row>
    <row r="54" spans="1:12" ht="23.25">
      <c r="A54" s="91" t="s">
        <v>11</v>
      </c>
      <c r="B54" s="23"/>
      <c r="C54" s="96"/>
      <c r="D54" s="27"/>
      <c r="E54" s="23"/>
      <c r="F54" s="27"/>
      <c r="G54" s="30">
        <f>'Global Assets'!E13</f>
        <v>1112.9308852005533</v>
      </c>
      <c r="H54" s="21"/>
      <c r="I54" s="21"/>
      <c r="J54" s="132">
        <f>'Global Assets'!H13</f>
        <v>8.9250101175051881</v>
      </c>
      <c r="K54" s="132">
        <f>'Global Assets'!I13</f>
        <v>84.670080334090258</v>
      </c>
      <c r="L54" s="56"/>
    </row>
    <row r="55" spans="1:12" ht="23.25">
      <c r="A55" s="93"/>
      <c r="B55" s="27"/>
      <c r="C55" s="109"/>
      <c r="D55" s="75"/>
      <c r="E55" s="23"/>
      <c r="F55" s="75"/>
      <c r="G55" s="109"/>
      <c r="H55" s="22"/>
      <c r="I55" s="22"/>
      <c r="J55" s="128"/>
      <c r="K55" s="128"/>
      <c r="L55" s="56"/>
    </row>
    <row r="56" spans="1:12" ht="22.5">
      <c r="A56" s="88" t="s">
        <v>24</v>
      </c>
      <c r="B56" s="23"/>
      <c r="C56" s="105">
        <f>'Global Assets'!C15</f>
        <v>2413.9470900000001</v>
      </c>
      <c r="D56" s="22" t="s">
        <v>34</v>
      </c>
      <c r="E56" s="23"/>
      <c r="F56" s="22"/>
      <c r="G56" s="118">
        <f>'Global Assets'!E15</f>
        <v>1112.9308852005533</v>
      </c>
      <c r="H56" s="22"/>
      <c r="I56" s="22"/>
      <c r="J56" s="124">
        <f>'Global Assets'!H15</f>
        <v>8.9250101175051881</v>
      </c>
      <c r="K56" s="124">
        <f>'Global Assets'!I15</f>
        <v>84.670080334090258</v>
      </c>
      <c r="L56" s="56"/>
    </row>
    <row r="57" spans="1:12" ht="22.5">
      <c r="A57" s="88" t="s">
        <v>36</v>
      </c>
      <c r="B57" s="23"/>
      <c r="C57" s="105">
        <f>'Global Assets'!C16</f>
        <v>2413.9470900000001</v>
      </c>
      <c r="D57" s="22" t="s">
        <v>34</v>
      </c>
      <c r="E57" s="23"/>
      <c r="F57" s="22"/>
      <c r="G57" s="119"/>
      <c r="H57" s="22"/>
      <c r="I57" s="22"/>
      <c r="J57" s="129"/>
      <c r="K57" s="129"/>
      <c r="L57" s="56"/>
    </row>
    <row r="58" spans="1:12" ht="23.25">
      <c r="A58" s="92"/>
      <c r="B58" s="23"/>
      <c r="C58" s="110"/>
      <c r="D58" s="22"/>
      <c r="E58" s="23"/>
      <c r="F58" s="22"/>
      <c r="G58" s="122"/>
      <c r="H58" s="31"/>
      <c r="I58" s="31"/>
      <c r="J58" s="119"/>
      <c r="K58" s="119"/>
      <c r="L58" s="56"/>
    </row>
    <row r="59" spans="1:12" ht="23.25">
      <c r="A59" s="91" t="s">
        <v>42</v>
      </c>
      <c r="B59" s="27"/>
      <c r="C59" s="111"/>
      <c r="D59" s="81"/>
      <c r="E59" s="23"/>
      <c r="F59" s="81"/>
      <c r="G59" s="30">
        <f>'Global Assets'!E18</f>
        <v>207.59881059210525</v>
      </c>
      <c r="H59" s="22"/>
      <c r="I59" s="22"/>
      <c r="J59" s="132">
        <f>'Global Assets'!H18</f>
        <v>3.0948441435301191</v>
      </c>
      <c r="K59" s="132">
        <f>'Global Assets'!I18</f>
        <v>29.360269490364711</v>
      </c>
      <c r="L59" s="56"/>
    </row>
    <row r="60" spans="1:12" ht="23.25">
      <c r="A60" s="89"/>
      <c r="B60" s="76"/>
      <c r="C60" s="112"/>
      <c r="D60" s="82"/>
      <c r="E60" s="23"/>
      <c r="F60" s="82"/>
      <c r="G60" s="123"/>
      <c r="H60" s="77"/>
      <c r="I60" s="77"/>
      <c r="J60" s="133"/>
      <c r="K60" s="133"/>
      <c r="L60" s="56"/>
    </row>
    <row r="61" spans="1:12" ht="22.5">
      <c r="A61" s="88" t="s">
        <v>24</v>
      </c>
      <c r="B61" s="76"/>
      <c r="C61" s="105">
        <f>'Global Assets'!C20</f>
        <v>283995.17288999999</v>
      </c>
      <c r="D61" s="22" t="s">
        <v>43</v>
      </c>
      <c r="E61" s="23"/>
      <c r="F61" s="22"/>
      <c r="G61" s="124">
        <f>'Global Assets'!E20</f>
        <v>207.59881059210525</v>
      </c>
      <c r="H61" s="77"/>
      <c r="I61" s="77"/>
      <c r="J61" s="124">
        <f>'Global Assets'!H20</f>
        <v>3.0948441435301191</v>
      </c>
      <c r="K61" s="124">
        <f>'Global Assets'!I20</f>
        <v>29.360269490364711</v>
      </c>
      <c r="L61" s="56"/>
    </row>
    <row r="62" spans="1:12" ht="23.25">
      <c r="A62" s="88" t="s">
        <v>36</v>
      </c>
      <c r="B62" s="23"/>
      <c r="C62" s="105">
        <f>'Global Assets'!C21</f>
        <v>283995.17288999999</v>
      </c>
      <c r="D62" s="22" t="s">
        <v>43</v>
      </c>
      <c r="E62" s="23"/>
      <c r="F62" s="22"/>
      <c r="G62" s="125"/>
      <c r="H62" s="77"/>
      <c r="I62" s="77"/>
      <c r="J62" s="133"/>
      <c r="K62" s="133"/>
      <c r="L62" s="56"/>
    </row>
    <row r="63" spans="1:12" ht="23.25">
      <c r="A63" s="92"/>
      <c r="B63" s="23"/>
      <c r="C63" s="110"/>
      <c r="D63" s="22"/>
      <c r="E63" s="23"/>
      <c r="F63" s="22"/>
      <c r="G63" s="122"/>
      <c r="H63" s="31"/>
      <c r="I63" s="31"/>
      <c r="J63" s="119"/>
      <c r="K63" s="119"/>
      <c r="L63" s="56"/>
    </row>
    <row r="64" spans="1:12" ht="22.5">
      <c r="A64" s="85" t="s">
        <v>16</v>
      </c>
      <c r="B64" s="23"/>
      <c r="C64" s="101"/>
      <c r="D64" s="22"/>
      <c r="E64" s="23"/>
      <c r="F64" s="22"/>
      <c r="G64" s="30">
        <f>'Global Assets'!E24</f>
        <v>26574.75</v>
      </c>
      <c r="H64" s="68"/>
      <c r="I64" s="68"/>
      <c r="J64" s="150">
        <f>'Global Assets'!H24</f>
        <v>0.18814687500000002</v>
      </c>
      <c r="K64" s="150">
        <f>'Global Assets'!I24</f>
        <v>1.7849179789289777</v>
      </c>
      <c r="L64" s="56"/>
    </row>
    <row r="65" spans="1:12" ht="23.25">
      <c r="A65" s="87"/>
      <c r="B65" s="23"/>
      <c r="C65" s="104"/>
      <c r="D65" s="22"/>
      <c r="E65" s="23"/>
      <c r="F65" s="22"/>
      <c r="G65" s="104"/>
      <c r="H65" s="22"/>
      <c r="I65" s="22"/>
      <c r="J65" s="128"/>
      <c r="K65" s="128"/>
      <c r="L65" s="56"/>
    </row>
    <row r="66" spans="1:12" ht="22.5">
      <c r="A66" s="88" t="s">
        <v>12</v>
      </c>
      <c r="B66" s="23"/>
      <c r="C66" s="105">
        <f>'Global Assets'!C28</f>
        <v>0</v>
      </c>
      <c r="D66" s="22"/>
      <c r="E66" s="23"/>
      <c r="F66" s="22"/>
      <c r="G66" s="118">
        <f>'Global Assets'!E28</f>
        <v>4465</v>
      </c>
      <c r="H66" s="22"/>
      <c r="I66" s="22"/>
      <c r="J66" s="124">
        <f>'Global Assets'!H28</f>
        <v>0</v>
      </c>
      <c r="K66" s="124">
        <f>'Global Assets'!I28</f>
        <v>0</v>
      </c>
      <c r="L66" s="56"/>
    </row>
    <row r="67" spans="1:12" ht="22.5">
      <c r="A67" s="88" t="s">
        <v>9</v>
      </c>
      <c r="B67" s="23"/>
      <c r="C67" s="105">
        <f>'Global Assets'!C29</f>
        <v>0</v>
      </c>
      <c r="D67" s="22"/>
      <c r="E67" s="23"/>
      <c r="F67" s="22"/>
      <c r="G67" s="118">
        <f>'Global Assets'!E29</f>
        <v>22247</v>
      </c>
      <c r="H67" s="22"/>
      <c r="I67" s="22"/>
      <c r="J67" s="124">
        <f>'Global Assets'!H29</f>
        <v>0</v>
      </c>
      <c r="K67" s="124">
        <f>'Global Assets'!I29</f>
        <v>0</v>
      </c>
      <c r="L67" s="56"/>
    </row>
    <row r="68" spans="1:12" ht="23.25">
      <c r="A68" s="89"/>
      <c r="B68" s="23"/>
      <c r="C68" s="101"/>
      <c r="D68" s="22"/>
      <c r="E68" s="23"/>
      <c r="F68" s="22"/>
      <c r="G68" s="119"/>
      <c r="H68" s="22"/>
      <c r="I68" s="22"/>
      <c r="J68" s="137"/>
      <c r="K68" s="137"/>
      <c r="L68" s="56"/>
    </row>
    <row r="69" spans="1:12" ht="23.25">
      <c r="A69" s="88" t="s">
        <v>29</v>
      </c>
      <c r="B69" s="23"/>
      <c r="C69" s="105"/>
      <c r="D69" s="22"/>
      <c r="E69" s="23"/>
      <c r="F69" s="22"/>
      <c r="G69" s="118"/>
      <c r="H69" s="22"/>
      <c r="I69" s="22"/>
      <c r="J69" s="136"/>
      <c r="K69" s="136"/>
      <c r="L69" s="56"/>
    </row>
    <row r="70" spans="1:12" ht="22.5">
      <c r="A70" s="88" t="s">
        <v>39</v>
      </c>
      <c r="B70" s="23"/>
      <c r="C70" s="105">
        <f>'Global Assets'!C32</f>
        <v>-6393.1049999999996</v>
      </c>
      <c r="D70" s="22" t="s">
        <v>40</v>
      </c>
      <c r="E70" s="23"/>
      <c r="F70" s="22"/>
      <c r="G70" s="118">
        <f>'Global Assets'!E32</f>
        <v>-137.25</v>
      </c>
      <c r="H70" s="22"/>
      <c r="I70" s="22"/>
      <c r="J70" s="149">
        <f>'Global Assets'!H32</f>
        <v>0.18814687500000002</v>
      </c>
      <c r="K70" s="149">
        <f>'Global Assets'!I32</f>
        <v>1.7849179789289777</v>
      </c>
      <c r="L70" s="56"/>
    </row>
    <row r="71" spans="1:12" ht="21" thickBot="1">
      <c r="A71" s="23"/>
      <c r="B71" s="23"/>
      <c r="C71" s="23"/>
      <c r="D71" s="23"/>
      <c r="E71" s="23"/>
      <c r="F71" s="23"/>
      <c r="G71" s="23"/>
      <c r="H71" s="21"/>
      <c r="I71" s="21"/>
      <c r="J71" s="21"/>
      <c r="K71" s="21"/>
      <c r="L71" s="56"/>
    </row>
    <row r="72" spans="1:12" ht="30.75" thickBot="1">
      <c r="A72" s="165" t="s">
        <v>49</v>
      </c>
      <c r="B72" s="2"/>
      <c r="C72" s="99"/>
      <c r="D72" s="2"/>
      <c r="E72" s="23"/>
      <c r="F72" s="2"/>
      <c r="G72" s="166"/>
      <c r="H72" s="15"/>
      <c r="I72" s="15"/>
      <c r="J72" s="166"/>
      <c r="K72" s="166"/>
      <c r="L72" s="56"/>
    </row>
    <row r="73" spans="1:12" ht="23.25">
      <c r="A73" s="92"/>
      <c r="B73" s="23"/>
      <c r="C73" s="110"/>
      <c r="D73" s="22"/>
      <c r="E73" s="23"/>
      <c r="F73" s="22"/>
      <c r="G73" s="122"/>
      <c r="H73" s="31"/>
      <c r="I73" s="31"/>
      <c r="J73" s="119"/>
      <c r="K73" s="119"/>
      <c r="L73" s="56"/>
    </row>
    <row r="74" spans="1:12" ht="22.5">
      <c r="A74" s="85" t="s">
        <v>38</v>
      </c>
      <c r="B74" s="23"/>
      <c r="C74" s="115"/>
      <c r="D74" s="22"/>
      <c r="E74" s="23"/>
      <c r="F74" s="22"/>
      <c r="G74" s="30">
        <f>'Capital Portfolio'!E12</f>
        <v>157.74717618</v>
      </c>
      <c r="H74" s="68"/>
      <c r="I74" s="68"/>
      <c r="J74" s="30">
        <f>'Capital Portfolio'!H12</f>
        <v>7.5980426164088088</v>
      </c>
      <c r="K74" s="30">
        <f>'Capital Portfolio'!I12</f>
        <v>24.027120426876877</v>
      </c>
      <c r="L74" s="56"/>
    </row>
    <row r="75" spans="1:12" ht="23.25">
      <c r="A75" s="87"/>
      <c r="B75" s="23"/>
      <c r="C75" s="104"/>
      <c r="D75" s="22"/>
      <c r="E75" s="23"/>
      <c r="F75" s="22"/>
      <c r="G75" s="104"/>
      <c r="H75" s="22"/>
      <c r="I75" s="22"/>
      <c r="J75" s="216"/>
      <c r="K75" s="216"/>
      <c r="L75" s="56"/>
    </row>
    <row r="76" spans="1:12" ht="22.5">
      <c r="A76" s="88" t="s">
        <v>18</v>
      </c>
      <c r="B76" s="23"/>
      <c r="C76" s="105">
        <f>'Capital Portfolio'!C16</f>
        <v>1021107</v>
      </c>
      <c r="D76" s="22" t="s">
        <v>19</v>
      </c>
      <c r="E76" s="23"/>
      <c r="F76" s="22"/>
      <c r="G76" s="118">
        <f>'Capital Portfolio'!E16</f>
        <v>16.725732659999998</v>
      </c>
      <c r="H76" s="22"/>
      <c r="I76" s="22"/>
      <c r="J76" s="124">
        <f>'Capital Portfolio'!H16</f>
        <v>1.0317686334637499</v>
      </c>
      <c r="K76" s="124">
        <f>'Capital Portfolio'!I16</f>
        <v>3.2627389000648734</v>
      </c>
      <c r="L76" s="56"/>
    </row>
    <row r="77" spans="1:12" ht="22.5">
      <c r="A77" s="88" t="s">
        <v>14</v>
      </c>
      <c r="B77" s="23"/>
      <c r="C77" s="105">
        <f>'Capital Portfolio'!C17</f>
        <v>1092426</v>
      </c>
      <c r="D77" s="22" t="s">
        <v>19</v>
      </c>
      <c r="E77" s="23"/>
      <c r="F77" s="22"/>
      <c r="G77" s="118">
        <f>'Capital Portfolio'!E17</f>
        <v>9.0452872800000002</v>
      </c>
      <c r="H77" s="22"/>
      <c r="I77" s="22"/>
      <c r="J77" s="124">
        <f>'Capital Portfolio'!H17</f>
        <v>0.98576671438350005</v>
      </c>
      <c r="K77" s="124">
        <f>'Capital Portfolio'!I17</f>
        <v>3.1172680590325257</v>
      </c>
      <c r="L77" s="56"/>
    </row>
    <row r="78" spans="1:12" ht="22.5">
      <c r="A78" s="88" t="s">
        <v>46</v>
      </c>
      <c r="B78" s="23"/>
      <c r="C78" s="105">
        <f>'Capital Portfolio'!C18</f>
        <v>4181754</v>
      </c>
      <c r="D78" s="22" t="s">
        <v>19</v>
      </c>
      <c r="E78" s="23"/>
      <c r="F78" s="22"/>
      <c r="G78" s="118">
        <f>'Capital Portfolio'!E18</f>
        <v>131.97615623999999</v>
      </c>
      <c r="H78" s="22"/>
      <c r="I78" s="22"/>
      <c r="J78" s="124">
        <f>'Capital Portfolio'!H18</f>
        <v>7.4628392098837502</v>
      </c>
      <c r="K78" s="124">
        <f>'Capital Portfolio'!I18</f>
        <v>23.599569714844023</v>
      </c>
      <c r="L78" s="56"/>
    </row>
    <row r="79" spans="1:12" ht="23.25">
      <c r="A79" s="92"/>
      <c r="B79" s="23"/>
      <c r="C79" s="96"/>
      <c r="D79" s="27"/>
      <c r="E79" s="23"/>
      <c r="F79" s="27"/>
      <c r="G79" s="96"/>
      <c r="H79" s="21"/>
      <c r="I79" s="21"/>
      <c r="J79" s="117"/>
      <c r="K79" s="117"/>
      <c r="L79" s="56"/>
    </row>
    <row r="80" spans="1:12" ht="22.5">
      <c r="A80" s="85" t="s">
        <v>15</v>
      </c>
      <c r="B80" s="23"/>
      <c r="C80" s="101"/>
      <c r="D80" s="22"/>
      <c r="E80" s="23"/>
      <c r="F80" s="22"/>
      <c r="G80" s="30">
        <f>'Capital Portfolio'!E21</f>
        <v>-993.29160105000005</v>
      </c>
      <c r="H80" s="68"/>
      <c r="I80" s="68"/>
      <c r="J80" s="135">
        <f>'Capital Portfolio'!H21</f>
        <v>172</v>
      </c>
      <c r="K80" s="135">
        <f>'Capital Portfolio'!I21</f>
        <v>543.9117575489613</v>
      </c>
      <c r="L80" s="56"/>
    </row>
    <row r="81" spans="1:12" ht="23.25">
      <c r="A81" s="87"/>
      <c r="B81" s="23"/>
      <c r="C81" s="104"/>
      <c r="D81" s="22"/>
      <c r="E81" s="23"/>
      <c r="F81" s="22"/>
      <c r="G81" s="104"/>
      <c r="H81" s="22"/>
      <c r="I81" s="22"/>
      <c r="J81" s="128"/>
      <c r="K81" s="128"/>
      <c r="L81" s="56"/>
    </row>
    <row r="82" spans="1:12" ht="22.5">
      <c r="A82" s="88" t="s">
        <v>47</v>
      </c>
      <c r="B82" s="23"/>
      <c r="C82" s="105">
        <f>'Capital Portfolio'!C25</f>
        <v>-46437195</v>
      </c>
      <c r="D82" s="22" t="s">
        <v>21</v>
      </c>
      <c r="E82" s="23"/>
      <c r="F82" s="22"/>
      <c r="G82" s="118">
        <f>'Capital Portfolio'!E25</f>
        <v>-993.29160105000005</v>
      </c>
      <c r="H82" s="22"/>
      <c r="I82" s="22"/>
      <c r="J82" s="124">
        <f>'Capital Portfolio'!H25</f>
        <v>172</v>
      </c>
      <c r="K82" s="124">
        <f>'Capital Portfolio'!I25</f>
        <v>543.9117575489613</v>
      </c>
      <c r="L82" s="33"/>
    </row>
    <row r="83" spans="1:12" ht="22.5">
      <c r="A83" s="88" t="s">
        <v>29</v>
      </c>
      <c r="B83" s="23"/>
      <c r="C83" s="113">
        <f>'Capital Portfolio'!C26</f>
        <v>-2832.8181789999994</v>
      </c>
      <c r="D83" s="84" t="s">
        <v>30</v>
      </c>
      <c r="E83" s="23"/>
      <c r="F83" s="84"/>
      <c r="G83" s="119"/>
      <c r="H83" s="71"/>
      <c r="I83" s="71"/>
      <c r="J83" s="129"/>
      <c r="K83" s="129"/>
      <c r="L83" s="33"/>
    </row>
    <row r="84" spans="1:12" ht="20.25">
      <c r="E84" s="23"/>
      <c r="L84" s="33"/>
    </row>
    <row r="85" spans="1:12" ht="20.25">
      <c r="E85" s="23"/>
      <c r="L85" s="33"/>
    </row>
    <row r="86" spans="1:12" ht="13.5" customHeight="1">
      <c r="E86" s="23"/>
      <c r="L86" s="33"/>
    </row>
    <row r="87" spans="1:12" ht="20.25">
      <c r="E87" s="23"/>
      <c r="L87" s="33"/>
    </row>
    <row r="88" spans="1:12" ht="20.25">
      <c r="E88" s="23"/>
      <c r="L88" s="33"/>
    </row>
    <row r="89" spans="1:12" ht="20.25">
      <c r="E89" s="23"/>
      <c r="L89" s="33"/>
    </row>
    <row r="90" spans="1:12" ht="20.25">
      <c r="E90" s="23"/>
      <c r="L90" s="33"/>
    </row>
    <row r="91" spans="1:12" ht="20.25">
      <c r="E91" s="23"/>
      <c r="L91" s="33"/>
    </row>
    <row r="92" spans="1:12" ht="20.25">
      <c r="E92" s="23"/>
      <c r="L92" s="33"/>
    </row>
    <row r="93" spans="1:12" ht="20.25">
      <c r="E93" s="23"/>
      <c r="L93" s="33"/>
    </row>
    <row r="94" spans="1:12" ht="20.25">
      <c r="E94" s="23"/>
      <c r="L94" s="33"/>
    </row>
    <row r="95" spans="1:12" ht="20.25">
      <c r="E95" s="23"/>
      <c r="L95" s="33"/>
    </row>
    <row r="96" spans="1:12" ht="20.25">
      <c r="E96" s="23"/>
      <c r="L96" s="33"/>
    </row>
    <row r="97" spans="5:12" ht="20.25">
      <c r="E97" s="23"/>
      <c r="L97" s="33"/>
    </row>
    <row r="98" spans="5:12" ht="20.25">
      <c r="E98" s="23"/>
      <c r="L98" s="33"/>
    </row>
    <row r="99" spans="5:12" ht="20.25">
      <c r="E99" s="23"/>
      <c r="L99" s="33"/>
    </row>
    <row r="100" spans="5:12" ht="20.25">
      <c r="E100" s="23"/>
      <c r="L100" s="33"/>
    </row>
    <row r="101" spans="5:12" ht="20.25">
      <c r="E101" s="23"/>
      <c r="L101" s="33"/>
    </row>
    <row r="102" spans="5:12" ht="20.25">
      <c r="E102" s="23"/>
      <c r="L102" s="33"/>
    </row>
    <row r="103" spans="5:12" ht="20.25">
      <c r="E103" s="23"/>
      <c r="L103" s="33"/>
    </row>
    <row r="104" spans="5:12">
      <c r="L104" s="33"/>
    </row>
    <row r="105" spans="5:12">
      <c r="L105" s="33"/>
    </row>
    <row r="106" spans="5:12">
      <c r="L106" s="33"/>
    </row>
    <row r="107" spans="5:12">
      <c r="L107" s="33"/>
    </row>
    <row r="108" spans="5:12">
      <c r="L108" s="33"/>
    </row>
    <row r="109" spans="5:12">
      <c r="L109" s="33"/>
    </row>
    <row r="110" spans="5:12">
      <c r="L110" s="33"/>
    </row>
  </sheetData>
  <mergeCells count="1">
    <mergeCell ref="J7:K7"/>
  </mergeCells>
  <phoneticPr fontId="0" type="noConversion"/>
  <printOptions horizontalCentered="1" verticalCentered="1"/>
  <pageMargins left="0.2" right="0.2" top="0.5" bottom="0.5" header="0" footer="0"/>
  <pageSetup scale="34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O103"/>
  <sheetViews>
    <sheetView zoomScale="4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10" sqref="A10"/>
    </sheetView>
  </sheetViews>
  <sheetFormatPr defaultRowHeight="15.75"/>
  <cols>
    <col min="1" max="1" width="72" style="19" customWidth="1"/>
    <col min="2" max="2" width="2.140625" style="19" customWidth="1"/>
    <col min="3" max="3" width="34.140625" style="19" customWidth="1"/>
    <col min="4" max="4" width="20.140625" style="19" customWidth="1"/>
    <col min="5" max="5" width="39.85546875" style="19" customWidth="1"/>
    <col min="6" max="6" width="20.140625" style="19" customWidth="1"/>
    <col min="7" max="7" width="43.140625" style="19" customWidth="1"/>
    <col min="8" max="9" width="4.42578125" style="3" customWidth="1"/>
    <col min="10" max="11" width="28.5703125" style="3" customWidth="1"/>
    <col min="12" max="12" width="5.42578125" style="3" customWidth="1"/>
    <col min="13" max="13" width="33.140625" style="5" customWidth="1"/>
    <col min="14" max="14" width="36.5703125" style="5" customWidth="1"/>
    <col min="15" max="15" width="23.85546875" style="5" hidden="1" customWidth="1"/>
    <col min="16" max="16" width="11.85546875" style="33" customWidth="1"/>
    <col min="17" max="17" width="25.42578125" style="33" customWidth="1"/>
    <col min="18" max="18" width="25" style="33" customWidth="1"/>
    <col min="19" max="19" width="24.140625" style="33" customWidth="1"/>
    <col min="20" max="20" width="17" style="33" customWidth="1"/>
    <col min="21" max="21" width="2.140625" style="33" customWidth="1"/>
    <col min="22" max="22" width="12.42578125" style="33" customWidth="1"/>
    <col min="23" max="23" width="16" style="33" customWidth="1"/>
    <col min="24" max="24" width="19.140625" style="33" customWidth="1"/>
    <col min="25" max="25" width="20.42578125" style="33" customWidth="1"/>
    <col min="26" max="26" width="18.5703125" style="33" customWidth="1"/>
    <col min="27" max="27" width="9.140625" style="33"/>
    <col min="28" max="30" width="19.85546875" style="33" customWidth="1"/>
    <col min="31" max="31" width="13.5703125" style="33" customWidth="1"/>
    <col min="32" max="32" width="22.140625" style="33" hidden="1" customWidth="1"/>
    <col min="33" max="33" width="32.5703125" style="33" hidden="1" customWidth="1"/>
    <col min="34" max="34" width="20.7109375" style="33" hidden="1" customWidth="1"/>
    <col min="35" max="35" width="19.85546875" style="33" customWidth="1"/>
    <col min="36" max="36" width="14.42578125" style="33" customWidth="1"/>
    <col min="37" max="37" width="14.140625" style="33" customWidth="1"/>
    <col min="38" max="38" width="14.7109375" style="33" customWidth="1"/>
    <col min="39" max="39" width="13.28515625" style="33" customWidth="1"/>
    <col min="40" max="40" width="18.5703125" style="33" customWidth="1"/>
    <col min="41" max="41" width="14.42578125" style="33" customWidth="1"/>
    <col min="42" max="43" width="12.42578125" style="33" customWidth="1"/>
    <col min="44" max="16384" width="9.140625" style="33"/>
  </cols>
  <sheetData>
    <row r="1" spans="1:41" s="32" customFormat="1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33"/>
      <c r="R1" s="33"/>
      <c r="S1" s="34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</row>
    <row r="2" spans="1:41" ht="60.75">
      <c r="A2" s="1"/>
      <c r="B2" s="1"/>
      <c r="C2" s="36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</row>
    <row r="3" spans="1:41" ht="72.75" customHeight="1">
      <c r="A3" s="2"/>
      <c r="B3" s="3"/>
      <c r="C3" s="3"/>
      <c r="D3" s="3"/>
      <c r="E3" s="3"/>
      <c r="F3" s="3"/>
      <c r="G3" s="153"/>
      <c r="J3" s="4" t="s">
        <v>1</v>
      </c>
      <c r="K3" s="4"/>
      <c r="N3" s="6" t="s">
        <v>80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</row>
    <row r="4" spans="1:41" ht="21" customHeight="1">
      <c r="A4" s="3"/>
      <c r="B4" s="3"/>
      <c r="C4" s="3"/>
      <c r="D4" s="3"/>
      <c r="E4" s="3"/>
      <c r="F4" s="3"/>
      <c r="G4" s="3"/>
      <c r="M4" s="154" t="s">
        <v>45</v>
      </c>
      <c r="N4" s="154">
        <f ca="1">TODAY()</f>
        <v>41887</v>
      </c>
      <c r="S4" s="34"/>
      <c r="T4" s="34"/>
      <c r="U4" s="34"/>
      <c r="V4" s="34"/>
      <c r="W4" s="34"/>
      <c r="X4" s="34"/>
      <c r="Y4" s="37"/>
      <c r="Z4" s="38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1:41" ht="30">
      <c r="A5" s="2"/>
      <c r="B5" s="3"/>
      <c r="C5" s="3"/>
      <c r="D5" s="3"/>
      <c r="E5" s="223"/>
      <c r="F5" s="3"/>
      <c r="G5" s="3"/>
      <c r="M5" s="8"/>
      <c r="N5" s="6"/>
      <c r="S5" s="34"/>
      <c r="T5" s="34"/>
      <c r="U5" s="34"/>
      <c r="V5" s="34"/>
      <c r="W5" s="34"/>
      <c r="X5" s="34"/>
      <c r="Y5" s="37"/>
      <c r="Z5" s="38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1:41" ht="15.75" customHeight="1">
      <c r="A6" s="10"/>
      <c r="B6" s="3"/>
      <c r="C6" s="3"/>
      <c r="D6" s="3"/>
      <c r="E6" s="3"/>
      <c r="F6" s="3"/>
      <c r="G6" s="3"/>
      <c r="M6" s="9"/>
      <c r="N6" s="9"/>
      <c r="O6" s="9"/>
      <c r="S6" s="34"/>
      <c r="T6" s="34"/>
      <c r="U6" s="34"/>
      <c r="V6" s="34"/>
      <c r="W6" s="34"/>
      <c r="X6" s="34"/>
      <c r="Y6" s="37"/>
      <c r="Z6" s="38"/>
      <c r="AA6" s="34"/>
      <c r="AB6" s="34"/>
      <c r="AC6" s="34"/>
      <c r="AD6" s="34"/>
      <c r="AE6" s="34"/>
      <c r="AF6" s="39"/>
      <c r="AG6" s="34"/>
      <c r="AH6" s="34"/>
      <c r="AI6" s="34"/>
      <c r="AJ6" s="34"/>
      <c r="AK6" s="34"/>
      <c r="AL6" s="34"/>
      <c r="AM6" s="34"/>
      <c r="AN6" s="34"/>
    </row>
    <row r="7" spans="1:41" ht="31.5" customHeight="1">
      <c r="A7" s="10"/>
      <c r="B7" s="3"/>
      <c r="C7" s="97" t="s">
        <v>101</v>
      </c>
      <c r="D7" s="40"/>
      <c r="E7" s="97" t="s">
        <v>104</v>
      </c>
      <c r="F7" s="40"/>
      <c r="G7" s="97" t="s">
        <v>35</v>
      </c>
      <c r="H7" s="11"/>
      <c r="I7" s="11"/>
      <c r="J7" s="239" t="s">
        <v>2</v>
      </c>
      <c r="K7" s="240"/>
      <c r="L7" s="12"/>
      <c r="M7" s="239" t="s">
        <v>44</v>
      </c>
      <c r="N7" s="241"/>
      <c r="O7" s="241"/>
      <c r="P7" s="240"/>
      <c r="S7" s="34"/>
      <c r="T7" s="37"/>
      <c r="U7" s="38"/>
      <c r="V7" s="34"/>
      <c r="W7" s="34"/>
      <c r="X7" s="34"/>
      <c r="Y7" s="41"/>
      <c r="Z7" s="42"/>
      <c r="AA7" s="43"/>
      <c r="AB7" s="42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1" s="46" customFormat="1" ht="18.75">
      <c r="A8" s="12"/>
      <c r="B8" s="7"/>
      <c r="C8" s="44" t="s">
        <v>33</v>
      </c>
      <c r="D8" s="13"/>
      <c r="E8" s="44" t="s">
        <v>33</v>
      </c>
      <c r="F8" s="13"/>
      <c r="G8" s="44" t="s">
        <v>28</v>
      </c>
      <c r="H8" s="13"/>
      <c r="I8" s="13"/>
      <c r="J8" s="44" t="s">
        <v>31</v>
      </c>
      <c r="K8" s="44">
        <v>60</v>
      </c>
      <c r="L8" s="147"/>
      <c r="M8" s="44" t="s">
        <v>3</v>
      </c>
      <c r="N8" s="45" t="s">
        <v>4</v>
      </c>
      <c r="O8" s="45" t="s">
        <v>4</v>
      </c>
      <c r="P8" s="45" t="s">
        <v>90</v>
      </c>
      <c r="S8" s="47"/>
      <c r="T8" s="47"/>
      <c r="U8" s="47"/>
      <c r="V8" s="47"/>
      <c r="W8" s="47"/>
      <c r="X8" s="47"/>
      <c r="Y8" s="47"/>
      <c r="Z8" s="47"/>
      <c r="AA8" s="48"/>
      <c r="AB8" s="13"/>
      <c r="AC8" s="13"/>
      <c r="AD8" s="49"/>
      <c r="AE8" s="13"/>
      <c r="AF8" s="47"/>
      <c r="AG8" s="34"/>
      <c r="AH8" s="14"/>
      <c r="AI8" s="14"/>
      <c r="AJ8" s="14"/>
      <c r="AK8" s="14"/>
      <c r="AL8" s="14"/>
      <c r="AM8" s="47"/>
      <c r="AN8" s="47"/>
    </row>
    <row r="9" spans="1:41" ht="12.75" customHeight="1">
      <c r="A9" s="14"/>
      <c r="B9" s="3"/>
      <c r="C9" s="98"/>
      <c r="D9" s="14"/>
      <c r="E9" s="14"/>
      <c r="F9" s="14"/>
      <c r="G9" s="117"/>
      <c r="J9" s="117"/>
      <c r="K9" s="117"/>
      <c r="M9" s="98"/>
      <c r="N9" s="98"/>
      <c r="O9" s="98"/>
      <c r="P9" s="98"/>
      <c r="S9" s="34"/>
      <c r="T9" s="34"/>
      <c r="U9" s="34"/>
      <c r="V9" s="34"/>
      <c r="W9" s="34"/>
      <c r="X9" s="34"/>
      <c r="Y9" s="34"/>
      <c r="Z9" s="34"/>
      <c r="AA9" s="41"/>
      <c r="AB9" s="14"/>
      <c r="AC9" s="14"/>
      <c r="AD9" s="14"/>
      <c r="AE9" s="14"/>
      <c r="AF9" s="34"/>
      <c r="AG9" s="34"/>
      <c r="AH9" s="34"/>
      <c r="AI9" s="34"/>
      <c r="AJ9" s="34"/>
      <c r="AK9" s="34"/>
      <c r="AL9" s="34"/>
      <c r="AM9" s="34"/>
      <c r="AN9" s="34"/>
    </row>
    <row r="10" spans="1:41" s="32" customFormat="1" ht="30" customHeight="1">
      <c r="A10" s="148" t="s">
        <v>48</v>
      </c>
      <c r="B10" s="2"/>
      <c r="C10" s="99"/>
      <c r="D10" s="2"/>
      <c r="E10" s="2"/>
      <c r="F10" s="2"/>
      <c r="G10" s="30"/>
      <c r="H10" s="15"/>
      <c r="I10" s="15"/>
      <c r="J10" s="30"/>
      <c r="K10" s="30"/>
      <c r="L10" s="16"/>
      <c r="M10" s="30"/>
      <c r="N10" s="30"/>
      <c r="O10" s="30"/>
      <c r="P10" s="30"/>
      <c r="Q10" s="35"/>
      <c r="R10" s="35"/>
      <c r="S10" s="35"/>
      <c r="T10" s="50"/>
      <c r="U10" s="26"/>
      <c r="V10" s="26"/>
      <c r="W10" s="26"/>
      <c r="X10" s="35"/>
      <c r="Y10" s="51"/>
      <c r="Z10" s="51"/>
      <c r="AA10" s="51"/>
      <c r="AB10" s="52"/>
      <c r="AC10" s="52"/>
      <c r="AD10" s="52"/>
      <c r="AE10" s="35"/>
      <c r="AF10" s="35"/>
      <c r="AG10" s="53"/>
      <c r="AH10" s="53"/>
      <c r="AI10" s="53"/>
      <c r="AJ10" s="53"/>
      <c r="AK10" s="53"/>
      <c r="AL10" s="53"/>
      <c r="AM10" s="35"/>
      <c r="AN10" s="35"/>
    </row>
    <row r="11" spans="1:41" ht="12.75" customHeight="1">
      <c r="A11" s="17"/>
      <c r="B11" s="3"/>
      <c r="C11" s="100"/>
      <c r="D11" s="18"/>
      <c r="E11" s="18"/>
      <c r="F11" s="18"/>
      <c r="G11" s="100"/>
      <c r="H11" s="18"/>
      <c r="I11" s="18"/>
      <c r="J11" s="126"/>
      <c r="K11" s="126"/>
      <c r="L11" s="18"/>
      <c r="M11" s="138"/>
      <c r="N11" s="138"/>
      <c r="O11" s="138"/>
      <c r="P11" s="138"/>
      <c r="Q11" s="34"/>
      <c r="R11" s="34"/>
      <c r="S11" s="34"/>
      <c r="T11" s="14"/>
      <c r="U11" s="14"/>
      <c r="V11" s="14"/>
      <c r="W11" s="14"/>
      <c r="X11" s="34"/>
      <c r="Y11" s="53"/>
      <c r="Z11" s="53"/>
      <c r="AA11" s="53"/>
      <c r="AB11" s="41"/>
      <c r="AC11" s="41"/>
      <c r="AD11" s="41"/>
      <c r="AE11" s="34"/>
      <c r="AF11" s="34"/>
      <c r="AG11" s="53"/>
      <c r="AH11" s="53"/>
      <c r="AI11" s="53"/>
      <c r="AJ11" s="53"/>
      <c r="AK11" s="53"/>
      <c r="AL11" s="53"/>
      <c r="AM11" s="34"/>
      <c r="AN11" s="34"/>
      <c r="AO11" s="32"/>
    </row>
    <row r="12" spans="1:41" s="32" customFormat="1" ht="30" customHeight="1">
      <c r="A12" s="85" t="s">
        <v>112</v>
      </c>
      <c r="B12" s="23"/>
      <c r="C12" s="101"/>
      <c r="D12" s="22"/>
      <c r="E12" s="22"/>
      <c r="F12" s="22"/>
      <c r="G12" s="139">
        <f>SUM(G17:G28)</f>
        <v>2275.0067979757305</v>
      </c>
      <c r="H12" s="68"/>
      <c r="I12" s="68"/>
      <c r="J12" s="30"/>
      <c r="K12" s="30">
        <f>J12*SQRT($K$8)</f>
        <v>0</v>
      </c>
      <c r="L12" s="22"/>
      <c r="M12" s="139">
        <f>SUM(M17:M30)</f>
        <v>-156.7258984986413</v>
      </c>
      <c r="N12" s="139">
        <f>SUM(N17:N30)</f>
        <v>-156.7258984986413</v>
      </c>
      <c r="O12" s="139">
        <f>SUM(O17:O30)</f>
        <v>-156.7258984986413</v>
      </c>
      <c r="P12" s="139"/>
      <c r="Q12" s="54"/>
      <c r="R12" s="54"/>
      <c r="S12" s="54"/>
      <c r="T12" s="50"/>
      <c r="U12" s="26"/>
      <c r="V12" s="26"/>
      <c r="W12" s="26"/>
      <c r="X12" s="35"/>
      <c r="Y12" s="51"/>
      <c r="Z12" s="51"/>
      <c r="AA12" s="51"/>
      <c r="AB12" s="52"/>
      <c r="AC12" s="52"/>
      <c r="AD12" s="52"/>
      <c r="AE12" s="35"/>
      <c r="AF12" s="35"/>
      <c r="AG12" s="53"/>
      <c r="AH12" s="53"/>
      <c r="AI12" s="53"/>
      <c r="AJ12" s="53"/>
      <c r="AK12" s="53"/>
      <c r="AL12" s="53"/>
      <c r="AM12" s="35"/>
      <c r="AN12" s="35"/>
    </row>
    <row r="13" spans="1:41" s="46" customFormat="1" ht="26.25" hidden="1">
      <c r="A13" s="86" t="s">
        <v>5</v>
      </c>
      <c r="B13" s="23"/>
      <c r="C13" s="102">
        <f>IF(ISNA([1]Summary!I15=TRUE),"-",([1]Summary!I15))</f>
        <v>122.79</v>
      </c>
      <c r="D13" s="81"/>
      <c r="E13" s="81"/>
      <c r="F13" s="81"/>
      <c r="G13" s="105">
        <f>IF(ISNA([1]Summary!M15=TRUE),"-",([1]Summary!M15))</f>
        <v>247.1</v>
      </c>
      <c r="H13" s="22"/>
      <c r="I13" s="22"/>
      <c r="J13" s="127"/>
      <c r="K13" s="215"/>
      <c r="L13" s="69"/>
      <c r="M13" s="20"/>
      <c r="N13" s="20"/>
      <c r="O13" s="20"/>
      <c r="P13" s="20"/>
      <c r="Q13" s="56"/>
      <c r="R13" s="56"/>
      <c r="S13" s="54"/>
      <c r="T13" s="50"/>
      <c r="U13" s="26"/>
      <c r="V13" s="26"/>
      <c r="W13" s="26"/>
      <c r="X13" s="47"/>
      <c r="Y13" s="51"/>
      <c r="Z13" s="51"/>
      <c r="AA13" s="51"/>
      <c r="AB13" s="48"/>
      <c r="AC13" s="48"/>
      <c r="AD13" s="48"/>
      <c r="AE13" s="47"/>
      <c r="AF13" s="47"/>
      <c r="AG13" s="53"/>
      <c r="AH13" s="53"/>
      <c r="AI13" s="53"/>
      <c r="AJ13" s="53"/>
      <c r="AK13" s="53"/>
      <c r="AL13" s="53"/>
      <c r="AM13" s="47"/>
      <c r="AN13" s="47"/>
      <c r="AO13" s="32"/>
    </row>
    <row r="14" spans="1:41" s="56" customFormat="1" ht="26.25" hidden="1">
      <c r="A14" s="86" t="s">
        <v>6</v>
      </c>
      <c r="B14" s="23"/>
      <c r="C14" s="103">
        <f>IF(ISNA([1]Summary!I16=TRUE),"-",([1]Summary!I16))</f>
        <v>10.68</v>
      </c>
      <c r="D14" s="22"/>
      <c r="E14" s="22"/>
      <c r="F14" s="22"/>
      <c r="G14" s="105">
        <f>IF(ISNA([1]Summary!M16=TRUE),"-",([1]Summary!M16))</f>
        <v>35.46</v>
      </c>
      <c r="H14" s="22"/>
      <c r="I14" s="22"/>
      <c r="J14" s="127"/>
      <c r="K14" s="215"/>
      <c r="L14" s="24"/>
      <c r="M14" s="20"/>
      <c r="N14" s="20"/>
      <c r="O14" s="20"/>
      <c r="P14" s="20"/>
      <c r="Q14" s="54"/>
      <c r="R14" s="54"/>
      <c r="S14" s="54"/>
      <c r="T14" s="50"/>
      <c r="U14" s="26"/>
      <c r="V14" s="26"/>
      <c r="W14" s="26"/>
      <c r="X14" s="54"/>
      <c r="Y14" s="51"/>
      <c r="Z14" s="51"/>
      <c r="AA14" s="51"/>
      <c r="AB14" s="55"/>
      <c r="AC14" s="55"/>
      <c r="AD14" s="55"/>
      <c r="AE14" s="54"/>
      <c r="AF14" s="54"/>
      <c r="AG14" s="53"/>
      <c r="AH14" s="53"/>
      <c r="AI14" s="53"/>
      <c r="AJ14" s="53"/>
      <c r="AK14" s="53"/>
      <c r="AL14" s="53"/>
      <c r="AM14" s="54"/>
      <c r="AN14" s="54"/>
      <c r="AO14" s="32"/>
    </row>
    <row r="15" spans="1:41" ht="12.75" customHeight="1">
      <c r="A15" s="87"/>
      <c r="B15" s="23"/>
      <c r="C15" s="104"/>
      <c r="D15" s="22"/>
      <c r="E15" s="22"/>
      <c r="F15" s="22"/>
      <c r="G15" s="104" t="s">
        <v>7</v>
      </c>
      <c r="H15" s="22"/>
      <c r="I15" s="22"/>
      <c r="J15" s="128"/>
      <c r="K15" s="128"/>
      <c r="L15" s="25"/>
      <c r="M15" s="140"/>
      <c r="N15" s="138"/>
      <c r="O15" s="138"/>
      <c r="P15" s="138"/>
      <c r="Q15" s="56"/>
      <c r="R15" s="56"/>
      <c r="S15" s="54"/>
      <c r="T15" s="14"/>
      <c r="U15" s="57"/>
      <c r="V15" s="57"/>
      <c r="W15" s="57"/>
      <c r="X15" s="34"/>
      <c r="Y15" s="53"/>
      <c r="Z15" s="53"/>
      <c r="AA15" s="53"/>
      <c r="AB15" s="41"/>
      <c r="AC15" s="41"/>
      <c r="AD15" s="41"/>
      <c r="AE15" s="34"/>
      <c r="AF15" s="34"/>
      <c r="AG15" s="53"/>
      <c r="AH15" s="53"/>
      <c r="AI15" s="53"/>
      <c r="AJ15" s="53"/>
      <c r="AK15" s="53"/>
      <c r="AL15" s="53"/>
      <c r="AM15" s="34"/>
      <c r="AN15" s="34"/>
      <c r="AO15" s="32"/>
    </row>
    <row r="16" spans="1:41" ht="30" customHeight="1">
      <c r="A16" s="222" t="s">
        <v>113</v>
      </c>
      <c r="B16" s="23"/>
      <c r="C16" s="104"/>
      <c r="D16" s="22"/>
      <c r="E16" s="22"/>
      <c r="F16" s="22"/>
      <c r="G16" s="104"/>
      <c r="H16" s="22"/>
      <c r="I16" s="22"/>
      <c r="J16" s="128"/>
      <c r="K16" s="128"/>
      <c r="L16" s="25"/>
      <c r="M16" s="140"/>
      <c r="N16" s="138"/>
      <c r="O16" s="138"/>
      <c r="P16" s="138"/>
      <c r="Q16" s="56"/>
      <c r="R16" s="56"/>
      <c r="S16" s="54"/>
      <c r="T16" s="14"/>
      <c r="U16" s="57"/>
      <c r="V16" s="57"/>
      <c r="W16" s="57"/>
      <c r="X16" s="34"/>
      <c r="Y16" s="53"/>
      <c r="Z16" s="53"/>
      <c r="AA16" s="53"/>
      <c r="AB16" s="41"/>
      <c r="AC16" s="41"/>
      <c r="AD16" s="41"/>
      <c r="AE16" s="34"/>
      <c r="AF16" s="34"/>
      <c r="AG16" s="53"/>
      <c r="AH16" s="53"/>
      <c r="AI16" s="53"/>
      <c r="AJ16" s="53"/>
      <c r="AK16" s="53"/>
      <c r="AL16" s="53"/>
      <c r="AM16" s="34"/>
      <c r="AN16" s="34"/>
      <c r="AO16" s="32"/>
    </row>
    <row r="17" spans="1:41" s="32" customFormat="1" ht="30" customHeight="1">
      <c r="A17" s="227" t="s">
        <v>25</v>
      </c>
      <c r="B17" s="23"/>
      <c r="C17" s="105">
        <v>-106</v>
      </c>
      <c r="D17" s="22" t="s">
        <v>20</v>
      </c>
      <c r="E17" s="228">
        <v>4.657</v>
      </c>
      <c r="F17" s="22"/>
      <c r="G17" s="118">
        <f>[2]Summary!$P$7/1000</f>
        <v>-2789.9196266781241</v>
      </c>
      <c r="H17" s="22"/>
      <c r="I17" s="22"/>
      <c r="J17" s="124">
        <v>4.5</v>
      </c>
      <c r="K17" s="124">
        <f>J17*SQRT($K$8)</f>
        <v>34.856850115866756</v>
      </c>
      <c r="L17" s="22"/>
      <c r="M17" s="141">
        <f>[2]Summary!$Q$7/1000</f>
        <v>-98.375626678124064</v>
      </c>
      <c r="N17" s="141">
        <f>[2]Summary!$R$7/1000</f>
        <v>-98.375626678124064</v>
      </c>
      <c r="O17" s="141">
        <f>[2]Summary!$R$7/1000</f>
        <v>-98.375626678124064</v>
      </c>
      <c r="P17" s="141"/>
      <c r="Q17" s="56"/>
      <c r="R17" s="56"/>
      <c r="S17" s="54"/>
      <c r="T17" s="50"/>
      <c r="U17" s="26"/>
      <c r="V17" s="26"/>
      <c r="W17" s="26"/>
      <c r="X17" s="35"/>
      <c r="Y17" s="51"/>
      <c r="Z17" s="51"/>
      <c r="AA17" s="51"/>
      <c r="AB17" s="52"/>
      <c r="AC17" s="52"/>
      <c r="AD17" s="52"/>
      <c r="AE17" s="35"/>
      <c r="AF17" s="35"/>
      <c r="AG17" s="53"/>
      <c r="AH17" s="53"/>
      <c r="AI17" s="53"/>
      <c r="AJ17" s="53"/>
      <c r="AK17" s="53"/>
      <c r="AL17" s="53"/>
      <c r="AM17" s="35"/>
      <c r="AN17" s="35"/>
    </row>
    <row r="18" spans="1:41" s="32" customFormat="1" ht="30" customHeight="1">
      <c r="A18" s="227" t="s">
        <v>26</v>
      </c>
      <c r="B18" s="23"/>
      <c r="C18" s="105">
        <f>'Sithe - Contract Position'!F7/1000</f>
        <v>37.664336974631503</v>
      </c>
      <c r="D18" s="22" t="s">
        <v>27</v>
      </c>
      <c r="E18" s="105">
        <f>C18</f>
        <v>37.664336974631503</v>
      </c>
      <c r="F18" s="22"/>
      <c r="G18" s="118">
        <f>[2]Summary!$P$9/1000</f>
        <v>1889.1776774288035</v>
      </c>
      <c r="H18" s="22"/>
      <c r="I18" s="22"/>
      <c r="J18" s="101"/>
      <c r="K18" s="129"/>
      <c r="L18" s="22"/>
      <c r="M18" s="141">
        <f>[2]Summary!$Q$9/1000</f>
        <v>20.012677428803407</v>
      </c>
      <c r="N18" s="141">
        <f>[2]Summary!$R$9/1000</f>
        <v>20.012677428803407</v>
      </c>
      <c r="O18" s="141">
        <f>[2]Summary!$R$9/1000</f>
        <v>20.012677428803407</v>
      </c>
      <c r="P18" s="141"/>
      <c r="Q18" s="56"/>
      <c r="R18" s="56"/>
      <c r="S18" s="54"/>
      <c r="T18" s="50"/>
      <c r="U18" s="26"/>
      <c r="V18" s="26"/>
      <c r="W18" s="26"/>
      <c r="X18" s="35"/>
      <c r="Y18" s="51"/>
      <c r="Z18" s="51"/>
      <c r="AA18" s="51"/>
      <c r="AB18" s="52"/>
      <c r="AC18" s="52"/>
      <c r="AD18" s="52"/>
      <c r="AE18" s="35"/>
      <c r="AF18" s="35"/>
      <c r="AG18" s="53"/>
      <c r="AH18" s="53"/>
      <c r="AI18" s="53"/>
      <c r="AJ18" s="53"/>
      <c r="AK18" s="53"/>
      <c r="AL18" s="53"/>
      <c r="AM18" s="35"/>
      <c r="AN18" s="35"/>
    </row>
    <row r="19" spans="1:41" s="32" customFormat="1" ht="30" customHeight="1">
      <c r="A19" s="89"/>
      <c r="B19" s="23"/>
      <c r="C19" s="101"/>
      <c r="D19" s="22"/>
      <c r="E19" s="22"/>
      <c r="F19" s="22"/>
      <c r="G19" s="119"/>
      <c r="H19" s="22"/>
      <c r="I19" s="22"/>
      <c r="J19" s="119"/>
      <c r="K19" s="119"/>
      <c r="L19" s="22"/>
      <c r="M19" s="151"/>
      <c r="N19" s="151"/>
      <c r="O19" s="151"/>
      <c r="P19" s="151"/>
      <c r="Q19" s="56"/>
      <c r="R19" s="56"/>
      <c r="S19" s="54"/>
      <c r="T19" s="50"/>
      <c r="U19" s="26"/>
      <c r="V19" s="26"/>
      <c r="W19" s="26"/>
      <c r="X19" s="35"/>
      <c r="Y19" s="51"/>
      <c r="Z19" s="51"/>
      <c r="AA19" s="51"/>
      <c r="AB19" s="52"/>
      <c r="AC19" s="52"/>
      <c r="AD19" s="52"/>
      <c r="AE19" s="35"/>
      <c r="AF19" s="35"/>
      <c r="AG19" s="53"/>
      <c r="AH19" s="53"/>
      <c r="AI19" s="53"/>
      <c r="AJ19" s="53"/>
      <c r="AK19" s="53"/>
      <c r="AL19" s="53"/>
      <c r="AM19" s="35"/>
      <c r="AN19" s="35"/>
    </row>
    <row r="20" spans="1:41" s="32" customFormat="1" ht="30" customHeight="1">
      <c r="A20" s="222" t="s">
        <v>114</v>
      </c>
      <c r="B20" s="23"/>
      <c r="C20" s="101"/>
      <c r="D20" s="22"/>
      <c r="E20" s="22"/>
      <c r="F20" s="22"/>
      <c r="H20" s="22"/>
      <c r="I20" s="22"/>
      <c r="J20" s="119"/>
      <c r="K20" s="119"/>
      <c r="L20" s="22"/>
      <c r="M20" s="151"/>
      <c r="N20" s="151"/>
      <c r="O20" s="151"/>
      <c r="P20" s="151"/>
      <c r="Q20" s="56"/>
      <c r="R20" s="56"/>
      <c r="S20" s="54"/>
      <c r="T20" s="50"/>
      <c r="U20" s="26"/>
      <c r="V20" s="26"/>
      <c r="W20" s="26"/>
      <c r="X20" s="35"/>
      <c r="Y20" s="51"/>
      <c r="Z20" s="51"/>
      <c r="AA20" s="51"/>
      <c r="AB20" s="52"/>
      <c r="AC20" s="52"/>
      <c r="AD20" s="52"/>
      <c r="AE20" s="35"/>
      <c r="AF20" s="35"/>
      <c r="AG20" s="53"/>
      <c r="AH20" s="53"/>
      <c r="AI20" s="53"/>
      <c r="AJ20" s="53"/>
      <c r="AK20" s="53"/>
      <c r="AL20" s="53"/>
      <c r="AM20" s="35"/>
      <c r="AN20" s="35"/>
    </row>
    <row r="21" spans="1:41" s="32" customFormat="1" ht="30" customHeight="1">
      <c r="A21" s="227" t="s">
        <v>58</v>
      </c>
      <c r="B21" s="23"/>
      <c r="C21" s="105">
        <f>[4]MTM!$D$12</f>
        <v>403.34774886682652</v>
      </c>
      <c r="D21" s="22" t="s">
        <v>20</v>
      </c>
      <c r="E21" s="101"/>
      <c r="F21" s="22"/>
      <c r="G21" s="230">
        <f>'Sithe - MTM P&amp;L'!M22/1000</f>
        <v>1921.6062691913016</v>
      </c>
      <c r="H21" s="22"/>
      <c r="I21" s="22"/>
      <c r="J21" s="124">
        <v>33.979999999999997</v>
      </c>
      <c r="K21" s="124">
        <f>J21*SQRT($K$8)</f>
        <v>263.20794820825603</v>
      </c>
      <c r="L21" s="22"/>
      <c r="M21" s="141">
        <f>[2]Summary!$Q$7/1000</f>
        <v>-98.375626678124064</v>
      </c>
      <c r="N21" s="141">
        <f>[2]Summary!$R$7/1000</f>
        <v>-98.375626678124064</v>
      </c>
      <c r="O21" s="141">
        <f>[2]Summary!$R$7/1000</f>
        <v>-98.375626678124064</v>
      </c>
      <c r="P21" s="141"/>
      <c r="Q21" s="56"/>
      <c r="R21" s="56"/>
      <c r="S21" s="54"/>
      <c r="T21" s="50"/>
      <c r="U21" s="26"/>
      <c r="V21" s="26"/>
      <c r="W21" s="26"/>
      <c r="X21" s="35"/>
      <c r="Y21" s="51"/>
      <c r="Z21" s="51"/>
      <c r="AA21" s="51"/>
      <c r="AB21" s="52"/>
      <c r="AC21" s="52"/>
      <c r="AD21" s="52"/>
      <c r="AE21" s="35"/>
      <c r="AF21" s="35"/>
      <c r="AG21" s="53"/>
      <c r="AH21" s="53"/>
      <c r="AI21" s="53"/>
      <c r="AJ21" s="53"/>
      <c r="AK21" s="53"/>
      <c r="AL21" s="53"/>
      <c r="AM21" s="35"/>
      <c r="AN21" s="35"/>
    </row>
    <row r="22" spans="1:41" s="32" customFormat="1" ht="30" customHeight="1">
      <c r="A22" s="227" t="s">
        <v>26</v>
      </c>
      <c r="B22" s="23"/>
      <c r="C22" s="105">
        <f>[4]MTM!$D$13</f>
        <v>-23.894483256206581</v>
      </c>
      <c r="D22" s="22" t="s">
        <v>27</v>
      </c>
      <c r="E22" s="101"/>
      <c r="F22" s="22"/>
      <c r="G22" s="230">
        <f>'Sithe - MTM P&amp;L'!M25/1000</f>
        <v>-1149.2946137046247</v>
      </c>
      <c r="H22" s="22"/>
      <c r="I22" s="22"/>
      <c r="J22" s="124">
        <v>42</v>
      </c>
      <c r="K22" s="124">
        <f>J22*SQRT($K$8)</f>
        <v>325.33060108142303</v>
      </c>
      <c r="L22" s="22"/>
      <c r="M22" s="141">
        <f>[2]Summary!$Q$9/1000</f>
        <v>20.012677428803407</v>
      </c>
      <c r="N22" s="141">
        <f>[2]Summary!$R$9/1000</f>
        <v>20.012677428803407</v>
      </c>
      <c r="O22" s="141">
        <f>[2]Summary!$R$9/1000</f>
        <v>20.012677428803407</v>
      </c>
      <c r="P22" s="141"/>
      <c r="Q22" s="56"/>
      <c r="R22" s="56"/>
      <c r="S22" s="54"/>
      <c r="T22" s="50"/>
      <c r="U22" s="26"/>
      <c r="V22" s="26"/>
      <c r="W22" s="26"/>
      <c r="X22" s="35"/>
      <c r="Y22" s="51"/>
      <c r="Z22" s="51"/>
      <c r="AA22" s="51"/>
      <c r="AB22" s="52"/>
      <c r="AC22" s="52"/>
      <c r="AD22" s="52"/>
      <c r="AE22" s="35"/>
      <c r="AF22" s="35"/>
      <c r="AG22" s="53"/>
      <c r="AH22" s="53"/>
      <c r="AI22" s="53"/>
      <c r="AJ22" s="53"/>
      <c r="AK22" s="53"/>
      <c r="AL22" s="53"/>
      <c r="AM22" s="35"/>
      <c r="AN22" s="35"/>
    </row>
    <row r="23" spans="1:41" s="35" customFormat="1" ht="30" customHeight="1">
      <c r="A23" s="235"/>
      <c r="B23" s="27"/>
      <c r="C23" s="101"/>
      <c r="D23" s="22"/>
      <c r="E23" s="101"/>
      <c r="F23" s="22"/>
      <c r="G23" s="236"/>
      <c r="H23" s="22"/>
      <c r="I23" s="22"/>
      <c r="J23" s="129"/>
      <c r="K23" s="129"/>
      <c r="L23" s="22"/>
      <c r="M23" s="234"/>
      <c r="N23" s="234"/>
      <c r="O23" s="234"/>
      <c r="P23" s="234"/>
      <c r="Q23" s="54"/>
      <c r="R23" s="54"/>
      <c r="S23" s="54"/>
      <c r="T23" s="50"/>
      <c r="U23" s="26"/>
      <c r="V23" s="26"/>
      <c r="W23" s="26"/>
      <c r="Y23" s="51"/>
      <c r="Z23" s="51"/>
      <c r="AA23" s="51"/>
      <c r="AB23" s="52"/>
      <c r="AC23" s="52"/>
      <c r="AD23" s="52"/>
      <c r="AG23" s="53"/>
      <c r="AH23" s="53"/>
      <c r="AI23" s="53"/>
      <c r="AJ23" s="53"/>
      <c r="AK23" s="53"/>
      <c r="AL23" s="53"/>
    </row>
    <row r="24" spans="1:41" s="32" customFormat="1" ht="30" customHeight="1">
      <c r="A24" s="222" t="s">
        <v>111</v>
      </c>
      <c r="B24" s="23"/>
      <c r="C24" s="101"/>
      <c r="D24" s="22"/>
      <c r="E24" s="22"/>
      <c r="F24" s="22"/>
      <c r="G24" s="232" t="s">
        <v>7</v>
      </c>
      <c r="H24" s="22"/>
      <c r="I24" s="22"/>
      <c r="J24" s="119"/>
      <c r="K24" s="119"/>
      <c r="L24" s="22"/>
      <c r="M24" s="151"/>
      <c r="N24" s="151"/>
      <c r="O24" s="151"/>
      <c r="P24" s="151"/>
      <c r="Q24" s="56"/>
      <c r="R24" s="56"/>
      <c r="S24" s="54"/>
      <c r="T24" s="50"/>
      <c r="U24" s="26"/>
      <c r="V24" s="26"/>
      <c r="W24" s="26"/>
      <c r="X24" s="35"/>
      <c r="Y24" s="51"/>
      <c r="Z24" s="51"/>
      <c r="AA24" s="51"/>
      <c r="AB24" s="52"/>
      <c r="AC24" s="52"/>
      <c r="AD24" s="52"/>
      <c r="AE24" s="35"/>
      <c r="AF24" s="35"/>
      <c r="AG24" s="53"/>
      <c r="AH24" s="53"/>
      <c r="AI24" s="53"/>
      <c r="AJ24" s="53"/>
      <c r="AK24" s="53"/>
      <c r="AL24" s="53"/>
      <c r="AM24" s="35"/>
      <c r="AN24" s="35"/>
    </row>
    <row r="25" spans="1:41" s="32" customFormat="1" ht="30" customHeight="1">
      <c r="A25" s="227" t="s">
        <v>110</v>
      </c>
      <c r="B25" s="23"/>
      <c r="C25" s="101"/>
      <c r="D25" s="22"/>
      <c r="E25" s="22"/>
      <c r="F25" s="22"/>
      <c r="G25" s="238">
        <f>[5]MTM!$H$20</f>
        <v>129.72651254904483</v>
      </c>
      <c r="H25" s="22"/>
      <c r="I25" s="22"/>
      <c r="J25" s="119"/>
      <c r="K25" s="119"/>
      <c r="L25" s="22"/>
      <c r="M25" s="151"/>
      <c r="N25" s="151"/>
      <c r="O25" s="151"/>
      <c r="P25" s="151"/>
      <c r="Q25" s="56"/>
      <c r="R25" s="56"/>
      <c r="S25" s="54"/>
      <c r="T25" s="50"/>
      <c r="U25" s="26"/>
      <c r="V25" s="26"/>
      <c r="W25" s="26"/>
      <c r="X25" s="35"/>
      <c r="Y25" s="51"/>
      <c r="Z25" s="51"/>
      <c r="AA25" s="51"/>
      <c r="AB25" s="52"/>
      <c r="AC25" s="52"/>
      <c r="AD25" s="52"/>
      <c r="AE25" s="35"/>
      <c r="AF25" s="35"/>
      <c r="AG25" s="53"/>
      <c r="AH25" s="53"/>
      <c r="AI25" s="53"/>
      <c r="AJ25" s="53"/>
      <c r="AK25" s="53"/>
      <c r="AL25" s="53"/>
      <c r="AM25" s="35"/>
      <c r="AN25" s="35"/>
    </row>
    <row r="26" spans="1:41" s="32" customFormat="1" ht="27.75" customHeight="1">
      <c r="A26" s="227" t="s">
        <v>114</v>
      </c>
      <c r="B26" s="23"/>
      <c r="C26" s="101"/>
      <c r="D26" s="22"/>
      <c r="E26" s="22"/>
      <c r="F26" s="22"/>
      <c r="G26" s="238">
        <f>G21+G22</f>
        <v>772.31165548667695</v>
      </c>
      <c r="H26" s="22"/>
      <c r="I26" s="22"/>
      <c r="J26" s="119"/>
      <c r="K26" s="119"/>
      <c r="L26" s="22"/>
      <c r="M26" s="151"/>
      <c r="N26" s="151"/>
      <c r="O26" s="151"/>
      <c r="P26" s="151"/>
      <c r="Q26" s="56"/>
      <c r="R26" s="56"/>
      <c r="S26" s="54"/>
      <c r="T26" s="50"/>
      <c r="U26" s="26"/>
      <c r="V26" s="26"/>
      <c r="W26" s="26"/>
      <c r="X26" s="35"/>
      <c r="Y26" s="51"/>
      <c r="Z26" s="51"/>
      <c r="AA26" s="51"/>
      <c r="AB26" s="52"/>
      <c r="AC26" s="52"/>
      <c r="AD26" s="52"/>
      <c r="AE26" s="35"/>
      <c r="AF26" s="35"/>
      <c r="AG26" s="53"/>
      <c r="AH26" s="53"/>
      <c r="AI26" s="53"/>
      <c r="AJ26" s="53"/>
      <c r="AK26" s="53"/>
      <c r="AL26" s="53"/>
      <c r="AM26" s="35"/>
      <c r="AN26" s="35"/>
    </row>
    <row r="27" spans="1:41" s="32" customFormat="1" ht="27.75" customHeight="1">
      <c r="A27" s="227" t="s">
        <v>115</v>
      </c>
      <c r="B27" s="23"/>
      <c r="C27" s="101"/>
      <c r="D27" s="22"/>
      <c r="E27" s="22"/>
      <c r="F27" s="22"/>
      <c r="G27" s="238">
        <f>'Sithe - MTM P&amp;L'!M33/1000</f>
        <v>1351.3989237026526</v>
      </c>
      <c r="H27" s="22"/>
      <c r="I27" s="22"/>
      <c r="J27" s="119"/>
      <c r="K27" s="119"/>
      <c r="L27" s="22"/>
      <c r="M27" s="151"/>
      <c r="N27" s="151"/>
      <c r="O27" s="151"/>
      <c r="P27" s="151"/>
      <c r="Q27" s="56"/>
      <c r="R27" s="56"/>
      <c r="S27" s="54"/>
      <c r="T27" s="50"/>
      <c r="U27" s="26"/>
      <c r="V27" s="26"/>
      <c r="W27" s="26"/>
      <c r="X27" s="35"/>
      <c r="Y27" s="51"/>
      <c r="Z27" s="51"/>
      <c r="AA27" s="51"/>
      <c r="AB27" s="52"/>
      <c r="AC27" s="52"/>
      <c r="AD27" s="52"/>
      <c r="AE27" s="35"/>
      <c r="AF27" s="35"/>
      <c r="AG27" s="53"/>
      <c r="AH27" s="53"/>
      <c r="AI27" s="53"/>
      <c r="AJ27" s="53"/>
      <c r="AK27" s="53"/>
      <c r="AL27" s="53"/>
      <c r="AM27" s="35"/>
      <c r="AN27" s="35"/>
    </row>
    <row r="28" spans="1:41" s="56" customFormat="1" ht="26.25">
      <c r="A28" s="227" t="s">
        <v>106</v>
      </c>
      <c r="B28" s="23"/>
      <c r="C28" s="101" t="s">
        <v>7</v>
      </c>
      <c r="D28" s="22"/>
      <c r="E28" s="22"/>
      <c r="F28" s="22"/>
      <c r="G28" s="231">
        <v>150</v>
      </c>
      <c r="H28" s="22"/>
      <c r="I28" s="22"/>
      <c r="J28" s="152"/>
      <c r="K28" s="152"/>
      <c r="L28" s="22"/>
      <c r="M28" s="151"/>
      <c r="N28" s="151"/>
      <c r="O28" s="151"/>
      <c r="P28" s="151"/>
      <c r="Q28" s="54"/>
      <c r="R28" s="54"/>
      <c r="S28" s="54"/>
      <c r="T28" s="50"/>
      <c r="U28" s="26"/>
      <c r="V28" s="26"/>
      <c r="W28" s="26"/>
      <c r="X28" s="54"/>
      <c r="Y28" s="51"/>
      <c r="Z28" s="51"/>
      <c r="AA28" s="51"/>
      <c r="AB28" s="55"/>
      <c r="AC28" s="55"/>
      <c r="AD28" s="55"/>
      <c r="AE28" s="54"/>
      <c r="AF28" s="54"/>
      <c r="AG28" s="53"/>
      <c r="AH28" s="53"/>
      <c r="AI28" s="53"/>
      <c r="AJ28" s="53"/>
      <c r="AK28" s="53"/>
      <c r="AL28" s="53"/>
      <c r="AM28" s="54"/>
      <c r="AN28" s="54"/>
      <c r="AO28" s="32"/>
    </row>
    <row r="29" spans="1:41" s="56" customFormat="1" ht="26.25">
      <c r="A29" s="90"/>
      <c r="B29" s="23"/>
      <c r="C29" s="101"/>
      <c r="D29" s="22"/>
      <c r="E29" s="22"/>
      <c r="F29" s="22"/>
      <c r="G29" s="120"/>
      <c r="H29" s="22"/>
      <c r="I29" s="119"/>
      <c r="J29" s="152"/>
      <c r="K29" s="152"/>
      <c r="L29" s="22"/>
      <c r="M29" s="120"/>
      <c r="N29" s="120"/>
      <c r="O29" s="120"/>
      <c r="P29" s="120"/>
      <c r="Q29" s="54"/>
      <c r="R29" s="54"/>
      <c r="S29" s="54"/>
      <c r="T29" s="50"/>
      <c r="U29" s="26"/>
      <c r="V29" s="26"/>
      <c r="W29" s="26"/>
      <c r="X29" s="54"/>
      <c r="Y29" s="51"/>
      <c r="Z29" s="51"/>
      <c r="AA29" s="51"/>
      <c r="AB29" s="55"/>
      <c r="AC29" s="55"/>
      <c r="AD29" s="55"/>
      <c r="AE29" s="54"/>
      <c r="AF29" s="54"/>
      <c r="AG29" s="53"/>
      <c r="AH29" s="53"/>
      <c r="AI29" s="53"/>
      <c r="AJ29" s="53"/>
      <c r="AK29" s="53"/>
      <c r="AL29" s="53"/>
      <c r="AM29" s="54"/>
      <c r="AN29" s="54"/>
      <c r="AO29" s="32"/>
    </row>
    <row r="30" spans="1:41" s="54" customFormat="1" ht="26.25">
      <c r="A30" s="88" t="s">
        <v>29</v>
      </c>
      <c r="B30" s="27"/>
      <c r="C30" s="106">
        <v>311000</v>
      </c>
      <c r="D30" s="84" t="s">
        <v>30</v>
      </c>
      <c r="E30" s="22"/>
      <c r="F30" s="84"/>
      <c r="G30" s="119"/>
      <c r="H30" s="77"/>
      <c r="I30" s="22"/>
      <c r="J30" s="119"/>
      <c r="K30" s="119"/>
      <c r="L30" s="77"/>
      <c r="M30" s="90"/>
      <c r="N30" s="90"/>
      <c r="O30" s="90"/>
      <c r="P30" s="90"/>
      <c r="T30" s="50"/>
      <c r="U30" s="26"/>
      <c r="V30" s="26"/>
      <c r="W30" s="26"/>
      <c r="Y30" s="51"/>
      <c r="Z30" s="51"/>
      <c r="AA30" s="51"/>
      <c r="AB30" s="55"/>
      <c r="AC30" s="55"/>
      <c r="AD30" s="55"/>
      <c r="AG30" s="53"/>
      <c r="AH30" s="53"/>
      <c r="AI30" s="53"/>
      <c r="AJ30" s="53"/>
      <c r="AK30" s="53"/>
      <c r="AL30" s="53"/>
      <c r="AO30" s="32"/>
    </row>
    <row r="31" spans="1:41" ht="26.25">
      <c r="A31" s="92"/>
      <c r="B31" s="23"/>
      <c r="C31" s="96"/>
      <c r="D31" s="27"/>
      <c r="E31" s="27"/>
      <c r="F31" s="27"/>
      <c r="G31" s="96"/>
      <c r="H31" s="21"/>
      <c r="I31" s="21"/>
      <c r="J31" s="131"/>
      <c r="K31" s="131"/>
      <c r="L31" s="21"/>
      <c r="M31" s="29"/>
      <c r="N31" s="29"/>
      <c r="O31" s="29"/>
      <c r="P31" s="29"/>
      <c r="Q31" s="56"/>
      <c r="R31" s="56"/>
      <c r="S31" s="54"/>
      <c r="T31" s="34"/>
      <c r="U31" s="34"/>
      <c r="V31" s="34"/>
      <c r="W31" s="34"/>
      <c r="X31" s="34"/>
      <c r="Y31" s="53"/>
      <c r="Z31" s="53"/>
      <c r="AA31" s="53"/>
      <c r="AB31" s="34"/>
      <c r="AC31" s="34"/>
      <c r="AD31" s="34"/>
      <c r="AE31" s="34"/>
      <c r="AF31" s="34"/>
      <c r="AG31" s="53"/>
      <c r="AH31" s="53"/>
      <c r="AI31" s="53"/>
      <c r="AJ31" s="53"/>
      <c r="AK31" s="53"/>
      <c r="AL31" s="53"/>
      <c r="AM31" s="35"/>
      <c r="AN31" s="34"/>
      <c r="AO31" s="32"/>
    </row>
    <row r="32" spans="1:41" s="32" customFormat="1" ht="30" customHeight="1">
      <c r="A32" s="85" t="s">
        <v>17</v>
      </c>
      <c r="B32" s="23"/>
      <c r="C32" s="116"/>
      <c r="D32" s="22" t="s">
        <v>20</v>
      </c>
      <c r="E32" s="22"/>
      <c r="F32" s="22"/>
      <c r="G32" s="30">
        <f>SUM(G37:G39)</f>
        <v>35.252232148340653</v>
      </c>
      <c r="H32" s="68"/>
      <c r="I32" s="68"/>
      <c r="J32" s="30">
        <f>SUM(J37:J39)</f>
        <v>0</v>
      </c>
      <c r="K32" s="30">
        <f>J32*SQRT($K$8)</f>
        <v>0</v>
      </c>
      <c r="L32" s="22"/>
      <c r="M32" s="30">
        <f>SUM(M37:M39)</f>
        <v>0</v>
      </c>
      <c r="N32" s="30">
        <f>SUM(N37:N39)</f>
        <v>0</v>
      </c>
      <c r="O32" s="30">
        <f>SUM(O37:O39)</f>
        <v>0</v>
      </c>
      <c r="P32" s="30"/>
      <c r="Q32" s="54"/>
      <c r="R32" s="54"/>
      <c r="S32" s="54"/>
      <c r="T32" s="50"/>
      <c r="U32" s="26"/>
      <c r="V32" s="26"/>
      <c r="W32" s="26"/>
      <c r="X32" s="35"/>
      <c r="Y32" s="51"/>
      <c r="Z32" s="51"/>
      <c r="AA32" s="51"/>
      <c r="AB32" s="52"/>
      <c r="AC32" s="52"/>
      <c r="AD32" s="52"/>
      <c r="AE32" s="35"/>
      <c r="AF32" s="35"/>
      <c r="AG32" s="53"/>
      <c r="AH32" s="53"/>
      <c r="AI32" s="53"/>
      <c r="AJ32" s="53"/>
      <c r="AK32" s="53"/>
      <c r="AL32" s="53"/>
      <c r="AM32" s="35"/>
      <c r="AN32" s="35"/>
    </row>
    <row r="33" spans="1:41" s="46" customFormat="1" ht="26.25" hidden="1">
      <c r="A33" s="86" t="s">
        <v>5</v>
      </c>
      <c r="B33" s="23"/>
      <c r="C33" s="96"/>
      <c r="D33" s="27"/>
      <c r="E33" s="81"/>
      <c r="F33" s="81"/>
      <c r="G33" s="103"/>
      <c r="H33" s="22"/>
      <c r="I33" s="22"/>
      <c r="J33" s="127"/>
      <c r="K33" s="127"/>
      <c r="L33" s="69"/>
      <c r="M33" s="20"/>
      <c r="N33" s="20"/>
      <c r="O33" s="20"/>
      <c r="P33" s="20"/>
      <c r="Q33" s="56"/>
      <c r="R33" s="56"/>
      <c r="S33" s="54"/>
      <c r="T33" s="50"/>
      <c r="U33" s="26"/>
      <c r="V33" s="26"/>
      <c r="W33" s="26"/>
      <c r="X33" s="47"/>
      <c r="Y33" s="51"/>
      <c r="Z33" s="51"/>
      <c r="AA33" s="51"/>
      <c r="AB33" s="48"/>
      <c r="AC33" s="48"/>
      <c r="AD33" s="48"/>
      <c r="AE33" s="47"/>
      <c r="AF33" s="47"/>
      <c r="AG33" s="53"/>
      <c r="AH33" s="53"/>
      <c r="AI33" s="53"/>
      <c r="AJ33" s="53"/>
      <c r="AK33" s="53"/>
      <c r="AL33" s="53"/>
      <c r="AM33" s="47"/>
      <c r="AN33" s="47"/>
      <c r="AO33" s="32"/>
    </row>
    <row r="34" spans="1:41" s="56" customFormat="1" ht="26.25" hidden="1">
      <c r="A34" s="86" t="s">
        <v>6</v>
      </c>
      <c r="B34" s="23"/>
      <c r="C34" s="213"/>
      <c r="D34" s="22"/>
      <c r="E34" s="22"/>
      <c r="F34" s="22"/>
      <c r="G34" s="103"/>
      <c r="H34" s="22"/>
      <c r="I34" s="22"/>
      <c r="J34" s="127"/>
      <c r="K34" s="127"/>
      <c r="L34" s="24"/>
      <c r="M34" s="20"/>
      <c r="N34" s="20"/>
      <c r="O34" s="20"/>
      <c r="P34" s="20"/>
      <c r="Q34" s="54"/>
      <c r="R34" s="54"/>
      <c r="S34" s="54"/>
      <c r="T34" s="50"/>
      <c r="U34" s="26"/>
      <c r="V34" s="26"/>
      <c r="W34" s="26"/>
      <c r="X34" s="54"/>
      <c r="Y34" s="51"/>
      <c r="Z34" s="51"/>
      <c r="AA34" s="51"/>
      <c r="AB34" s="55"/>
      <c r="AC34" s="55"/>
      <c r="AD34" s="55"/>
      <c r="AE34" s="54"/>
      <c r="AF34" s="54"/>
      <c r="AG34" s="53"/>
      <c r="AH34" s="53"/>
      <c r="AI34" s="53"/>
      <c r="AJ34" s="53"/>
      <c r="AK34" s="53"/>
      <c r="AL34" s="53"/>
      <c r="AM34" s="54"/>
      <c r="AN34" s="54"/>
      <c r="AO34" s="32"/>
    </row>
    <row r="35" spans="1:41" ht="12.75" customHeight="1">
      <c r="A35" s="87"/>
      <c r="B35" s="23"/>
      <c r="C35" s="220"/>
      <c r="D35" s="81"/>
      <c r="E35" s="22"/>
      <c r="F35" s="22"/>
      <c r="G35" s="104"/>
      <c r="H35" s="22"/>
      <c r="I35" s="22"/>
      <c r="J35" s="128"/>
      <c r="K35" s="128"/>
      <c r="L35" s="25"/>
      <c r="M35" s="140"/>
      <c r="N35" s="138"/>
      <c r="O35" s="138"/>
      <c r="P35" s="138"/>
      <c r="Q35" s="56"/>
      <c r="R35" s="56"/>
      <c r="S35" s="54"/>
      <c r="T35" s="14"/>
      <c r="U35" s="57"/>
      <c r="V35" s="57"/>
      <c r="W35" s="57"/>
      <c r="X35" s="34"/>
      <c r="Y35" s="53"/>
      <c r="Z35" s="53"/>
      <c r="AA35" s="53"/>
      <c r="AB35" s="41"/>
      <c r="AC35" s="41"/>
      <c r="AD35" s="41"/>
      <c r="AE35" s="34"/>
      <c r="AF35" s="34"/>
      <c r="AG35" s="53"/>
      <c r="AH35" s="53"/>
      <c r="AI35" s="53"/>
      <c r="AJ35" s="53"/>
      <c r="AK35" s="53"/>
      <c r="AL35" s="53"/>
      <c r="AM35" s="34"/>
      <c r="AN35" s="34"/>
      <c r="AO35" s="32"/>
    </row>
    <row r="36" spans="1:41" ht="24" customHeight="1">
      <c r="A36" s="221" t="s">
        <v>92</v>
      </c>
      <c r="B36" s="23"/>
      <c r="C36" s="115"/>
      <c r="D36" s="22"/>
      <c r="E36" s="22"/>
      <c r="F36" s="22"/>
      <c r="G36" s="104"/>
      <c r="H36" s="22"/>
      <c r="I36" s="22"/>
      <c r="J36" s="128"/>
      <c r="K36" s="128"/>
      <c r="L36" s="25"/>
      <c r="M36" s="140"/>
      <c r="N36" s="138"/>
      <c r="O36" s="138"/>
      <c r="P36" s="138"/>
      <c r="Q36" s="56"/>
      <c r="R36" s="56"/>
      <c r="S36" s="54"/>
      <c r="T36" s="14"/>
      <c r="U36" s="57"/>
      <c r="V36" s="57"/>
      <c r="W36" s="57"/>
      <c r="X36" s="34"/>
      <c r="Y36" s="53"/>
      <c r="Z36" s="53"/>
      <c r="AA36" s="53"/>
      <c r="AB36" s="41"/>
      <c r="AC36" s="41"/>
      <c r="AD36" s="41"/>
      <c r="AE36" s="34"/>
      <c r="AF36" s="34"/>
      <c r="AG36" s="53"/>
      <c r="AH36" s="53"/>
      <c r="AI36" s="53"/>
      <c r="AJ36" s="53"/>
      <c r="AK36" s="53"/>
      <c r="AL36" s="53"/>
      <c r="AM36" s="34"/>
      <c r="AN36" s="34"/>
      <c r="AO36" s="32"/>
    </row>
    <row r="37" spans="1:41" s="32" customFormat="1" ht="30" customHeight="1">
      <c r="A37" s="227" t="s">
        <v>95</v>
      </c>
      <c r="B37" s="23"/>
      <c r="C37" s="105">
        <f>'[3]Position and PV'!$C$11/1000000</f>
        <v>2.8399009999999998</v>
      </c>
      <c r="D37" s="22" t="s">
        <v>20</v>
      </c>
      <c r="E37" s="22"/>
      <c r="F37" s="22"/>
      <c r="G37" s="118">
        <f>'[3]Position and PV'!$E$11/1000000</f>
        <v>0.53460976369999946</v>
      </c>
      <c r="H37" s="22"/>
      <c r="I37" s="22"/>
      <c r="J37" s="137"/>
      <c r="K37" s="224"/>
      <c r="L37" s="22"/>
      <c r="M37" s="29"/>
      <c r="N37" s="29"/>
      <c r="O37" s="129"/>
      <c r="P37" s="129"/>
      <c r="Q37" s="56"/>
      <c r="R37" s="56"/>
      <c r="S37" s="54"/>
      <c r="T37" s="50"/>
      <c r="U37" s="26"/>
      <c r="V37" s="26"/>
      <c r="W37" s="26"/>
      <c r="X37" s="35"/>
      <c r="Y37" s="51"/>
      <c r="Z37" s="51"/>
      <c r="AA37" s="51"/>
      <c r="AB37" s="52"/>
      <c r="AC37" s="52"/>
      <c r="AD37" s="52"/>
      <c r="AE37" s="35"/>
      <c r="AF37" s="35"/>
      <c r="AG37" s="53"/>
      <c r="AH37" s="53"/>
      <c r="AI37" s="53"/>
      <c r="AJ37" s="53"/>
      <c r="AK37" s="53"/>
      <c r="AL37" s="53"/>
      <c r="AM37" s="35"/>
      <c r="AN37" s="35"/>
    </row>
    <row r="38" spans="1:41" s="56" customFormat="1" ht="26.25">
      <c r="A38" s="227" t="s">
        <v>96</v>
      </c>
      <c r="B38" s="23"/>
      <c r="C38" s="105">
        <f>'[3]Position and PV'!$C$13/1000000</f>
        <v>-44.53884130062746</v>
      </c>
      <c r="D38" s="22" t="s">
        <v>20</v>
      </c>
      <c r="E38" s="22"/>
      <c r="F38" s="22"/>
      <c r="G38" s="118">
        <f>'[3]Position and PV'!$E$13/1000000</f>
        <v>23.756513121040651</v>
      </c>
      <c r="H38" s="22"/>
      <c r="I38" s="22"/>
      <c r="J38" s="137"/>
      <c r="K38" s="137"/>
      <c r="L38" s="22"/>
      <c r="M38" s="29"/>
      <c r="N38" s="29"/>
      <c r="O38" s="29"/>
      <c r="P38" s="29"/>
      <c r="Q38" s="54"/>
      <c r="R38" s="54"/>
      <c r="S38" s="54"/>
      <c r="T38" s="50"/>
      <c r="U38" s="26"/>
      <c r="V38" s="26"/>
      <c r="W38" s="26"/>
      <c r="X38" s="54"/>
      <c r="Y38" s="51"/>
      <c r="Z38" s="51"/>
      <c r="AA38" s="51"/>
      <c r="AB38" s="55"/>
      <c r="AC38" s="55"/>
      <c r="AD38" s="55"/>
      <c r="AE38" s="54"/>
      <c r="AF38" s="54"/>
      <c r="AG38" s="53"/>
      <c r="AH38" s="53"/>
      <c r="AI38" s="53"/>
      <c r="AJ38" s="53"/>
      <c r="AK38" s="53"/>
      <c r="AL38" s="53"/>
      <c r="AM38" s="54"/>
      <c r="AN38" s="54"/>
      <c r="AO38" s="32"/>
    </row>
    <row r="39" spans="1:41" s="54" customFormat="1" ht="26.25">
      <c r="A39" s="237" t="s">
        <v>97</v>
      </c>
      <c r="B39" s="27"/>
      <c r="C39" s="105">
        <f>'[3]Position and PV'!$C$17/1000000</f>
        <v>56.390855999999999</v>
      </c>
      <c r="D39" s="22" t="s">
        <v>20</v>
      </c>
      <c r="E39" s="22"/>
      <c r="F39" s="22"/>
      <c r="G39" s="118">
        <f>'[3]Position and PV'!$E$17/1000000</f>
        <v>10.961109263600003</v>
      </c>
      <c r="H39" s="22"/>
      <c r="I39" s="22"/>
      <c r="J39" s="137"/>
      <c r="K39" s="137"/>
      <c r="L39" s="22"/>
      <c r="M39" s="29"/>
      <c r="N39" s="29"/>
      <c r="O39" s="29"/>
      <c r="P39" s="29"/>
      <c r="T39" s="50"/>
      <c r="U39" s="26"/>
      <c r="V39" s="26"/>
      <c r="W39" s="26"/>
      <c r="Y39" s="51"/>
      <c r="Z39" s="51"/>
      <c r="AA39" s="51"/>
      <c r="AB39" s="55"/>
      <c r="AC39" s="55"/>
      <c r="AD39" s="55"/>
      <c r="AG39" s="53"/>
      <c r="AH39" s="53"/>
      <c r="AI39" s="53"/>
      <c r="AJ39" s="53"/>
      <c r="AK39" s="53"/>
      <c r="AL39" s="53"/>
      <c r="AO39" s="32"/>
    </row>
    <row r="40" spans="1:41" s="54" customFormat="1" ht="26.25">
      <c r="A40" s="219"/>
      <c r="B40" s="27"/>
      <c r="C40" s="101"/>
      <c r="D40" s="22"/>
      <c r="E40" s="22"/>
      <c r="F40" s="22"/>
      <c r="G40" s="119"/>
      <c r="H40" s="22"/>
      <c r="I40" s="22"/>
      <c r="J40" s="137"/>
      <c r="K40" s="137"/>
      <c r="L40" s="22"/>
      <c r="M40" s="29"/>
      <c r="N40" s="29"/>
      <c r="T40" s="50"/>
      <c r="U40" s="26"/>
      <c r="V40" s="26"/>
      <c r="W40" s="26"/>
      <c r="Y40" s="51"/>
      <c r="Z40" s="51"/>
      <c r="AA40" s="51"/>
      <c r="AB40" s="55"/>
      <c r="AC40" s="55"/>
      <c r="AD40" s="55"/>
      <c r="AG40" s="53"/>
      <c r="AH40" s="53"/>
      <c r="AI40" s="53"/>
      <c r="AJ40" s="53"/>
      <c r="AK40" s="53"/>
      <c r="AL40" s="53"/>
      <c r="AO40" s="32"/>
    </row>
    <row r="41" spans="1:41" s="54" customFormat="1" ht="26.25">
      <c r="A41" s="221" t="s">
        <v>93</v>
      </c>
      <c r="B41" s="27"/>
      <c r="C41" s="115"/>
      <c r="D41" s="22"/>
      <c r="E41" s="22"/>
      <c r="F41" s="22"/>
      <c r="G41" s="119"/>
      <c r="H41" s="22"/>
      <c r="I41" s="22"/>
      <c r="J41" s="137"/>
      <c r="K41" s="137"/>
      <c r="L41" s="22"/>
      <c r="M41" s="29"/>
      <c r="N41" s="29"/>
      <c r="T41" s="50"/>
      <c r="U41" s="26"/>
      <c r="V41" s="26"/>
      <c r="W41" s="26"/>
      <c r="Y41" s="51"/>
      <c r="Z41" s="51"/>
      <c r="AA41" s="51"/>
      <c r="AB41" s="55"/>
      <c r="AC41" s="55"/>
      <c r="AD41" s="55"/>
      <c r="AG41" s="53"/>
      <c r="AH41" s="53"/>
      <c r="AI41" s="53"/>
      <c r="AJ41" s="53"/>
      <c r="AK41" s="53"/>
      <c r="AL41" s="53"/>
      <c r="AO41" s="32"/>
    </row>
    <row r="42" spans="1:41" s="54" customFormat="1" ht="26.25">
      <c r="A42" s="233" t="s">
        <v>12</v>
      </c>
      <c r="B42" s="27"/>
      <c r="C42" s="105">
        <f>'[3]Position and PV'!$C$30/1000000</f>
        <v>2.9581468999134376E-3</v>
      </c>
      <c r="D42" s="22" t="s">
        <v>20</v>
      </c>
      <c r="E42" s="22"/>
      <c r="F42" s="22"/>
      <c r="G42" s="118">
        <f>'[3]Position and PV'!$E$30/1000000</f>
        <v>240.67561233859996</v>
      </c>
      <c r="H42" s="22"/>
      <c r="I42" s="22"/>
      <c r="J42" s="137"/>
      <c r="K42" s="137"/>
      <c r="L42" s="22"/>
      <c r="M42" s="29"/>
      <c r="N42" s="29"/>
      <c r="O42" s="29"/>
      <c r="P42" s="29"/>
      <c r="T42" s="50"/>
      <c r="U42" s="26"/>
      <c r="V42" s="26"/>
      <c r="W42" s="26"/>
      <c r="Y42" s="51"/>
      <c r="Z42" s="51"/>
      <c r="AA42" s="51"/>
      <c r="AB42" s="55"/>
      <c r="AC42" s="55"/>
      <c r="AD42" s="55"/>
      <c r="AG42" s="53"/>
      <c r="AH42" s="53"/>
      <c r="AI42" s="53"/>
      <c r="AJ42" s="53"/>
      <c r="AK42" s="53"/>
      <c r="AL42" s="53"/>
      <c r="AO42" s="32"/>
    </row>
    <row r="43" spans="1:41" s="54" customFormat="1" ht="26.25">
      <c r="A43" s="227" t="s">
        <v>94</v>
      </c>
      <c r="B43" s="27"/>
      <c r="C43" s="105">
        <f>'[3]Position and PV'!$C$32/1000000</f>
        <v>4.4706950000000001</v>
      </c>
      <c r="D43" s="22" t="s">
        <v>105</v>
      </c>
      <c r="E43" s="22"/>
      <c r="F43" s="22"/>
      <c r="G43" s="118">
        <f>'[3]Position and PV'!$E$32/1000000</f>
        <v>-33.812319819799988</v>
      </c>
      <c r="H43" s="22"/>
      <c r="I43" s="22"/>
      <c r="J43" s="137"/>
      <c r="K43" s="137"/>
      <c r="L43" s="22"/>
      <c r="M43" s="29"/>
      <c r="N43" s="29"/>
      <c r="O43" s="29"/>
      <c r="P43" s="29"/>
      <c r="T43" s="50"/>
      <c r="U43" s="26"/>
      <c r="V43" s="26"/>
      <c r="W43" s="26"/>
      <c r="Y43" s="51"/>
      <c r="Z43" s="51"/>
      <c r="AA43" s="51"/>
      <c r="AB43" s="55"/>
      <c r="AC43" s="55"/>
      <c r="AD43" s="55"/>
      <c r="AG43" s="53"/>
      <c r="AH43" s="53"/>
      <c r="AI43" s="53"/>
      <c r="AJ43" s="53"/>
      <c r="AK43" s="53"/>
      <c r="AL43" s="53"/>
      <c r="AO43" s="32"/>
    </row>
    <row r="44" spans="1:41" s="54" customFormat="1" ht="26.25">
      <c r="A44" s="89"/>
      <c r="B44" s="27"/>
      <c r="C44" s="101"/>
      <c r="D44" s="22"/>
      <c r="E44" s="22"/>
      <c r="F44" s="22"/>
      <c r="G44" s="119"/>
      <c r="H44" s="22"/>
      <c r="I44" s="22"/>
      <c r="J44" s="137"/>
      <c r="K44" s="137"/>
      <c r="L44" s="22"/>
      <c r="M44" s="29"/>
      <c r="N44" s="29"/>
      <c r="O44" s="226"/>
      <c r="T44" s="50"/>
      <c r="U44" s="26"/>
      <c r="V44" s="26"/>
      <c r="W44" s="26"/>
      <c r="Y44" s="51"/>
      <c r="Z44" s="51"/>
      <c r="AA44" s="51"/>
      <c r="AB44" s="55"/>
      <c r="AC44" s="55"/>
      <c r="AD44" s="55"/>
      <c r="AG44" s="53"/>
      <c r="AH44" s="53"/>
      <c r="AI44" s="53"/>
      <c r="AJ44" s="53"/>
      <c r="AK44" s="53"/>
      <c r="AL44" s="53"/>
      <c r="AO44" s="32"/>
    </row>
    <row r="45" spans="1:41" s="54" customFormat="1" ht="26.25">
      <c r="A45" s="221" t="s">
        <v>102</v>
      </c>
      <c r="B45" s="27"/>
      <c r="C45" s="115"/>
      <c r="D45" s="22"/>
      <c r="E45" s="22"/>
      <c r="F45" s="22"/>
      <c r="G45" s="119"/>
      <c r="H45" s="22"/>
      <c r="I45" s="22"/>
      <c r="J45" s="137"/>
      <c r="K45" s="137"/>
      <c r="L45" s="22"/>
      <c r="M45" s="29"/>
      <c r="N45" s="29"/>
      <c r="O45" s="226"/>
      <c r="T45" s="50"/>
      <c r="U45" s="26"/>
      <c r="V45" s="26"/>
      <c r="W45" s="26"/>
      <c r="Y45" s="51"/>
      <c r="Z45" s="51"/>
      <c r="AA45" s="51"/>
      <c r="AB45" s="55"/>
      <c r="AC45" s="55"/>
      <c r="AD45" s="55"/>
      <c r="AG45" s="53"/>
      <c r="AH45" s="53"/>
      <c r="AI45" s="53"/>
      <c r="AJ45" s="53"/>
      <c r="AK45" s="53"/>
      <c r="AL45" s="53"/>
      <c r="AO45" s="32"/>
    </row>
    <row r="46" spans="1:41" ht="23.25">
      <c r="A46" s="233" t="s">
        <v>12</v>
      </c>
      <c r="B46" s="23"/>
      <c r="C46" s="105">
        <f>'[3]Position and PV'!$C$40/1000000</f>
        <v>153.14503812463323</v>
      </c>
      <c r="D46" s="22" t="s">
        <v>20</v>
      </c>
      <c r="E46" s="23"/>
      <c r="F46" s="23"/>
      <c r="G46" s="118">
        <f>'[3]Position and PV'!$E$40/1000000</f>
        <v>-607.81936261453882</v>
      </c>
      <c r="H46" s="21"/>
      <c r="I46" s="21"/>
      <c r="J46" s="137"/>
      <c r="K46" s="137"/>
      <c r="L46" s="21"/>
      <c r="M46" s="29"/>
      <c r="N46" s="29"/>
      <c r="O46" s="29"/>
      <c r="P46" s="29"/>
      <c r="Q46" s="56"/>
      <c r="R46" s="56"/>
      <c r="S46" s="56"/>
    </row>
    <row r="47" spans="1:41" ht="23.25">
      <c r="A47" s="227" t="s">
        <v>9</v>
      </c>
      <c r="B47" s="23"/>
      <c r="C47" s="105">
        <f>'[3]Position and PV'!$C$41/1000</f>
        <v>22576.0001901619</v>
      </c>
      <c r="D47" s="22" t="s">
        <v>103</v>
      </c>
      <c r="E47" s="23"/>
      <c r="F47" s="23"/>
      <c r="G47" s="118">
        <f>'[3]Position and PV'!$E$41/1000000</f>
        <v>991.56900086741598</v>
      </c>
      <c r="H47" s="21"/>
      <c r="I47" s="21"/>
      <c r="J47" s="137"/>
      <c r="K47" s="137"/>
      <c r="L47" s="21"/>
      <c r="M47" s="29"/>
      <c r="N47" s="29"/>
      <c r="O47" s="29"/>
      <c r="P47" s="29"/>
      <c r="Q47" s="56"/>
      <c r="R47" s="56"/>
      <c r="S47" s="56"/>
    </row>
    <row r="48" spans="1:41" ht="22.5">
      <c r="A48" s="89"/>
      <c r="B48" s="23"/>
      <c r="C48" s="101"/>
      <c r="D48" s="23"/>
      <c r="E48" s="23"/>
      <c r="F48" s="23"/>
      <c r="G48" s="23"/>
      <c r="H48" s="21"/>
      <c r="I48" s="21"/>
      <c r="J48" s="225"/>
      <c r="K48" s="225"/>
      <c r="L48" s="21"/>
      <c r="M48" s="78"/>
      <c r="N48" s="78"/>
      <c r="O48" s="78"/>
      <c r="P48" s="56"/>
      <c r="Q48" s="56"/>
      <c r="R48" s="56"/>
      <c r="S48" s="56"/>
    </row>
    <row r="49" spans="1:19" ht="22.5">
      <c r="A49" s="222" t="s">
        <v>98</v>
      </c>
      <c r="B49" s="23"/>
      <c r="C49" s="229">
        <f>'[3]Position and PV'!$E$50/1000000</f>
        <v>-97.003</v>
      </c>
      <c r="D49" s="22" t="s">
        <v>109</v>
      </c>
      <c r="E49" s="23"/>
      <c r="F49" s="23"/>
      <c r="G49" s="23"/>
      <c r="H49" s="21"/>
      <c r="I49" s="21"/>
      <c r="J49" s="225"/>
      <c r="K49" s="225"/>
      <c r="L49" s="21"/>
      <c r="M49" s="78"/>
      <c r="N49" s="78"/>
      <c r="O49" s="78"/>
      <c r="P49" s="56"/>
      <c r="Q49" s="56"/>
      <c r="R49" s="56"/>
      <c r="S49" s="56"/>
    </row>
    <row r="50" spans="1:19" ht="22.5">
      <c r="A50" s="227" t="s">
        <v>102</v>
      </c>
      <c r="B50" s="23"/>
      <c r="C50" s="105">
        <f>'[3]Position and PV'!$E$46/1000000</f>
        <v>-25.538</v>
      </c>
      <c r="D50" s="22" t="s">
        <v>109</v>
      </c>
      <c r="E50" s="23"/>
      <c r="F50" s="23"/>
      <c r="G50" s="23"/>
      <c r="H50" s="21"/>
      <c r="I50" s="21"/>
      <c r="J50" s="225"/>
      <c r="K50" s="225"/>
      <c r="L50" s="21"/>
      <c r="M50" s="78"/>
      <c r="N50" s="78"/>
      <c r="O50" s="78"/>
      <c r="P50" s="56"/>
      <c r="Q50" s="56"/>
      <c r="R50" s="56"/>
      <c r="S50" s="56"/>
    </row>
    <row r="51" spans="1:19" ht="22.5">
      <c r="A51" s="227" t="s">
        <v>107</v>
      </c>
      <c r="B51" s="23"/>
      <c r="C51" s="105">
        <f>'[3]Position and PV'!$E$47/1000000</f>
        <v>-64.498999999999995</v>
      </c>
      <c r="D51" s="22" t="s">
        <v>109</v>
      </c>
      <c r="E51" s="23"/>
      <c r="F51" s="23"/>
      <c r="G51" s="23"/>
      <c r="H51" s="21"/>
      <c r="I51" s="21"/>
      <c r="J51" s="21"/>
      <c r="K51" s="21"/>
      <c r="L51" s="21"/>
      <c r="M51" s="78"/>
      <c r="N51" s="78"/>
      <c r="O51" s="78"/>
      <c r="P51" s="56"/>
      <c r="Q51" s="56"/>
      <c r="R51" s="56"/>
      <c r="S51" s="56"/>
    </row>
    <row r="52" spans="1:19" ht="22.5">
      <c r="A52" s="227" t="s">
        <v>108</v>
      </c>
      <c r="B52" s="23"/>
      <c r="C52" s="105">
        <f>'[3]Position and PV'!$E$48/1000000</f>
        <v>-6.9660000000000002</v>
      </c>
      <c r="D52" s="22" t="s">
        <v>109</v>
      </c>
      <c r="E52" s="23"/>
      <c r="F52" s="23"/>
      <c r="G52" s="23"/>
      <c r="H52" s="21"/>
      <c r="I52" s="21"/>
      <c r="J52" s="21"/>
      <c r="K52" s="21"/>
      <c r="L52" s="21"/>
      <c r="M52" s="78"/>
      <c r="N52" s="78"/>
      <c r="O52" s="78"/>
      <c r="P52" s="56"/>
      <c r="Q52" s="56"/>
      <c r="R52" s="56"/>
      <c r="S52" s="56"/>
    </row>
    <row r="53" spans="1:19" ht="20.25">
      <c r="A53" s="23"/>
      <c r="B53" s="23"/>
      <c r="C53" s="23"/>
      <c r="D53" s="23"/>
      <c r="E53" s="23"/>
      <c r="F53" s="23"/>
      <c r="G53" s="23"/>
      <c r="H53" s="21"/>
      <c r="I53" s="21"/>
      <c r="J53" s="21"/>
      <c r="K53" s="21"/>
      <c r="L53" s="21"/>
      <c r="M53" s="78"/>
      <c r="N53" s="78"/>
      <c r="O53" s="78"/>
      <c r="P53" s="56"/>
      <c r="Q53" s="56"/>
      <c r="R53" s="56"/>
      <c r="S53" s="56"/>
    </row>
    <row r="54" spans="1:19" ht="20.25">
      <c r="A54" s="23"/>
      <c r="B54" s="23"/>
      <c r="C54" s="23"/>
      <c r="D54" s="23"/>
      <c r="E54" s="23"/>
      <c r="F54" s="23"/>
      <c r="G54" s="23"/>
      <c r="H54" s="21"/>
      <c r="I54" s="21"/>
      <c r="J54" s="21"/>
      <c r="K54" s="21"/>
      <c r="L54" s="21"/>
      <c r="M54" s="78"/>
      <c r="N54" s="78"/>
      <c r="O54" s="78"/>
      <c r="P54" s="56"/>
      <c r="Q54" s="56"/>
      <c r="R54" s="56"/>
      <c r="S54" s="56"/>
    </row>
    <row r="55" spans="1:19" ht="20.25">
      <c r="A55" s="23"/>
      <c r="B55" s="23"/>
      <c r="C55" s="23"/>
      <c r="D55" s="23"/>
      <c r="E55" s="23"/>
      <c r="F55" s="23"/>
      <c r="G55" s="23"/>
      <c r="H55" s="21"/>
      <c r="I55" s="21"/>
      <c r="J55" s="21"/>
      <c r="K55" s="21"/>
      <c r="L55" s="21"/>
      <c r="M55" s="78"/>
      <c r="N55" s="78"/>
      <c r="O55" s="78"/>
      <c r="P55" s="56"/>
      <c r="Q55" s="56"/>
      <c r="R55" s="56"/>
      <c r="S55" s="56"/>
    </row>
    <row r="56" spans="1:19" ht="20.25">
      <c r="A56" s="23"/>
      <c r="B56" s="23"/>
      <c r="C56" s="23"/>
      <c r="D56" s="23"/>
      <c r="E56" s="23"/>
      <c r="F56" s="23"/>
      <c r="G56" s="23"/>
      <c r="H56" s="21"/>
      <c r="I56" s="21"/>
      <c r="J56" s="21"/>
      <c r="K56" s="21"/>
      <c r="L56" s="21"/>
      <c r="M56" s="78"/>
      <c r="N56" s="78"/>
      <c r="O56" s="78"/>
      <c r="P56" s="56"/>
      <c r="Q56" s="56"/>
      <c r="R56" s="56"/>
      <c r="S56" s="56"/>
    </row>
    <row r="57" spans="1:19" ht="20.25">
      <c r="A57" s="23"/>
      <c r="B57" s="23"/>
      <c r="C57" s="23"/>
      <c r="D57" s="23"/>
      <c r="E57" s="23"/>
      <c r="F57" s="23"/>
      <c r="G57" s="23"/>
      <c r="H57" s="21"/>
      <c r="I57" s="21"/>
      <c r="J57" s="21"/>
      <c r="K57" s="21"/>
      <c r="L57" s="21"/>
      <c r="M57" s="78"/>
      <c r="N57" s="78"/>
      <c r="O57" s="78"/>
      <c r="P57" s="56"/>
      <c r="Q57" s="56"/>
      <c r="R57" s="56"/>
      <c r="S57" s="56"/>
    </row>
    <row r="58" spans="1:19" ht="20.25">
      <c r="A58" s="23"/>
      <c r="B58" s="23"/>
      <c r="C58" s="23"/>
      <c r="D58" s="23"/>
      <c r="E58" s="23"/>
      <c r="F58" s="23"/>
      <c r="G58" s="23"/>
      <c r="H58" s="21"/>
      <c r="I58" s="21"/>
      <c r="J58" s="21"/>
      <c r="K58" s="21"/>
      <c r="L58" s="21"/>
      <c r="M58" s="78"/>
      <c r="N58" s="78"/>
      <c r="O58" s="78"/>
      <c r="P58" s="56"/>
      <c r="Q58" s="56"/>
      <c r="R58" s="56"/>
      <c r="S58" s="56"/>
    </row>
    <row r="59" spans="1:19" ht="20.25">
      <c r="A59" s="23"/>
      <c r="B59" s="23"/>
      <c r="C59" s="23"/>
      <c r="D59" s="23"/>
      <c r="E59" s="23"/>
      <c r="F59" s="23"/>
      <c r="G59" s="23"/>
      <c r="H59" s="21"/>
      <c r="I59" s="21"/>
      <c r="J59" s="21"/>
      <c r="K59" s="21"/>
      <c r="L59" s="21"/>
      <c r="M59" s="78"/>
      <c r="N59" s="78"/>
      <c r="O59" s="78"/>
      <c r="P59" s="56"/>
      <c r="Q59" s="56"/>
      <c r="R59" s="56"/>
      <c r="S59" s="56"/>
    </row>
    <row r="60" spans="1:19" ht="20.25">
      <c r="A60" s="23"/>
      <c r="B60" s="23"/>
      <c r="C60" s="23"/>
      <c r="D60" s="23"/>
      <c r="E60" s="23"/>
      <c r="F60" s="23"/>
      <c r="G60" s="23"/>
      <c r="H60" s="21"/>
      <c r="I60" s="21"/>
      <c r="J60" s="21"/>
      <c r="K60" s="21"/>
      <c r="L60" s="21"/>
      <c r="M60" s="78"/>
      <c r="N60" s="78"/>
      <c r="O60" s="78"/>
      <c r="P60" s="56"/>
      <c r="Q60" s="56"/>
      <c r="R60" s="56"/>
      <c r="S60" s="56"/>
    </row>
    <row r="61" spans="1:19" ht="20.25">
      <c r="A61" s="23"/>
      <c r="B61" s="23"/>
      <c r="C61" s="23"/>
      <c r="D61" s="23"/>
      <c r="E61" s="23"/>
      <c r="F61" s="23"/>
      <c r="G61" s="23"/>
      <c r="H61" s="21"/>
      <c r="I61" s="21"/>
      <c r="J61" s="21"/>
      <c r="K61" s="21"/>
      <c r="L61" s="21"/>
      <c r="M61" s="78"/>
      <c r="N61" s="78"/>
      <c r="O61" s="78"/>
      <c r="P61" s="56"/>
      <c r="Q61" s="56"/>
      <c r="R61" s="56"/>
      <c r="S61" s="56"/>
    </row>
    <row r="62" spans="1:19" ht="20.25">
      <c r="A62" s="23"/>
      <c r="B62" s="23"/>
      <c r="C62" s="23"/>
      <c r="D62" s="23"/>
      <c r="E62" s="23"/>
      <c r="F62" s="23"/>
      <c r="G62" s="23"/>
      <c r="H62" s="21"/>
      <c r="I62" s="21"/>
      <c r="J62" s="21"/>
      <c r="K62" s="21"/>
      <c r="L62" s="21"/>
      <c r="M62" s="78"/>
      <c r="N62" s="78"/>
      <c r="O62" s="78"/>
      <c r="P62" s="56"/>
      <c r="Q62" s="56"/>
      <c r="R62" s="56"/>
      <c r="S62" s="56"/>
    </row>
    <row r="63" spans="1:19" ht="20.25">
      <c r="A63" s="23"/>
      <c r="B63" s="23"/>
      <c r="C63" s="23"/>
      <c r="D63" s="23"/>
      <c r="E63" s="23"/>
      <c r="F63" s="23"/>
      <c r="G63" s="23"/>
      <c r="H63" s="21"/>
      <c r="I63" s="21"/>
      <c r="J63" s="21"/>
      <c r="K63" s="21"/>
      <c r="L63" s="21"/>
      <c r="M63" s="78"/>
      <c r="N63" s="78"/>
      <c r="O63" s="78"/>
      <c r="P63" s="56"/>
      <c r="Q63" s="56"/>
      <c r="R63" s="56"/>
      <c r="S63" s="56"/>
    </row>
    <row r="64" spans="1:19" ht="20.25">
      <c r="A64" s="23"/>
      <c r="B64" s="23"/>
      <c r="C64" s="23"/>
      <c r="D64" s="23"/>
      <c r="E64" s="23"/>
      <c r="F64" s="23"/>
      <c r="G64" s="23"/>
      <c r="H64" s="21"/>
      <c r="I64" s="21"/>
      <c r="J64" s="21"/>
      <c r="K64" s="21"/>
      <c r="L64" s="21"/>
      <c r="M64" s="78"/>
      <c r="N64" s="78"/>
      <c r="O64" s="78"/>
      <c r="P64" s="56"/>
      <c r="Q64" s="56"/>
      <c r="R64" s="56"/>
      <c r="S64" s="56"/>
    </row>
    <row r="65" spans="1:19" ht="20.25">
      <c r="A65" s="23"/>
      <c r="B65" s="23"/>
      <c r="C65" s="23"/>
      <c r="D65" s="23"/>
      <c r="E65" s="23"/>
      <c r="F65" s="23"/>
      <c r="G65" s="23"/>
      <c r="H65" s="21"/>
      <c r="I65" s="21"/>
      <c r="J65" s="21"/>
      <c r="K65" s="21"/>
      <c r="L65" s="21"/>
      <c r="M65" s="78"/>
      <c r="N65" s="78"/>
      <c r="O65" s="78"/>
      <c r="P65" s="56"/>
      <c r="Q65" s="56"/>
      <c r="R65" s="56"/>
      <c r="S65" s="56"/>
    </row>
    <row r="66" spans="1:19" ht="20.25">
      <c r="A66" s="23"/>
      <c r="B66" s="23"/>
      <c r="C66" s="23"/>
      <c r="D66" s="23"/>
      <c r="E66" s="23"/>
      <c r="F66" s="23"/>
      <c r="G66" s="23"/>
      <c r="H66" s="21"/>
      <c r="I66" s="21"/>
      <c r="J66" s="21"/>
      <c r="K66" s="21"/>
      <c r="L66" s="21"/>
      <c r="M66" s="78"/>
      <c r="N66" s="78"/>
      <c r="O66" s="78"/>
      <c r="P66" s="56"/>
      <c r="Q66" s="56"/>
      <c r="R66" s="56"/>
      <c r="S66" s="56"/>
    </row>
    <row r="67" spans="1:19" ht="20.25">
      <c r="A67" s="23"/>
      <c r="B67" s="23"/>
      <c r="C67" s="23"/>
      <c r="D67" s="23"/>
      <c r="E67" s="23"/>
      <c r="F67" s="23"/>
      <c r="G67" s="23"/>
      <c r="H67" s="21"/>
      <c r="I67" s="21"/>
      <c r="J67" s="21"/>
      <c r="K67" s="21"/>
      <c r="L67" s="21"/>
      <c r="M67" s="78"/>
      <c r="N67" s="78"/>
      <c r="O67" s="78"/>
      <c r="P67" s="56"/>
      <c r="Q67" s="56"/>
      <c r="R67" s="56"/>
      <c r="S67" s="56"/>
    </row>
    <row r="68" spans="1:19" ht="20.25">
      <c r="A68" s="23"/>
      <c r="B68" s="23"/>
      <c r="C68" s="23"/>
      <c r="D68" s="23"/>
      <c r="E68" s="23"/>
      <c r="F68" s="23"/>
      <c r="G68" s="23"/>
      <c r="H68" s="21"/>
      <c r="I68" s="21"/>
      <c r="J68" s="21"/>
      <c r="K68" s="21"/>
      <c r="L68" s="21"/>
      <c r="M68" s="78"/>
      <c r="N68" s="78"/>
      <c r="O68" s="78"/>
      <c r="P68" s="56"/>
      <c r="Q68" s="56"/>
      <c r="R68" s="56"/>
      <c r="S68" s="56"/>
    </row>
    <row r="69" spans="1:19" ht="20.25">
      <c r="A69" s="23"/>
      <c r="B69" s="23"/>
      <c r="C69" s="23"/>
      <c r="D69" s="23"/>
      <c r="E69" s="23"/>
      <c r="F69" s="23"/>
      <c r="G69" s="23"/>
      <c r="H69" s="21"/>
      <c r="I69" s="21"/>
      <c r="J69" s="21"/>
      <c r="K69" s="21"/>
      <c r="L69" s="21"/>
      <c r="M69" s="78"/>
      <c r="N69" s="78"/>
      <c r="O69" s="78"/>
      <c r="P69" s="56"/>
      <c r="Q69" s="56"/>
      <c r="R69" s="56"/>
      <c r="S69" s="56"/>
    </row>
    <row r="70" spans="1:19" ht="20.25">
      <c r="A70" s="23"/>
      <c r="B70" s="23"/>
      <c r="C70" s="23"/>
      <c r="D70" s="23"/>
      <c r="E70" s="23"/>
      <c r="F70" s="23"/>
      <c r="G70" s="23"/>
      <c r="H70" s="21"/>
      <c r="I70" s="21"/>
      <c r="J70" s="21"/>
      <c r="K70" s="21"/>
      <c r="L70" s="21"/>
      <c r="M70" s="78"/>
      <c r="N70" s="78"/>
      <c r="O70" s="78"/>
      <c r="P70" s="56"/>
      <c r="Q70" s="56"/>
      <c r="R70" s="56"/>
      <c r="S70" s="56"/>
    </row>
    <row r="71" spans="1:19" ht="20.25">
      <c r="A71" s="23"/>
      <c r="B71" s="23"/>
      <c r="C71" s="23"/>
      <c r="D71" s="23"/>
      <c r="E71" s="23"/>
      <c r="F71" s="23"/>
      <c r="G71" s="23"/>
      <c r="H71" s="21"/>
      <c r="I71" s="21"/>
      <c r="J71" s="21"/>
      <c r="K71" s="21"/>
      <c r="L71" s="21"/>
      <c r="M71" s="78"/>
      <c r="N71" s="78"/>
      <c r="O71" s="78"/>
      <c r="P71" s="56"/>
      <c r="Q71" s="56"/>
      <c r="R71" s="56"/>
      <c r="S71" s="56"/>
    </row>
    <row r="72" spans="1:19" ht="20.25">
      <c r="A72" s="23"/>
      <c r="B72" s="23"/>
      <c r="C72" s="23"/>
      <c r="D72" s="23"/>
      <c r="E72" s="23"/>
      <c r="F72" s="23"/>
      <c r="G72" s="23"/>
      <c r="H72" s="21"/>
      <c r="I72" s="21"/>
      <c r="J72" s="21"/>
      <c r="K72" s="21"/>
      <c r="L72" s="21"/>
      <c r="M72" s="78"/>
      <c r="N72" s="78"/>
      <c r="O72" s="78"/>
      <c r="P72" s="56"/>
      <c r="Q72" s="56"/>
      <c r="R72" s="56"/>
      <c r="S72" s="56"/>
    </row>
    <row r="73" spans="1:19" ht="20.25">
      <c r="A73" s="23"/>
      <c r="B73" s="23"/>
      <c r="C73" s="23"/>
      <c r="D73" s="23"/>
      <c r="E73" s="23"/>
      <c r="F73" s="23"/>
      <c r="G73" s="23"/>
      <c r="H73" s="21"/>
      <c r="I73" s="21"/>
      <c r="J73" s="21"/>
      <c r="K73" s="21"/>
      <c r="L73" s="21"/>
      <c r="M73" s="78"/>
      <c r="N73" s="78"/>
      <c r="O73" s="78"/>
      <c r="P73" s="56"/>
      <c r="Q73" s="56"/>
      <c r="R73" s="56"/>
      <c r="S73" s="56"/>
    </row>
    <row r="74" spans="1:19" ht="20.25">
      <c r="A74" s="23"/>
      <c r="B74" s="23"/>
      <c r="C74" s="23"/>
      <c r="D74" s="23"/>
      <c r="E74" s="23"/>
      <c r="F74" s="23"/>
      <c r="G74" s="23"/>
      <c r="H74" s="21"/>
      <c r="I74" s="21"/>
      <c r="J74" s="21"/>
      <c r="K74" s="21"/>
      <c r="L74" s="21"/>
      <c r="M74" s="78"/>
      <c r="N74" s="78"/>
      <c r="O74" s="78"/>
      <c r="P74" s="56"/>
      <c r="Q74" s="56"/>
      <c r="R74" s="56"/>
      <c r="S74" s="56"/>
    </row>
    <row r="75" spans="1:19" ht="20.25">
      <c r="A75" s="23"/>
      <c r="B75" s="23"/>
      <c r="C75" s="23"/>
      <c r="D75" s="23"/>
      <c r="E75" s="23"/>
      <c r="F75" s="23"/>
      <c r="G75" s="23"/>
      <c r="H75" s="21"/>
      <c r="I75" s="21"/>
      <c r="J75" s="21"/>
      <c r="K75" s="21"/>
      <c r="L75" s="21"/>
      <c r="M75" s="78"/>
      <c r="N75" s="78"/>
      <c r="O75" s="78"/>
      <c r="P75" s="56"/>
      <c r="Q75" s="56"/>
      <c r="R75" s="56"/>
      <c r="S75" s="56"/>
    </row>
    <row r="76" spans="1:19" ht="20.25">
      <c r="A76" s="23"/>
      <c r="B76" s="23"/>
      <c r="C76" s="23"/>
      <c r="D76" s="23"/>
      <c r="E76" s="23"/>
      <c r="F76" s="23"/>
      <c r="G76" s="23"/>
      <c r="H76" s="21"/>
      <c r="I76" s="21"/>
      <c r="J76" s="21"/>
      <c r="K76" s="21"/>
      <c r="L76" s="21"/>
      <c r="M76" s="78"/>
      <c r="N76" s="78"/>
      <c r="O76" s="78"/>
      <c r="P76" s="56"/>
      <c r="Q76" s="56"/>
      <c r="R76" s="56"/>
      <c r="S76" s="56"/>
    </row>
    <row r="77" spans="1:19" ht="20.25">
      <c r="A77" s="23"/>
      <c r="B77" s="23"/>
      <c r="C77" s="23"/>
      <c r="D77" s="23"/>
      <c r="E77" s="23"/>
      <c r="F77" s="23"/>
      <c r="G77" s="23"/>
      <c r="H77" s="21"/>
      <c r="I77" s="21"/>
      <c r="J77" s="21"/>
      <c r="K77" s="21"/>
      <c r="L77" s="21"/>
      <c r="M77" s="78"/>
      <c r="N77" s="78"/>
      <c r="O77" s="78"/>
      <c r="P77" s="56"/>
      <c r="Q77" s="56"/>
      <c r="R77" s="56"/>
      <c r="S77" s="56"/>
    </row>
    <row r="78" spans="1:19" ht="20.25">
      <c r="A78" s="23"/>
      <c r="B78" s="23"/>
      <c r="C78" s="23"/>
      <c r="D78" s="23"/>
      <c r="E78" s="23"/>
      <c r="F78" s="23"/>
      <c r="G78" s="23"/>
      <c r="H78" s="21"/>
      <c r="I78" s="21"/>
      <c r="J78" s="21"/>
      <c r="K78" s="21"/>
      <c r="L78" s="21"/>
      <c r="M78" s="78"/>
      <c r="N78" s="78"/>
      <c r="O78" s="78"/>
      <c r="P78" s="56"/>
      <c r="Q78" s="56"/>
      <c r="R78" s="56"/>
      <c r="S78" s="56"/>
    </row>
    <row r="79" spans="1:19" ht="20.25">
      <c r="A79" s="23"/>
      <c r="B79" s="23"/>
      <c r="C79" s="23"/>
      <c r="D79" s="23"/>
      <c r="E79" s="23"/>
      <c r="F79" s="23"/>
      <c r="G79" s="23"/>
      <c r="H79" s="21"/>
      <c r="I79" s="21"/>
      <c r="J79" s="21"/>
      <c r="K79" s="21"/>
      <c r="L79" s="21"/>
      <c r="M79" s="78"/>
      <c r="N79" s="78"/>
      <c r="O79" s="78"/>
      <c r="P79" s="56"/>
      <c r="Q79" s="56"/>
      <c r="R79" s="56"/>
      <c r="S79" s="56"/>
    </row>
    <row r="80" spans="1:19" ht="20.25">
      <c r="A80" s="23"/>
      <c r="B80" s="23"/>
      <c r="C80" s="23"/>
      <c r="D80" s="23"/>
      <c r="E80" s="23"/>
      <c r="F80" s="23"/>
      <c r="G80" s="23"/>
      <c r="H80" s="21"/>
      <c r="I80" s="21"/>
      <c r="J80" s="21"/>
      <c r="K80" s="21"/>
      <c r="L80" s="21"/>
      <c r="M80" s="78"/>
      <c r="N80" s="78"/>
      <c r="O80" s="78"/>
      <c r="P80" s="56"/>
      <c r="Q80" s="56"/>
      <c r="R80" s="56"/>
      <c r="S80" s="56"/>
    </row>
    <row r="81" spans="1:19" ht="20.25">
      <c r="A81" s="23"/>
      <c r="B81" s="23"/>
      <c r="C81" s="23"/>
      <c r="D81" s="23"/>
      <c r="E81" s="23"/>
      <c r="F81" s="23"/>
      <c r="G81" s="23"/>
      <c r="H81" s="21"/>
      <c r="I81" s="21"/>
      <c r="J81" s="21"/>
      <c r="K81" s="21"/>
      <c r="L81" s="21"/>
      <c r="M81" s="78"/>
      <c r="N81" s="78"/>
      <c r="O81" s="78"/>
      <c r="P81" s="56"/>
      <c r="Q81" s="56"/>
      <c r="R81" s="56"/>
      <c r="S81" s="56"/>
    </row>
    <row r="82" spans="1:19" ht="20.25">
      <c r="A82" s="23"/>
      <c r="B82" s="23"/>
      <c r="C82" s="23"/>
      <c r="D82" s="23"/>
      <c r="E82" s="23"/>
      <c r="F82" s="23"/>
      <c r="G82" s="23"/>
      <c r="H82" s="21"/>
      <c r="I82" s="21"/>
      <c r="J82" s="21"/>
      <c r="K82" s="21"/>
      <c r="L82" s="21"/>
      <c r="M82" s="78"/>
      <c r="N82" s="78"/>
      <c r="O82" s="78"/>
      <c r="P82" s="56"/>
      <c r="Q82" s="56"/>
      <c r="R82" s="56"/>
      <c r="S82" s="56"/>
    </row>
    <row r="83" spans="1:19" ht="20.25">
      <c r="A83" s="23"/>
      <c r="B83" s="23"/>
      <c r="C83" s="23"/>
      <c r="D83" s="23"/>
      <c r="E83" s="23"/>
      <c r="F83" s="23"/>
      <c r="G83" s="23"/>
      <c r="H83" s="21"/>
      <c r="I83" s="21"/>
      <c r="J83" s="21"/>
      <c r="K83" s="21"/>
      <c r="L83" s="21"/>
      <c r="M83" s="78"/>
      <c r="N83" s="78"/>
      <c r="O83" s="78"/>
      <c r="P83" s="56"/>
      <c r="Q83" s="56"/>
      <c r="R83" s="56"/>
      <c r="S83" s="56"/>
    </row>
    <row r="84" spans="1:19" ht="20.25">
      <c r="A84" s="23"/>
      <c r="B84" s="23"/>
      <c r="C84" s="23"/>
      <c r="D84" s="23"/>
      <c r="E84" s="23"/>
      <c r="F84" s="23"/>
      <c r="G84" s="23"/>
      <c r="H84" s="21"/>
      <c r="I84" s="21"/>
      <c r="J84" s="21"/>
      <c r="K84" s="21"/>
      <c r="L84" s="21"/>
      <c r="M84" s="78"/>
      <c r="N84" s="78"/>
      <c r="O84" s="78"/>
      <c r="P84" s="56"/>
      <c r="Q84" s="56"/>
      <c r="R84" s="56"/>
      <c r="S84" s="56"/>
    </row>
    <row r="85" spans="1:19" ht="20.25">
      <c r="A85" s="23"/>
      <c r="B85" s="23"/>
      <c r="C85" s="23"/>
      <c r="D85" s="23"/>
      <c r="E85" s="23"/>
      <c r="F85" s="23"/>
      <c r="G85" s="23"/>
      <c r="H85" s="21"/>
      <c r="I85" s="21"/>
      <c r="J85" s="21"/>
      <c r="K85" s="21"/>
      <c r="L85" s="21"/>
      <c r="M85" s="78"/>
      <c r="N85" s="78"/>
      <c r="O85" s="78"/>
      <c r="P85" s="56"/>
      <c r="Q85" s="56"/>
      <c r="R85" s="56"/>
      <c r="S85" s="56"/>
    </row>
    <row r="86" spans="1:19" ht="20.25">
      <c r="A86" s="23"/>
      <c r="B86" s="23"/>
      <c r="C86" s="23"/>
      <c r="D86" s="23"/>
      <c r="E86" s="23"/>
      <c r="F86" s="23"/>
      <c r="G86" s="23"/>
      <c r="H86" s="21"/>
      <c r="I86" s="21"/>
      <c r="J86" s="21"/>
      <c r="K86" s="21"/>
      <c r="L86" s="21"/>
      <c r="M86" s="78"/>
      <c r="N86" s="78"/>
      <c r="O86" s="78"/>
      <c r="P86" s="56"/>
      <c r="Q86" s="56"/>
      <c r="R86" s="56"/>
      <c r="S86" s="56"/>
    </row>
    <row r="87" spans="1:19" ht="20.25">
      <c r="A87" s="23"/>
      <c r="B87" s="23"/>
      <c r="C87" s="23"/>
      <c r="D87" s="23"/>
      <c r="E87" s="23"/>
      <c r="F87" s="23"/>
      <c r="G87" s="23"/>
      <c r="H87" s="21"/>
      <c r="I87" s="21"/>
      <c r="J87" s="21"/>
      <c r="K87" s="21"/>
      <c r="L87" s="21"/>
      <c r="M87" s="78"/>
      <c r="N87" s="78"/>
      <c r="O87" s="78"/>
      <c r="P87" s="56"/>
      <c r="Q87" s="56"/>
      <c r="R87" s="56"/>
      <c r="S87" s="56"/>
    </row>
    <row r="88" spans="1:19" ht="20.25">
      <c r="A88" s="23"/>
      <c r="B88" s="23"/>
      <c r="C88" s="23"/>
      <c r="D88" s="23"/>
      <c r="E88" s="23"/>
      <c r="F88" s="23"/>
      <c r="G88" s="23"/>
      <c r="H88" s="21"/>
      <c r="I88" s="21"/>
      <c r="J88" s="21"/>
      <c r="K88" s="21"/>
      <c r="L88" s="21"/>
      <c r="M88" s="78"/>
      <c r="N88" s="78"/>
      <c r="O88" s="78"/>
      <c r="P88" s="56"/>
      <c r="Q88" s="56"/>
      <c r="R88" s="56"/>
      <c r="S88" s="56"/>
    </row>
    <row r="89" spans="1:19" ht="20.25">
      <c r="A89" s="23"/>
      <c r="B89" s="23"/>
      <c r="C89" s="23"/>
      <c r="D89" s="23"/>
      <c r="E89" s="23"/>
      <c r="F89" s="23"/>
      <c r="G89" s="23"/>
      <c r="H89" s="21"/>
      <c r="I89" s="21"/>
      <c r="J89" s="21"/>
      <c r="K89" s="21"/>
      <c r="L89" s="21"/>
      <c r="M89" s="78"/>
      <c r="N89" s="78"/>
      <c r="O89" s="78"/>
      <c r="P89" s="56"/>
      <c r="Q89" s="56"/>
      <c r="R89" s="56"/>
      <c r="S89" s="56"/>
    </row>
    <row r="90" spans="1:19" ht="20.25">
      <c r="A90" s="23"/>
      <c r="B90" s="23"/>
      <c r="C90" s="23"/>
      <c r="D90" s="23"/>
      <c r="E90" s="23"/>
      <c r="F90" s="23"/>
      <c r="G90" s="23"/>
      <c r="H90" s="21"/>
      <c r="I90" s="21"/>
      <c r="J90" s="21"/>
      <c r="K90" s="21"/>
      <c r="L90" s="21"/>
      <c r="M90" s="78"/>
      <c r="N90" s="78"/>
      <c r="O90" s="78"/>
      <c r="P90" s="56"/>
      <c r="Q90" s="56"/>
      <c r="R90" s="56"/>
      <c r="S90" s="56"/>
    </row>
    <row r="91" spans="1:19" ht="20.25">
      <c r="A91" s="23"/>
      <c r="B91" s="23"/>
      <c r="C91" s="23"/>
      <c r="D91" s="23"/>
      <c r="E91" s="23"/>
      <c r="F91" s="23"/>
      <c r="G91" s="23"/>
      <c r="H91" s="21"/>
      <c r="I91" s="21"/>
      <c r="J91" s="21"/>
      <c r="K91" s="21"/>
      <c r="L91" s="21"/>
      <c r="M91" s="78"/>
      <c r="N91" s="78"/>
      <c r="O91" s="78"/>
      <c r="P91" s="56"/>
      <c r="Q91" s="56"/>
      <c r="R91" s="56"/>
      <c r="S91" s="56"/>
    </row>
    <row r="92" spans="1:19" ht="20.25">
      <c r="A92" s="23"/>
      <c r="B92" s="23"/>
      <c r="C92" s="23"/>
      <c r="D92" s="23"/>
      <c r="E92" s="23"/>
      <c r="F92" s="23"/>
      <c r="G92" s="23"/>
      <c r="H92" s="21"/>
      <c r="I92" s="21"/>
      <c r="J92" s="21"/>
      <c r="K92" s="21"/>
      <c r="L92" s="21"/>
      <c r="M92" s="78"/>
      <c r="N92" s="78"/>
      <c r="O92" s="78"/>
      <c r="P92" s="56"/>
      <c r="Q92" s="56"/>
      <c r="R92" s="56"/>
      <c r="S92" s="56"/>
    </row>
    <row r="93" spans="1:19" ht="20.25">
      <c r="A93" s="23"/>
      <c r="B93" s="23"/>
      <c r="C93" s="23"/>
      <c r="D93" s="23"/>
      <c r="E93" s="23"/>
      <c r="F93" s="23"/>
      <c r="G93" s="23"/>
      <c r="H93" s="21"/>
      <c r="I93" s="21"/>
      <c r="J93" s="21"/>
      <c r="K93" s="21"/>
      <c r="L93" s="21"/>
      <c r="M93" s="78"/>
      <c r="N93" s="78"/>
      <c r="O93" s="78"/>
      <c r="P93" s="56"/>
      <c r="Q93" s="56"/>
      <c r="R93" s="56"/>
      <c r="S93" s="56"/>
    </row>
    <row r="94" spans="1:19" ht="20.25">
      <c r="A94" s="23"/>
      <c r="B94" s="23"/>
      <c r="C94" s="23"/>
      <c r="D94" s="23"/>
      <c r="E94" s="23"/>
      <c r="F94" s="23"/>
      <c r="G94" s="23"/>
      <c r="H94" s="21"/>
      <c r="I94" s="21"/>
      <c r="J94" s="21"/>
      <c r="K94" s="21"/>
      <c r="L94" s="21"/>
      <c r="M94" s="78"/>
      <c r="N94" s="78"/>
      <c r="O94" s="78"/>
      <c r="P94" s="56"/>
      <c r="Q94" s="56"/>
      <c r="R94" s="56"/>
      <c r="S94" s="56"/>
    </row>
    <row r="95" spans="1:19" ht="20.25">
      <c r="A95" s="23"/>
      <c r="B95" s="23"/>
      <c r="C95" s="23"/>
      <c r="D95" s="23"/>
      <c r="E95" s="23"/>
      <c r="F95" s="23"/>
      <c r="G95" s="23"/>
      <c r="H95" s="21"/>
      <c r="I95" s="21"/>
      <c r="J95" s="21"/>
      <c r="K95" s="21"/>
      <c r="L95" s="21"/>
      <c r="M95" s="78"/>
      <c r="N95" s="78"/>
      <c r="O95" s="78"/>
      <c r="P95" s="56"/>
      <c r="Q95" s="56"/>
      <c r="R95" s="56"/>
      <c r="S95" s="56"/>
    </row>
    <row r="96" spans="1:19" ht="20.25">
      <c r="A96" s="23"/>
      <c r="B96" s="23"/>
      <c r="C96" s="23"/>
      <c r="D96" s="23"/>
      <c r="E96" s="23"/>
      <c r="F96" s="23"/>
      <c r="G96" s="23"/>
      <c r="H96" s="21"/>
      <c r="I96" s="21"/>
      <c r="J96" s="21"/>
      <c r="K96" s="21"/>
      <c r="L96" s="21"/>
      <c r="M96" s="78"/>
      <c r="N96" s="78"/>
      <c r="O96" s="78"/>
      <c r="P96" s="56"/>
      <c r="Q96" s="56"/>
      <c r="R96" s="56"/>
      <c r="S96" s="56"/>
    </row>
    <row r="97" spans="1:19" ht="20.25">
      <c r="A97" s="23"/>
      <c r="B97" s="23"/>
      <c r="C97" s="23"/>
      <c r="D97" s="23"/>
      <c r="E97" s="23"/>
      <c r="F97" s="23"/>
      <c r="G97" s="23"/>
      <c r="H97" s="21"/>
      <c r="I97" s="21"/>
      <c r="J97" s="21"/>
      <c r="K97" s="21"/>
      <c r="L97" s="21"/>
      <c r="M97" s="78"/>
      <c r="N97" s="78"/>
      <c r="O97" s="78"/>
      <c r="P97" s="56"/>
      <c r="Q97" s="56"/>
      <c r="R97" s="56"/>
      <c r="S97" s="56"/>
    </row>
    <row r="98" spans="1:19" ht="20.25">
      <c r="A98" s="23"/>
      <c r="B98" s="23"/>
      <c r="C98" s="23"/>
      <c r="D98" s="23"/>
      <c r="E98" s="23"/>
      <c r="F98" s="23"/>
      <c r="G98" s="23"/>
      <c r="H98" s="21"/>
      <c r="I98" s="21"/>
      <c r="J98" s="21"/>
      <c r="K98" s="21"/>
      <c r="L98" s="21"/>
      <c r="M98" s="78"/>
      <c r="N98" s="78"/>
      <c r="O98" s="78"/>
      <c r="P98" s="56"/>
      <c r="Q98" s="56"/>
      <c r="R98" s="56"/>
      <c r="S98" s="56"/>
    </row>
    <row r="99" spans="1:19" ht="20.25">
      <c r="A99" s="23"/>
      <c r="B99" s="23"/>
      <c r="C99" s="23"/>
      <c r="D99" s="23"/>
      <c r="E99" s="23"/>
      <c r="F99" s="23"/>
      <c r="G99" s="23"/>
      <c r="H99" s="21"/>
      <c r="I99" s="21"/>
      <c r="J99" s="21"/>
      <c r="K99" s="21"/>
      <c r="L99" s="21"/>
      <c r="M99" s="78"/>
      <c r="N99" s="78"/>
      <c r="O99" s="78"/>
      <c r="P99" s="56"/>
      <c r="Q99" s="56"/>
      <c r="R99" s="56"/>
      <c r="S99" s="56"/>
    </row>
    <row r="100" spans="1:19" ht="20.25">
      <c r="A100" s="23"/>
      <c r="B100" s="23"/>
      <c r="C100" s="23"/>
      <c r="D100" s="23"/>
      <c r="E100" s="23"/>
      <c r="F100" s="23"/>
      <c r="G100" s="23"/>
      <c r="H100" s="21"/>
      <c r="I100" s="21"/>
      <c r="J100" s="21"/>
      <c r="K100" s="21"/>
      <c r="L100" s="21"/>
      <c r="M100" s="78"/>
      <c r="N100" s="78"/>
      <c r="O100" s="78"/>
      <c r="P100" s="56"/>
      <c r="Q100" s="56"/>
      <c r="R100" s="56"/>
      <c r="S100" s="56"/>
    </row>
    <row r="101" spans="1:19" ht="20.25">
      <c r="A101" s="23"/>
      <c r="B101" s="23"/>
      <c r="C101" s="23"/>
      <c r="D101" s="23"/>
      <c r="E101" s="23"/>
      <c r="F101" s="23"/>
      <c r="G101" s="23"/>
      <c r="H101" s="21"/>
      <c r="I101" s="21"/>
      <c r="J101" s="21"/>
      <c r="K101" s="21"/>
      <c r="L101" s="21"/>
      <c r="M101" s="78"/>
      <c r="N101" s="78"/>
      <c r="O101" s="78"/>
      <c r="P101" s="56"/>
      <c r="Q101" s="56"/>
      <c r="R101" s="56"/>
      <c r="S101" s="56"/>
    </row>
    <row r="102" spans="1:19" ht="20.25">
      <c r="A102" s="23"/>
      <c r="B102" s="23"/>
      <c r="C102" s="23"/>
      <c r="D102" s="23"/>
      <c r="E102" s="23"/>
      <c r="F102" s="23"/>
      <c r="G102" s="23"/>
      <c r="H102" s="21"/>
      <c r="I102" s="21"/>
      <c r="J102" s="21"/>
      <c r="K102" s="21"/>
      <c r="L102" s="21"/>
      <c r="M102" s="78"/>
      <c r="N102" s="78"/>
      <c r="O102" s="78"/>
      <c r="P102" s="56"/>
      <c r="Q102" s="56"/>
      <c r="R102" s="56"/>
      <c r="S102" s="56"/>
    </row>
    <row r="103" spans="1:19" ht="20.25">
      <c r="A103" s="23"/>
      <c r="B103" s="23"/>
      <c r="C103" s="23"/>
      <c r="D103" s="23"/>
      <c r="E103" s="23"/>
      <c r="F103" s="23"/>
      <c r="G103" s="23"/>
      <c r="H103" s="21"/>
      <c r="I103" s="21"/>
      <c r="J103" s="21"/>
      <c r="K103" s="21"/>
      <c r="L103" s="21"/>
      <c r="M103" s="78"/>
      <c r="N103" s="78"/>
      <c r="O103" s="78"/>
      <c r="P103" s="56"/>
      <c r="Q103" s="56"/>
      <c r="R103" s="56"/>
      <c r="S103" s="56"/>
    </row>
  </sheetData>
  <mergeCells count="2">
    <mergeCell ref="M7:P7"/>
    <mergeCell ref="J7:K7"/>
  </mergeCells>
  <phoneticPr fontId="0" type="noConversion"/>
  <printOptions horizontalCentered="1" verticalCentered="1"/>
  <pageMargins left="0.2" right="0.2" top="0.5" bottom="0.5" header="0" footer="0"/>
  <pageSetup scale="28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rowBreaks count="1" manualBreakCount="1">
    <brk id="29" max="16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85"/>
  <sheetViews>
    <sheetView zoomScale="4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I3" sqref="I3"/>
    </sheetView>
  </sheetViews>
  <sheetFormatPr defaultRowHeight="15.75"/>
  <cols>
    <col min="1" max="1" width="72" style="19" customWidth="1"/>
    <col min="2" max="2" width="2.140625" style="19" customWidth="1"/>
    <col min="3" max="3" width="34.140625" style="19" customWidth="1"/>
    <col min="4" max="4" width="20.140625" style="19" customWidth="1"/>
    <col min="5" max="5" width="43.140625" style="19" customWidth="1"/>
    <col min="6" max="7" width="4.42578125" style="3" customWidth="1"/>
    <col min="8" max="9" width="28.5703125" style="3" customWidth="1"/>
    <col min="10" max="10" width="5.42578125" style="3" customWidth="1"/>
    <col min="11" max="11" width="33.140625" style="5" customWidth="1"/>
    <col min="12" max="12" width="36.5703125" style="5" customWidth="1"/>
    <col min="13" max="13" width="23.85546875" style="5" hidden="1" customWidth="1"/>
    <col min="14" max="14" width="11.85546875" style="33" customWidth="1"/>
    <col min="15" max="15" width="25.42578125" style="33" customWidth="1"/>
    <col min="16" max="16" width="25" style="33" customWidth="1"/>
    <col min="17" max="17" width="24.140625" style="33" customWidth="1"/>
    <col min="18" max="18" width="17" style="33" customWidth="1"/>
    <col min="19" max="19" width="2.140625" style="33" customWidth="1"/>
    <col min="20" max="20" width="12.42578125" style="33" customWidth="1"/>
    <col min="21" max="21" width="16" style="33" customWidth="1"/>
    <col min="22" max="22" width="19.140625" style="33" customWidth="1"/>
    <col min="23" max="23" width="20.42578125" style="33" customWidth="1"/>
    <col min="24" max="24" width="18.5703125" style="33" customWidth="1"/>
    <col min="25" max="25" width="9.140625" style="33"/>
    <col min="26" max="28" width="19.85546875" style="33" customWidth="1"/>
    <col min="29" max="29" width="13.5703125" style="33" customWidth="1"/>
    <col min="30" max="30" width="22.140625" style="33" hidden="1" customWidth="1"/>
    <col min="31" max="31" width="32.5703125" style="33" hidden="1" customWidth="1"/>
    <col min="32" max="32" width="20.7109375" style="33" hidden="1" customWidth="1"/>
    <col min="33" max="33" width="19.85546875" style="33" customWidth="1"/>
    <col min="34" max="34" width="14.42578125" style="33" customWidth="1"/>
    <col min="35" max="35" width="14.140625" style="33" customWidth="1"/>
    <col min="36" max="36" width="14.7109375" style="33" customWidth="1"/>
    <col min="37" max="37" width="13.28515625" style="33" customWidth="1"/>
    <col min="38" max="38" width="18.5703125" style="33" customWidth="1"/>
    <col min="39" max="39" width="14.42578125" style="33" customWidth="1"/>
    <col min="40" max="41" width="12.42578125" style="33" customWidth="1"/>
    <col min="42" max="16384" width="9.140625" style="33"/>
  </cols>
  <sheetData>
    <row r="1" spans="1:39" s="32" customFormat="1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3"/>
      <c r="P1" s="33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9" ht="60.75">
      <c r="A2" s="1"/>
      <c r="B2" s="1"/>
      <c r="C2" s="36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</row>
    <row r="3" spans="1:39" ht="72.75" customHeight="1">
      <c r="A3" s="2"/>
      <c r="B3" s="3"/>
      <c r="C3" s="3"/>
      <c r="D3" s="3"/>
      <c r="E3" s="153"/>
      <c r="H3" s="4" t="s">
        <v>1</v>
      </c>
      <c r="I3" s="4"/>
      <c r="L3" s="6" t="s">
        <v>80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1:39" ht="21" customHeight="1">
      <c r="A4" s="3"/>
      <c r="B4" s="3"/>
      <c r="C4" s="3"/>
      <c r="D4" s="3"/>
      <c r="E4" s="3"/>
      <c r="K4" s="154" t="s">
        <v>45</v>
      </c>
      <c r="L4" s="154">
        <f ca="1">TODAY()</f>
        <v>41887</v>
      </c>
      <c r="Q4" s="34"/>
      <c r="R4" s="34"/>
      <c r="S4" s="34"/>
      <c r="T4" s="34"/>
      <c r="U4" s="34"/>
      <c r="V4" s="34"/>
      <c r="W4" s="37"/>
      <c r="X4" s="38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39" ht="30">
      <c r="A5" s="2"/>
      <c r="B5" s="3"/>
      <c r="C5" s="3"/>
      <c r="D5" s="3"/>
      <c r="E5" s="3"/>
      <c r="K5" s="8"/>
      <c r="L5" s="6"/>
      <c r="Q5" s="34"/>
      <c r="R5" s="34"/>
      <c r="S5" s="34"/>
      <c r="T5" s="34"/>
      <c r="U5" s="34"/>
      <c r="V5" s="34"/>
      <c r="W5" s="37"/>
      <c r="X5" s="38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9" ht="15.75" customHeight="1">
      <c r="A6" s="10"/>
      <c r="B6" s="3"/>
      <c r="C6" s="3"/>
      <c r="D6" s="3"/>
      <c r="E6" s="3"/>
      <c r="K6" s="9"/>
      <c r="L6" s="9"/>
      <c r="M6" s="9"/>
      <c r="Q6" s="34"/>
      <c r="R6" s="34"/>
      <c r="S6" s="34"/>
      <c r="T6" s="34"/>
      <c r="U6" s="34"/>
      <c r="V6" s="34"/>
      <c r="W6" s="37"/>
      <c r="X6" s="38"/>
      <c r="Y6" s="34"/>
      <c r="Z6" s="34"/>
      <c r="AA6" s="34"/>
      <c r="AB6" s="34"/>
      <c r="AC6" s="34"/>
      <c r="AD6" s="39"/>
      <c r="AE6" s="34"/>
      <c r="AF6" s="34"/>
      <c r="AG6" s="34"/>
      <c r="AH6" s="34"/>
      <c r="AI6" s="34"/>
      <c r="AJ6" s="34"/>
      <c r="AK6" s="34"/>
      <c r="AL6" s="34"/>
    </row>
    <row r="7" spans="1:39" ht="31.5" customHeight="1">
      <c r="A7" s="10"/>
      <c r="B7" s="3"/>
      <c r="C7" s="97" t="s">
        <v>32</v>
      </c>
      <c r="D7" s="40"/>
      <c r="E7" s="97" t="s">
        <v>35</v>
      </c>
      <c r="F7" s="11"/>
      <c r="G7" s="11"/>
      <c r="H7" s="239" t="s">
        <v>2</v>
      </c>
      <c r="I7" s="240"/>
      <c r="J7" s="12"/>
      <c r="K7" s="239" t="s">
        <v>44</v>
      </c>
      <c r="L7" s="241"/>
      <c r="M7" s="241"/>
      <c r="N7" s="240"/>
      <c r="Q7" s="34"/>
      <c r="R7" s="37"/>
      <c r="S7" s="38"/>
      <c r="T7" s="34"/>
      <c r="U7" s="34"/>
      <c r="V7" s="34"/>
      <c r="W7" s="41"/>
      <c r="X7" s="42"/>
      <c r="Y7" s="43"/>
      <c r="Z7" s="42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9" s="46" customFormat="1" ht="18.75">
      <c r="A8" s="12"/>
      <c r="B8" s="7"/>
      <c r="C8" s="44" t="s">
        <v>33</v>
      </c>
      <c r="D8" s="13"/>
      <c r="E8" s="44" t="s">
        <v>28</v>
      </c>
      <c r="F8" s="13"/>
      <c r="G8" s="13"/>
      <c r="H8" s="44" t="s">
        <v>31</v>
      </c>
      <c r="I8" s="44">
        <v>90</v>
      </c>
      <c r="J8" s="147"/>
      <c r="K8" s="44" t="s">
        <v>3</v>
      </c>
      <c r="L8" s="45" t="s">
        <v>4</v>
      </c>
      <c r="M8" s="45" t="s">
        <v>4</v>
      </c>
      <c r="N8" s="45" t="s">
        <v>90</v>
      </c>
      <c r="Q8" s="47"/>
      <c r="R8" s="47"/>
      <c r="S8" s="47"/>
      <c r="T8" s="47"/>
      <c r="U8" s="47"/>
      <c r="V8" s="47"/>
      <c r="W8" s="47"/>
      <c r="X8" s="47"/>
      <c r="Y8" s="48"/>
      <c r="Z8" s="13"/>
      <c r="AA8" s="13"/>
      <c r="AB8" s="49"/>
      <c r="AC8" s="13"/>
      <c r="AD8" s="47"/>
      <c r="AE8" s="34"/>
      <c r="AF8" s="14"/>
      <c r="AG8" s="14"/>
      <c r="AH8" s="14"/>
      <c r="AI8" s="14"/>
      <c r="AJ8" s="14"/>
      <c r="AK8" s="47"/>
      <c r="AL8" s="47"/>
    </row>
    <row r="9" spans="1:39" ht="12.75" customHeight="1">
      <c r="A9" s="14"/>
      <c r="B9" s="3"/>
      <c r="C9" s="98"/>
      <c r="D9" s="14"/>
      <c r="E9" s="117"/>
      <c r="H9" s="117"/>
      <c r="I9" s="117"/>
      <c r="K9" s="98"/>
      <c r="L9" s="98"/>
      <c r="M9" s="98"/>
      <c r="N9" s="98"/>
      <c r="Q9" s="34"/>
      <c r="R9" s="34"/>
      <c r="S9" s="34"/>
      <c r="T9" s="34"/>
      <c r="U9" s="34"/>
      <c r="V9" s="34"/>
      <c r="W9" s="34"/>
      <c r="X9" s="34"/>
      <c r="Y9" s="41"/>
      <c r="Z9" s="14"/>
      <c r="AA9" s="14"/>
      <c r="AB9" s="14"/>
      <c r="AC9" s="14"/>
      <c r="AD9" s="34"/>
      <c r="AE9" s="34"/>
      <c r="AF9" s="34"/>
      <c r="AG9" s="34"/>
      <c r="AH9" s="34"/>
      <c r="AI9" s="34"/>
      <c r="AJ9" s="34"/>
      <c r="AK9" s="34"/>
      <c r="AL9" s="34"/>
    </row>
    <row r="10" spans="1:39" s="32" customFormat="1" ht="30" customHeight="1">
      <c r="A10" s="148" t="s">
        <v>50</v>
      </c>
      <c r="B10" s="2"/>
      <c r="C10" s="99"/>
      <c r="D10" s="2"/>
      <c r="E10" s="30"/>
      <c r="F10" s="15"/>
      <c r="G10" s="15"/>
      <c r="H10" s="30"/>
      <c r="I10" s="214"/>
      <c r="J10" s="16"/>
      <c r="K10" s="30"/>
      <c r="L10" s="30"/>
      <c r="M10" s="30"/>
      <c r="N10" s="30"/>
      <c r="O10" s="35"/>
      <c r="P10" s="35"/>
      <c r="Q10" s="35"/>
      <c r="R10" s="50"/>
      <c r="S10" s="26"/>
      <c r="T10" s="26"/>
      <c r="U10" s="26"/>
      <c r="V10" s="35"/>
      <c r="W10" s="51"/>
      <c r="X10" s="51"/>
      <c r="Y10" s="51"/>
      <c r="Z10" s="52"/>
      <c r="AA10" s="52"/>
      <c r="AB10" s="52"/>
      <c r="AC10" s="35"/>
      <c r="AD10" s="35"/>
      <c r="AE10" s="53"/>
      <c r="AF10" s="53"/>
      <c r="AG10" s="53"/>
      <c r="AH10" s="53"/>
      <c r="AI10" s="53"/>
      <c r="AJ10" s="53"/>
      <c r="AK10" s="35"/>
      <c r="AL10" s="35"/>
    </row>
    <row r="11" spans="1:39" ht="12.75" customHeight="1">
      <c r="A11" s="17"/>
      <c r="B11" s="3"/>
      <c r="C11" s="100"/>
      <c r="D11" s="18"/>
      <c r="E11" s="100"/>
      <c r="F11" s="18"/>
      <c r="G11" s="18"/>
      <c r="H11" s="126"/>
      <c r="I11" s="126"/>
      <c r="J11" s="18"/>
      <c r="K11" s="138"/>
      <c r="L11" s="138"/>
      <c r="M11" s="138"/>
      <c r="N11" s="138"/>
      <c r="O11" s="34"/>
      <c r="P11" s="34"/>
      <c r="Q11" s="34"/>
      <c r="R11" s="14"/>
      <c r="S11" s="14"/>
      <c r="T11" s="14"/>
      <c r="U11" s="14"/>
      <c r="V11" s="34"/>
      <c r="W11" s="53"/>
      <c r="X11" s="53"/>
      <c r="Y11" s="53"/>
      <c r="Z11" s="41"/>
      <c r="AA11" s="41"/>
      <c r="AB11" s="41"/>
      <c r="AC11" s="34"/>
      <c r="AD11" s="34"/>
      <c r="AE11" s="53"/>
      <c r="AF11" s="53"/>
      <c r="AG11" s="53"/>
      <c r="AH11" s="53"/>
      <c r="AI11" s="53"/>
      <c r="AJ11" s="53"/>
      <c r="AK11" s="34"/>
      <c r="AL11" s="34"/>
      <c r="AM11" s="32"/>
    </row>
    <row r="12" spans="1:39" s="34" customFormat="1" ht="26.25">
      <c r="A12" s="87"/>
      <c r="B12" s="27"/>
      <c r="C12" s="104"/>
      <c r="D12" s="22"/>
      <c r="E12" s="104"/>
      <c r="F12" s="22"/>
      <c r="G12" s="22"/>
      <c r="H12" s="130"/>
      <c r="I12" s="130"/>
      <c r="J12" s="22"/>
      <c r="K12" s="119"/>
      <c r="L12" s="119"/>
      <c r="M12" s="119"/>
      <c r="N12" s="119"/>
      <c r="O12" s="54"/>
      <c r="P12" s="54"/>
      <c r="Q12" s="54"/>
      <c r="R12" s="14"/>
      <c r="S12" s="14"/>
      <c r="T12" s="14"/>
      <c r="U12" s="14"/>
      <c r="W12" s="53"/>
      <c r="X12" s="53"/>
      <c r="Y12" s="53"/>
      <c r="Z12" s="41"/>
      <c r="AA12" s="41"/>
      <c r="AB12" s="41"/>
      <c r="AE12" s="53"/>
      <c r="AF12" s="53"/>
      <c r="AG12" s="53"/>
      <c r="AH12" s="53"/>
      <c r="AI12" s="53"/>
      <c r="AJ12" s="53"/>
      <c r="AM12" s="32"/>
    </row>
    <row r="13" spans="1:39" s="32" customFormat="1" ht="30" customHeight="1">
      <c r="A13" s="91" t="s">
        <v>10</v>
      </c>
      <c r="B13" s="27"/>
      <c r="C13" s="107"/>
      <c r="D13" s="79"/>
      <c r="E13" s="30">
        <f>-164274793/1000000</f>
        <v>-164.27479299999999</v>
      </c>
      <c r="F13" s="70"/>
      <c r="G13" s="70"/>
      <c r="H13" s="30">
        <f>1530595/1000000</f>
        <v>1.5305949999999999</v>
      </c>
      <c r="I13" s="30">
        <f>H13*SQRT($I$8)</f>
        <v>14.520499125796261</v>
      </c>
      <c r="J13" s="70"/>
      <c r="K13" s="142">
        <f>-6866519/1000000</f>
        <v>-6.8665190000000003</v>
      </c>
      <c r="L13" s="142">
        <f>-23502987/1000000</f>
        <v>-23.502987000000001</v>
      </c>
      <c r="M13" s="142">
        <f>-23502987/1000000</f>
        <v>-23.502987000000001</v>
      </c>
      <c r="N13" s="142"/>
      <c r="O13" s="56"/>
      <c r="P13" s="56"/>
      <c r="Q13" s="54"/>
      <c r="R13" s="50"/>
      <c r="S13" s="26"/>
      <c r="T13" s="26"/>
      <c r="U13" s="26"/>
      <c r="V13" s="35"/>
      <c r="W13" s="51"/>
      <c r="X13" s="51"/>
      <c r="Y13" s="51"/>
      <c r="Z13" s="52"/>
      <c r="AA13" s="52"/>
      <c r="AB13" s="52"/>
      <c r="AC13" s="35"/>
      <c r="AD13" s="35"/>
      <c r="AE13" s="53"/>
      <c r="AF13" s="53"/>
      <c r="AG13" s="53"/>
      <c r="AH13" s="53"/>
      <c r="AI13" s="53"/>
      <c r="AJ13" s="53"/>
      <c r="AK13" s="35"/>
      <c r="AL13" s="35"/>
    </row>
    <row r="14" spans="1:39" s="58" customFormat="1" ht="12" customHeight="1">
      <c r="A14" s="89"/>
      <c r="B14" s="76"/>
      <c r="C14" s="108"/>
      <c r="D14" s="80"/>
      <c r="E14" s="121"/>
      <c r="F14" s="72"/>
      <c r="G14" s="72"/>
      <c r="H14" s="129"/>
      <c r="I14" s="129"/>
      <c r="J14" s="72"/>
      <c r="K14" s="129"/>
      <c r="L14" s="129"/>
      <c r="M14" s="129"/>
      <c r="N14" s="129"/>
      <c r="O14" s="73"/>
      <c r="P14" s="73"/>
      <c r="Q14" s="74"/>
      <c r="R14" s="59"/>
      <c r="S14" s="60"/>
      <c r="T14" s="60"/>
      <c r="U14" s="60"/>
      <c r="V14" s="61"/>
      <c r="W14" s="62"/>
      <c r="X14" s="62"/>
      <c r="Y14" s="62"/>
      <c r="Z14" s="63"/>
      <c r="AA14" s="63"/>
      <c r="AB14" s="63"/>
      <c r="AC14" s="61"/>
      <c r="AD14" s="61"/>
      <c r="AE14" s="64"/>
      <c r="AF14" s="64"/>
      <c r="AG14" s="64"/>
      <c r="AH14" s="64"/>
      <c r="AI14" s="64"/>
      <c r="AJ14" s="64"/>
      <c r="AK14" s="61"/>
      <c r="AL14" s="61"/>
    </row>
    <row r="15" spans="1:39" s="56" customFormat="1" ht="26.25">
      <c r="A15" s="88" t="s">
        <v>8</v>
      </c>
      <c r="B15" s="23"/>
      <c r="C15" s="105">
        <v>-28</v>
      </c>
      <c r="D15" s="22" t="s">
        <v>20</v>
      </c>
      <c r="E15" s="119"/>
      <c r="F15" s="22"/>
      <c r="G15" s="22"/>
      <c r="H15" s="118">
        <f>1086817/1000000</f>
        <v>1.0868169999999999</v>
      </c>
      <c r="I15" s="118">
        <f>H15*SQRT($I$8)</f>
        <v>10.310451359373651</v>
      </c>
      <c r="J15" s="22"/>
      <c r="K15" s="118"/>
      <c r="L15" s="118"/>
      <c r="M15" s="118"/>
      <c r="N15" s="118"/>
      <c r="O15" s="54"/>
      <c r="P15" s="54"/>
      <c r="Q15" s="54"/>
      <c r="R15" s="50"/>
      <c r="S15" s="26"/>
      <c r="T15" s="26"/>
      <c r="U15" s="26"/>
      <c r="V15" s="54"/>
      <c r="W15" s="51"/>
      <c r="X15" s="51"/>
      <c r="Y15" s="51"/>
      <c r="Z15" s="55"/>
      <c r="AA15" s="55"/>
      <c r="AB15" s="55"/>
      <c r="AC15" s="54"/>
      <c r="AD15" s="54"/>
      <c r="AE15" s="53"/>
      <c r="AF15" s="53"/>
      <c r="AG15" s="53"/>
      <c r="AH15" s="53"/>
      <c r="AI15" s="53"/>
      <c r="AJ15" s="53"/>
      <c r="AK15" s="35"/>
      <c r="AL15" s="54"/>
      <c r="AM15" s="32"/>
    </row>
    <row r="16" spans="1:39" s="56" customFormat="1" ht="26.25">
      <c r="A16" s="88" t="s">
        <v>9</v>
      </c>
      <c r="B16" s="23"/>
      <c r="C16" s="105">
        <v>3.6</v>
      </c>
      <c r="D16" s="22" t="s">
        <v>27</v>
      </c>
      <c r="E16" s="119"/>
      <c r="F16" s="22"/>
      <c r="G16" s="22"/>
      <c r="H16" s="118">
        <f>1069530/1000000</f>
        <v>1.0695300000000001</v>
      </c>
      <c r="I16" s="118">
        <f>H16*SQRT($I$8)</f>
        <v>10.146452477639661</v>
      </c>
      <c r="J16" s="22"/>
      <c r="K16" s="143"/>
      <c r="L16" s="143"/>
      <c r="M16" s="143"/>
      <c r="N16" s="143"/>
      <c r="O16" s="54"/>
      <c r="P16" s="54"/>
      <c r="Q16" s="54"/>
      <c r="R16" s="50"/>
      <c r="S16" s="26"/>
      <c r="T16" s="26"/>
      <c r="U16" s="26"/>
      <c r="V16" s="54"/>
      <c r="W16" s="51"/>
      <c r="X16" s="51"/>
      <c r="Y16" s="51"/>
      <c r="Z16" s="55"/>
      <c r="AA16" s="55"/>
      <c r="AB16" s="55"/>
      <c r="AC16" s="54"/>
      <c r="AD16" s="54"/>
      <c r="AE16" s="53"/>
      <c r="AF16" s="53"/>
      <c r="AG16" s="53"/>
      <c r="AH16" s="53"/>
      <c r="AI16" s="53"/>
      <c r="AJ16" s="53"/>
      <c r="AK16" s="35"/>
      <c r="AL16" s="54"/>
      <c r="AM16" s="32"/>
    </row>
    <row r="17" spans="1:42" s="56" customFormat="1" ht="26.25">
      <c r="A17" s="89"/>
      <c r="B17" s="23"/>
      <c r="C17" s="101"/>
      <c r="D17" s="22"/>
      <c r="E17" s="119"/>
      <c r="F17" s="22"/>
      <c r="G17" s="22"/>
      <c r="H17" s="119"/>
      <c r="I17" s="119"/>
      <c r="J17" s="22"/>
      <c r="K17" s="144"/>
      <c r="L17" s="144"/>
      <c r="M17" s="144"/>
      <c r="N17" s="144"/>
      <c r="O17" s="54"/>
      <c r="P17" s="54"/>
      <c r="Q17" s="54"/>
      <c r="R17" s="50"/>
      <c r="S17" s="26"/>
      <c r="T17" s="26"/>
      <c r="U17" s="26"/>
      <c r="V17" s="54"/>
      <c r="W17" s="51"/>
      <c r="X17" s="51"/>
      <c r="Y17" s="51"/>
      <c r="Z17" s="55"/>
      <c r="AA17" s="55"/>
      <c r="AB17" s="55"/>
      <c r="AC17" s="54"/>
      <c r="AD17" s="54"/>
      <c r="AE17" s="53"/>
      <c r="AF17" s="53"/>
      <c r="AG17" s="53"/>
      <c r="AH17" s="53"/>
      <c r="AI17" s="53"/>
      <c r="AJ17" s="53"/>
      <c r="AK17" s="35"/>
      <c r="AL17" s="54"/>
      <c r="AM17" s="32"/>
    </row>
    <row r="18" spans="1:42" s="56" customFormat="1" ht="26.25">
      <c r="A18" s="88" t="s">
        <v>29</v>
      </c>
      <c r="B18" s="23"/>
      <c r="C18" s="106">
        <f>-1224802*1.4072/100</f>
        <v>-17235.413744000001</v>
      </c>
      <c r="D18" s="84" t="s">
        <v>30</v>
      </c>
      <c r="E18" s="119"/>
      <c r="F18" s="77"/>
      <c r="G18" s="22"/>
      <c r="H18" s="119"/>
      <c r="I18" s="119"/>
      <c r="J18" s="22"/>
      <c r="K18" s="145"/>
      <c r="L18" s="145"/>
      <c r="M18" s="145"/>
      <c r="N18" s="145"/>
      <c r="Q18" s="54"/>
      <c r="R18" s="50"/>
      <c r="S18" s="26"/>
      <c r="T18" s="26"/>
      <c r="U18" s="26"/>
      <c r="V18" s="54"/>
      <c r="W18" s="51"/>
      <c r="X18" s="51"/>
      <c r="Y18" s="51"/>
      <c r="Z18" s="55"/>
      <c r="AA18" s="55"/>
      <c r="AB18" s="55"/>
      <c r="AC18" s="54"/>
      <c r="AD18" s="54"/>
      <c r="AE18" s="53"/>
      <c r="AF18" s="53"/>
      <c r="AG18" s="53"/>
      <c r="AH18" s="53"/>
      <c r="AI18" s="53"/>
      <c r="AJ18" s="53"/>
      <c r="AK18" s="35"/>
      <c r="AL18" s="54"/>
      <c r="AM18" s="32"/>
    </row>
    <row r="19" spans="1:42" s="56" customFormat="1" ht="26.25">
      <c r="A19" s="88" t="s">
        <v>36</v>
      </c>
      <c r="B19" s="23"/>
      <c r="C19" s="106"/>
      <c r="D19" s="84"/>
      <c r="E19" s="119"/>
      <c r="F19" s="77"/>
      <c r="G19" s="22"/>
      <c r="H19" s="119"/>
      <c r="I19" s="119"/>
      <c r="J19" s="22"/>
      <c r="K19" s="146"/>
      <c r="L19" s="146"/>
      <c r="M19" s="146"/>
      <c r="N19" s="146"/>
      <c r="Q19" s="54"/>
      <c r="R19" s="50"/>
      <c r="S19" s="26"/>
      <c r="T19" s="26"/>
      <c r="U19" s="26"/>
      <c r="V19" s="54"/>
      <c r="W19" s="51"/>
      <c r="X19" s="51"/>
      <c r="Y19" s="51"/>
      <c r="Z19" s="55"/>
      <c r="AA19" s="55"/>
      <c r="AB19" s="55"/>
      <c r="AC19" s="54"/>
      <c r="AD19" s="54"/>
      <c r="AE19" s="53"/>
      <c r="AF19" s="53"/>
      <c r="AG19" s="53"/>
      <c r="AH19" s="53"/>
      <c r="AI19" s="53"/>
      <c r="AJ19" s="53"/>
      <c r="AK19" s="35"/>
      <c r="AL19" s="54"/>
      <c r="AM19" s="32"/>
    </row>
    <row r="20" spans="1:42" ht="26.25">
      <c r="A20" s="92"/>
      <c r="B20" s="23"/>
      <c r="C20" s="96"/>
      <c r="D20" s="27"/>
      <c r="E20" s="96"/>
      <c r="F20" s="21"/>
      <c r="G20" s="21"/>
      <c r="H20" s="131"/>
      <c r="I20" s="131"/>
      <c r="J20" s="21"/>
      <c r="K20" s="29"/>
      <c r="L20" s="29"/>
      <c r="M20" s="29"/>
      <c r="N20" s="29"/>
      <c r="O20" s="56"/>
      <c r="P20" s="56"/>
      <c r="Q20" s="54"/>
      <c r="R20" s="34"/>
      <c r="S20" s="34"/>
      <c r="T20" s="34"/>
      <c r="U20" s="34"/>
      <c r="V20" s="34"/>
      <c r="W20" s="53"/>
      <c r="X20" s="53"/>
      <c r="Y20" s="53"/>
      <c r="Z20" s="34"/>
      <c r="AA20" s="34"/>
      <c r="AB20" s="34"/>
      <c r="AC20" s="34"/>
      <c r="AD20" s="34"/>
      <c r="AE20" s="53"/>
      <c r="AF20" s="53"/>
      <c r="AG20" s="53"/>
      <c r="AH20" s="53"/>
      <c r="AI20" s="53"/>
      <c r="AJ20" s="53"/>
      <c r="AK20" s="35"/>
      <c r="AL20" s="34"/>
      <c r="AM20" s="32"/>
    </row>
    <row r="21" spans="1:42" s="56" customFormat="1" ht="26.25">
      <c r="A21" s="92"/>
      <c r="B21" s="23"/>
      <c r="C21" s="110"/>
      <c r="D21" s="22"/>
      <c r="E21" s="122"/>
      <c r="F21" s="31"/>
      <c r="G21" s="31"/>
      <c r="H21" s="119"/>
      <c r="I21" s="119"/>
      <c r="J21" s="22"/>
      <c r="K21" s="28"/>
      <c r="L21" s="28"/>
      <c r="M21" s="28"/>
      <c r="N21" s="28"/>
      <c r="Q21" s="54"/>
      <c r="R21" s="54"/>
      <c r="S21" s="54"/>
      <c r="T21" s="54"/>
      <c r="U21" s="54"/>
      <c r="V21" s="54"/>
      <c r="W21" s="66"/>
      <c r="X21" s="66"/>
      <c r="Y21" s="66"/>
      <c r="Z21" s="55"/>
      <c r="AA21" s="55"/>
      <c r="AB21" s="55"/>
      <c r="AC21" s="54"/>
      <c r="AD21" s="54"/>
      <c r="AE21" s="53"/>
      <c r="AF21" s="53"/>
      <c r="AG21" s="53"/>
      <c r="AH21" s="53"/>
      <c r="AI21" s="53"/>
      <c r="AJ21" s="53"/>
      <c r="AK21" s="54"/>
      <c r="AL21" s="54"/>
      <c r="AM21" s="32"/>
    </row>
    <row r="22" spans="1:42" s="35" customFormat="1" ht="30" customHeight="1">
      <c r="A22" s="91" t="s">
        <v>13</v>
      </c>
      <c r="B22" s="27"/>
      <c r="C22" s="111"/>
      <c r="D22" s="81"/>
      <c r="E22" s="30">
        <f>E24</f>
        <v>-690</v>
      </c>
      <c r="F22" s="22"/>
      <c r="G22" s="22"/>
      <c r="H22" s="142">
        <f>SUM(H24:H26)</f>
        <v>0</v>
      </c>
      <c r="I22" s="142">
        <f>H22*SQRT($I$8)</f>
        <v>0</v>
      </c>
      <c r="J22" s="21"/>
      <c r="K22" s="142">
        <f>SUM(K24:K26)</f>
        <v>0</v>
      </c>
      <c r="L22" s="142">
        <f>SUM(L24:L26)</f>
        <v>0</v>
      </c>
      <c r="M22" s="142">
        <f>SUM(M24:M26)</f>
        <v>0</v>
      </c>
      <c r="N22" s="142"/>
      <c r="O22" s="54"/>
      <c r="P22" s="54"/>
      <c r="Q22" s="54"/>
      <c r="R22" s="50"/>
      <c r="S22" s="26"/>
      <c r="T22" s="26"/>
      <c r="U22" s="26"/>
      <c r="W22" s="51"/>
      <c r="X22" s="51"/>
      <c r="Y22" s="51"/>
      <c r="Z22" s="52"/>
      <c r="AA22" s="52"/>
      <c r="AB22" s="52"/>
      <c r="AE22" s="53"/>
      <c r="AF22" s="53"/>
      <c r="AG22" s="53"/>
      <c r="AH22" s="53"/>
      <c r="AI22" s="53"/>
      <c r="AJ22" s="53"/>
      <c r="AM22" s="32"/>
    </row>
    <row r="23" spans="1:42" s="61" customFormat="1" ht="12" customHeight="1">
      <c r="A23" s="89"/>
      <c r="B23" s="76"/>
      <c r="C23" s="112"/>
      <c r="D23" s="82"/>
      <c r="E23" s="123"/>
      <c r="F23" s="77"/>
      <c r="G23" s="77"/>
      <c r="H23" s="133"/>
      <c r="I23" s="133"/>
      <c r="J23" s="77"/>
      <c r="K23" s="129"/>
      <c r="L23" s="129"/>
      <c r="M23" s="129"/>
      <c r="N23" s="129"/>
      <c r="O23" s="74"/>
      <c r="P23" s="74"/>
      <c r="Q23" s="74"/>
      <c r="R23" s="59"/>
      <c r="S23" s="60"/>
      <c r="T23" s="60"/>
      <c r="U23" s="60"/>
      <c r="W23" s="62"/>
      <c r="X23" s="62"/>
      <c r="Y23" s="62"/>
      <c r="Z23" s="63"/>
      <c r="AA23" s="63"/>
      <c r="AB23" s="63"/>
      <c r="AE23" s="64"/>
      <c r="AF23" s="64"/>
      <c r="AG23" s="64"/>
      <c r="AH23" s="64"/>
      <c r="AI23" s="64"/>
      <c r="AJ23" s="64"/>
      <c r="AM23" s="58"/>
    </row>
    <row r="24" spans="1:42" s="61" customFormat="1" ht="27" customHeight="1">
      <c r="A24" s="88" t="s">
        <v>23</v>
      </c>
      <c r="B24" s="76"/>
      <c r="C24" s="113">
        <v>76</v>
      </c>
      <c r="D24" s="22" t="s">
        <v>20</v>
      </c>
      <c r="E24" s="124">
        <v>-690</v>
      </c>
      <c r="F24" s="77"/>
      <c r="G24" s="77"/>
      <c r="H24" s="134"/>
      <c r="I24" s="124">
        <f>H24*SQRT($I$8)</f>
        <v>0</v>
      </c>
      <c r="J24" s="77"/>
      <c r="K24" s="124"/>
      <c r="L24" s="124"/>
      <c r="M24" s="124"/>
      <c r="N24" s="124"/>
      <c r="O24" s="74"/>
      <c r="P24" s="74"/>
      <c r="Q24" s="74"/>
      <c r="R24" s="59"/>
      <c r="S24" s="60"/>
      <c r="T24" s="60"/>
      <c r="U24" s="60"/>
      <c r="W24" s="62"/>
      <c r="X24" s="62"/>
      <c r="Y24" s="62"/>
      <c r="Z24" s="63"/>
      <c r="AA24" s="63"/>
      <c r="AB24" s="63"/>
      <c r="AE24" s="64"/>
      <c r="AF24" s="64"/>
      <c r="AG24" s="64"/>
      <c r="AH24" s="64"/>
      <c r="AI24" s="64"/>
      <c r="AJ24" s="64"/>
      <c r="AM24" s="58"/>
    </row>
    <row r="25" spans="1:42" s="61" customFormat="1" ht="27" customHeight="1">
      <c r="A25" s="89"/>
      <c r="B25" s="76"/>
      <c r="C25" s="114"/>
      <c r="D25" s="22"/>
      <c r="E25" s="125"/>
      <c r="F25" s="77"/>
      <c r="G25" s="77"/>
      <c r="H25" s="133"/>
      <c r="I25" s="133"/>
      <c r="J25" s="77"/>
      <c r="K25" s="129"/>
      <c r="L25" s="129"/>
      <c r="M25" s="129"/>
      <c r="N25" s="129"/>
      <c r="O25" s="74"/>
      <c r="P25" s="74"/>
      <c r="Q25" s="74"/>
      <c r="R25" s="59"/>
      <c r="S25" s="60"/>
      <c r="T25" s="60"/>
      <c r="U25" s="60"/>
      <c r="W25" s="62"/>
      <c r="X25" s="62"/>
      <c r="Y25" s="62"/>
      <c r="Z25" s="63"/>
      <c r="AA25" s="63"/>
      <c r="AB25" s="63"/>
      <c r="AE25" s="64"/>
      <c r="AF25" s="64"/>
      <c r="AG25" s="64"/>
      <c r="AH25" s="64"/>
      <c r="AI25" s="64"/>
      <c r="AJ25" s="64"/>
      <c r="AM25" s="58"/>
    </row>
    <row r="26" spans="1:42" s="56" customFormat="1" ht="26.25">
      <c r="A26" s="88" t="s">
        <v>29</v>
      </c>
      <c r="B26" s="23"/>
      <c r="C26" s="113">
        <v>250000</v>
      </c>
      <c r="D26" s="84" t="s">
        <v>30</v>
      </c>
      <c r="E26" s="119"/>
      <c r="F26" s="71"/>
      <c r="G26" s="71"/>
      <c r="H26" s="124"/>
      <c r="I26" s="124">
        <f>H26*SQRT($I$8)</f>
        <v>0</v>
      </c>
      <c r="J26" s="77"/>
      <c r="K26" s="145"/>
      <c r="L26" s="145"/>
      <c r="M26" s="145"/>
      <c r="N26" s="145"/>
      <c r="Q26" s="54"/>
      <c r="R26" s="50"/>
      <c r="S26" s="26"/>
      <c r="T26" s="26"/>
      <c r="U26" s="26"/>
      <c r="V26" s="54"/>
      <c r="W26" s="51"/>
      <c r="X26" s="51"/>
      <c r="Y26" s="51"/>
      <c r="Z26" s="55"/>
      <c r="AA26" s="55"/>
      <c r="AB26" s="55"/>
      <c r="AC26" s="54"/>
      <c r="AD26" s="54"/>
      <c r="AE26" s="53"/>
      <c r="AF26" s="53"/>
      <c r="AG26" s="53"/>
      <c r="AH26" s="53"/>
      <c r="AI26" s="53"/>
      <c r="AJ26" s="53"/>
      <c r="AK26" s="35"/>
      <c r="AL26" s="54"/>
      <c r="AM26" s="32"/>
    </row>
    <row r="27" spans="1:42" s="56" customFormat="1" ht="26.25">
      <c r="A27" s="88" t="s">
        <v>36</v>
      </c>
      <c r="B27" s="23"/>
      <c r="C27" s="113">
        <v>-460</v>
      </c>
      <c r="D27" s="77" t="s">
        <v>37</v>
      </c>
      <c r="E27" s="119"/>
      <c r="F27" s="71"/>
      <c r="G27" s="71"/>
      <c r="H27" s="129"/>
      <c r="I27" s="129"/>
      <c r="J27" s="77"/>
      <c r="K27" s="146"/>
      <c r="L27" s="146"/>
      <c r="Q27" s="54"/>
      <c r="R27" s="50"/>
      <c r="S27" s="26"/>
      <c r="T27" s="26"/>
      <c r="U27" s="26"/>
      <c r="V27" s="54"/>
      <c r="W27" s="51"/>
      <c r="X27" s="51"/>
      <c r="Y27" s="51"/>
      <c r="Z27" s="55"/>
      <c r="AA27" s="55"/>
      <c r="AB27" s="55"/>
      <c r="AC27" s="54"/>
      <c r="AD27" s="54"/>
      <c r="AE27" s="53"/>
      <c r="AF27" s="53"/>
      <c r="AG27" s="53"/>
      <c r="AH27" s="53"/>
      <c r="AI27" s="53"/>
      <c r="AJ27" s="53"/>
      <c r="AK27" s="35"/>
      <c r="AL27" s="54"/>
      <c r="AM27" s="32"/>
    </row>
    <row r="28" spans="1:42" s="56" customFormat="1" ht="26.25">
      <c r="A28" s="92"/>
      <c r="B28" s="23"/>
      <c r="C28" s="110"/>
      <c r="D28" s="22"/>
      <c r="E28" s="122"/>
      <c r="F28" s="31"/>
      <c r="G28" s="31"/>
      <c r="H28" s="119"/>
      <c r="I28" s="119"/>
      <c r="J28" s="22"/>
      <c r="K28" s="28"/>
      <c r="L28" s="28"/>
      <c r="Q28" s="54"/>
      <c r="R28" s="54"/>
      <c r="S28" s="54"/>
      <c r="T28" s="54"/>
      <c r="U28" s="54"/>
      <c r="V28" s="54"/>
      <c r="W28" s="66"/>
      <c r="X28" s="66"/>
      <c r="Y28" s="66"/>
      <c r="Z28" s="55"/>
      <c r="AA28" s="55"/>
      <c r="AB28" s="55"/>
      <c r="AC28" s="54"/>
      <c r="AD28" s="54"/>
      <c r="AE28" s="53"/>
      <c r="AF28" s="53"/>
      <c r="AG28" s="53"/>
      <c r="AH28" s="53"/>
      <c r="AI28" s="53"/>
      <c r="AJ28" s="53"/>
      <c r="AK28" s="54"/>
      <c r="AL28" s="54"/>
      <c r="AM28" s="32"/>
    </row>
    <row r="29" spans="1:42" ht="26.25" customHeight="1">
      <c r="A29" s="95"/>
      <c r="B29" s="83"/>
      <c r="D29" s="83"/>
      <c r="E29" s="83"/>
      <c r="F29" s="21"/>
      <c r="G29" s="21"/>
      <c r="H29" s="21"/>
      <c r="I29" s="21"/>
      <c r="J29" s="21"/>
      <c r="K29" s="78"/>
      <c r="L29" s="78"/>
      <c r="M29" s="78"/>
      <c r="N29" s="56"/>
      <c r="O29" s="56"/>
      <c r="P29" s="56"/>
      <c r="Q29" s="54"/>
      <c r="R29" s="34"/>
      <c r="S29" s="34"/>
      <c r="T29" s="34"/>
      <c r="U29" s="34"/>
      <c r="V29" s="34"/>
      <c r="W29" s="34"/>
      <c r="X29" s="34"/>
      <c r="Y29" s="54"/>
      <c r="Z29" s="34"/>
      <c r="AA29" s="34"/>
      <c r="AB29" s="34"/>
      <c r="AC29" s="34"/>
      <c r="AD29" s="34"/>
      <c r="AE29" s="34"/>
      <c r="AF29" s="34"/>
      <c r="AG29" s="34"/>
      <c r="AH29" s="53"/>
      <c r="AI29" s="53"/>
      <c r="AJ29" s="53"/>
      <c r="AK29" s="53"/>
      <c r="AL29" s="53"/>
      <c r="AM29" s="67"/>
      <c r="AP29" s="32"/>
    </row>
    <row r="30" spans="1:42" ht="23.25">
      <c r="A30" s="96"/>
      <c r="B30" s="23"/>
      <c r="C30" s="23"/>
      <c r="D30" s="23"/>
      <c r="E30" s="23"/>
      <c r="F30" s="21"/>
      <c r="G30" s="21"/>
      <c r="H30" s="21"/>
      <c r="I30" s="21"/>
      <c r="J30" s="21"/>
      <c r="K30" s="78"/>
      <c r="L30" s="78"/>
      <c r="M30" s="78"/>
      <c r="N30" s="56"/>
      <c r="O30" s="56"/>
      <c r="P30" s="56"/>
      <c r="Q30" s="56"/>
    </row>
    <row r="31" spans="1:42" ht="23.25">
      <c r="A31" s="96"/>
      <c r="B31" s="23"/>
      <c r="C31" s="23"/>
      <c r="D31" s="23"/>
      <c r="E31" s="23"/>
      <c r="F31" s="21"/>
      <c r="G31" s="21"/>
      <c r="H31" s="21"/>
      <c r="I31" s="21"/>
      <c r="J31" s="21"/>
      <c r="K31" s="78"/>
      <c r="L31" s="78"/>
      <c r="M31" s="78"/>
      <c r="N31" s="56"/>
      <c r="O31" s="56"/>
      <c r="P31" s="56"/>
      <c r="Q31" s="56"/>
    </row>
    <row r="32" spans="1:42" ht="20.25">
      <c r="A32" s="23"/>
      <c r="B32" s="23"/>
      <c r="C32" s="23"/>
      <c r="D32" s="23"/>
      <c r="E32" s="23"/>
      <c r="F32" s="21"/>
      <c r="G32" s="21"/>
      <c r="H32" s="21"/>
      <c r="I32" s="21"/>
      <c r="J32" s="21"/>
      <c r="K32" s="78"/>
      <c r="L32" s="78"/>
      <c r="M32" s="78"/>
      <c r="N32" s="56"/>
      <c r="O32" s="56"/>
      <c r="P32" s="56"/>
      <c r="Q32" s="56"/>
    </row>
    <row r="33" spans="1:17" ht="20.25">
      <c r="A33" s="23"/>
      <c r="B33" s="23"/>
      <c r="C33" s="23"/>
      <c r="D33" s="23"/>
      <c r="E33" s="23"/>
      <c r="F33" s="21"/>
      <c r="G33" s="21"/>
      <c r="H33" s="21"/>
      <c r="I33" s="21"/>
      <c r="J33" s="21"/>
      <c r="K33" s="78"/>
      <c r="L33" s="78"/>
      <c r="M33" s="78"/>
      <c r="N33" s="56"/>
      <c r="O33" s="56"/>
      <c r="P33" s="56"/>
      <c r="Q33" s="56"/>
    </row>
    <row r="34" spans="1:17" ht="20.25">
      <c r="A34" s="23"/>
      <c r="B34" s="23"/>
      <c r="C34" s="23"/>
      <c r="D34" s="23"/>
      <c r="E34" s="23"/>
      <c r="F34" s="21"/>
      <c r="G34" s="21"/>
      <c r="H34" s="21"/>
      <c r="I34" s="21"/>
      <c r="J34" s="21"/>
      <c r="K34" s="78"/>
      <c r="L34" s="78"/>
      <c r="M34" s="78"/>
      <c r="N34" s="56"/>
      <c r="O34" s="56"/>
      <c r="P34" s="56"/>
      <c r="Q34" s="56"/>
    </row>
    <row r="35" spans="1:17" ht="20.25">
      <c r="A35" s="23"/>
      <c r="B35" s="23"/>
      <c r="C35" s="23"/>
      <c r="D35" s="23"/>
      <c r="E35" s="23"/>
      <c r="F35" s="21"/>
      <c r="G35" s="21"/>
      <c r="H35" s="21"/>
      <c r="I35" s="21"/>
      <c r="J35" s="21"/>
      <c r="K35" s="78"/>
      <c r="L35" s="78"/>
      <c r="M35" s="78"/>
      <c r="N35" s="56"/>
      <c r="O35" s="56"/>
      <c r="P35" s="56"/>
      <c r="Q35" s="56"/>
    </row>
    <row r="36" spans="1:17" ht="20.25">
      <c r="A36" s="23"/>
      <c r="B36" s="23"/>
      <c r="C36" s="23"/>
      <c r="D36" s="23"/>
      <c r="E36" s="23"/>
      <c r="F36" s="21"/>
      <c r="G36" s="21"/>
      <c r="H36" s="21"/>
      <c r="I36" s="21"/>
      <c r="J36" s="21"/>
      <c r="K36" s="78"/>
      <c r="L36" s="78"/>
      <c r="M36" s="78"/>
      <c r="N36" s="56"/>
      <c r="O36" s="56"/>
      <c r="P36" s="56"/>
      <c r="Q36" s="56"/>
    </row>
    <row r="37" spans="1:17" ht="20.25">
      <c r="A37" s="23"/>
      <c r="B37" s="23"/>
      <c r="C37" s="23"/>
      <c r="D37" s="23"/>
      <c r="E37" s="23"/>
      <c r="F37" s="21"/>
      <c r="G37" s="21"/>
      <c r="H37" s="21"/>
      <c r="I37" s="21"/>
      <c r="J37" s="21"/>
      <c r="K37" s="78"/>
      <c r="L37" s="78"/>
      <c r="M37" s="78"/>
      <c r="N37" s="56"/>
      <c r="O37" s="56"/>
      <c r="P37" s="56"/>
      <c r="Q37" s="56"/>
    </row>
    <row r="38" spans="1:17" ht="20.25">
      <c r="A38" s="23"/>
      <c r="B38" s="23"/>
      <c r="C38" s="23"/>
      <c r="D38" s="23"/>
      <c r="E38" s="23"/>
      <c r="F38" s="21"/>
      <c r="G38" s="21"/>
      <c r="H38" s="21"/>
      <c r="I38" s="21"/>
      <c r="J38" s="21"/>
      <c r="K38" s="78"/>
      <c r="L38" s="78"/>
      <c r="M38" s="78"/>
      <c r="N38" s="56"/>
      <c r="O38" s="56"/>
      <c r="P38" s="56"/>
      <c r="Q38" s="56"/>
    </row>
    <row r="39" spans="1:17" ht="20.25">
      <c r="A39" s="23"/>
      <c r="B39" s="23"/>
      <c r="C39" s="23"/>
      <c r="D39" s="23"/>
      <c r="E39" s="23"/>
      <c r="F39" s="21"/>
      <c r="G39" s="21"/>
      <c r="H39" s="21"/>
      <c r="I39" s="21"/>
      <c r="J39" s="21"/>
      <c r="K39" s="78"/>
      <c r="L39" s="78"/>
      <c r="M39" s="78"/>
      <c r="N39" s="56"/>
      <c r="O39" s="56"/>
      <c r="P39" s="56"/>
      <c r="Q39" s="56"/>
    </row>
    <row r="40" spans="1:17" ht="20.25">
      <c r="A40" s="23"/>
      <c r="B40" s="23"/>
      <c r="C40" s="23"/>
      <c r="D40" s="23"/>
      <c r="E40" s="23"/>
      <c r="F40" s="21"/>
      <c r="G40" s="21"/>
      <c r="H40" s="21"/>
      <c r="I40" s="21"/>
      <c r="J40" s="21"/>
      <c r="K40" s="78"/>
      <c r="L40" s="78"/>
      <c r="M40" s="78"/>
      <c r="N40" s="56"/>
      <c r="O40" s="56"/>
      <c r="P40" s="56"/>
      <c r="Q40" s="56"/>
    </row>
    <row r="41" spans="1:17" ht="20.25">
      <c r="A41" s="23"/>
      <c r="B41" s="23"/>
      <c r="C41" s="23"/>
      <c r="D41" s="23"/>
      <c r="E41" s="23"/>
      <c r="F41" s="21"/>
      <c r="G41" s="21"/>
      <c r="H41" s="21"/>
      <c r="I41" s="21"/>
      <c r="J41" s="21"/>
      <c r="K41" s="78"/>
      <c r="L41" s="78"/>
      <c r="M41" s="78"/>
      <c r="N41" s="56"/>
      <c r="O41" s="56"/>
      <c r="P41" s="56"/>
      <c r="Q41" s="56"/>
    </row>
    <row r="42" spans="1:17" ht="20.25">
      <c r="A42" s="23"/>
      <c r="B42" s="23"/>
      <c r="C42" s="23"/>
      <c r="D42" s="23"/>
      <c r="E42" s="23"/>
      <c r="F42" s="21"/>
      <c r="G42" s="21"/>
      <c r="H42" s="21"/>
      <c r="I42" s="21"/>
      <c r="J42" s="21"/>
      <c r="K42" s="78"/>
      <c r="L42" s="78"/>
      <c r="M42" s="78"/>
      <c r="N42" s="56"/>
      <c r="O42" s="56"/>
      <c r="P42" s="56"/>
      <c r="Q42" s="56"/>
    </row>
    <row r="43" spans="1:17" ht="20.25">
      <c r="A43" s="23"/>
      <c r="B43" s="23"/>
      <c r="C43" s="23"/>
      <c r="D43" s="23"/>
      <c r="E43" s="23"/>
      <c r="F43" s="21"/>
      <c r="G43" s="21"/>
      <c r="H43" s="21"/>
      <c r="I43" s="21"/>
      <c r="J43" s="21"/>
      <c r="K43" s="78"/>
      <c r="L43" s="78"/>
      <c r="M43" s="78"/>
      <c r="N43" s="56"/>
      <c r="O43" s="56"/>
      <c r="P43" s="56"/>
      <c r="Q43" s="56"/>
    </row>
    <row r="44" spans="1:17" ht="20.25">
      <c r="A44" s="23"/>
      <c r="B44" s="23"/>
      <c r="C44" s="23"/>
      <c r="D44" s="23"/>
      <c r="E44" s="23"/>
      <c r="F44" s="21"/>
      <c r="G44" s="21"/>
      <c r="H44" s="21"/>
      <c r="I44" s="21"/>
      <c r="J44" s="21"/>
      <c r="K44" s="78"/>
      <c r="L44" s="78"/>
      <c r="M44" s="78"/>
      <c r="N44" s="56"/>
      <c r="O44" s="56"/>
      <c r="P44" s="56"/>
      <c r="Q44" s="56"/>
    </row>
    <row r="45" spans="1:17" ht="20.25">
      <c r="A45" s="23"/>
      <c r="B45" s="23"/>
      <c r="C45" s="23"/>
      <c r="D45" s="23"/>
      <c r="E45" s="23"/>
      <c r="F45" s="21"/>
      <c r="G45" s="21"/>
      <c r="H45" s="21"/>
      <c r="I45" s="21"/>
      <c r="J45" s="21"/>
      <c r="K45" s="78"/>
      <c r="L45" s="78"/>
      <c r="M45" s="78"/>
      <c r="N45" s="56"/>
      <c r="O45" s="56"/>
      <c r="P45" s="56"/>
      <c r="Q45" s="56"/>
    </row>
    <row r="46" spans="1:17" ht="20.25">
      <c r="A46" s="23"/>
      <c r="B46" s="23"/>
      <c r="C46" s="23"/>
      <c r="D46" s="23"/>
      <c r="E46" s="23"/>
      <c r="F46" s="21"/>
      <c r="G46" s="21"/>
      <c r="H46" s="21"/>
      <c r="I46" s="21"/>
      <c r="J46" s="21"/>
      <c r="K46" s="78"/>
      <c r="L46" s="78"/>
      <c r="M46" s="78"/>
      <c r="N46" s="56"/>
      <c r="O46" s="56"/>
      <c r="P46" s="56"/>
      <c r="Q46" s="56"/>
    </row>
    <row r="47" spans="1:17" ht="20.25">
      <c r="A47" s="23"/>
      <c r="B47" s="23"/>
      <c r="C47" s="23"/>
      <c r="D47" s="23"/>
      <c r="E47" s="23"/>
      <c r="F47" s="21"/>
      <c r="G47" s="21"/>
      <c r="H47" s="21"/>
      <c r="I47" s="21"/>
      <c r="J47" s="21"/>
      <c r="K47" s="78"/>
      <c r="L47" s="78"/>
      <c r="M47" s="78"/>
      <c r="N47" s="56"/>
      <c r="O47" s="56"/>
      <c r="P47" s="56"/>
      <c r="Q47" s="56"/>
    </row>
    <row r="48" spans="1:17" ht="20.25">
      <c r="A48" s="23"/>
      <c r="B48" s="23"/>
      <c r="C48" s="23"/>
      <c r="D48" s="23"/>
      <c r="E48" s="23"/>
      <c r="F48" s="21"/>
      <c r="G48" s="21"/>
      <c r="H48" s="21"/>
      <c r="I48" s="21"/>
      <c r="J48" s="21"/>
      <c r="K48" s="78"/>
      <c r="L48" s="78"/>
      <c r="M48" s="78"/>
      <c r="N48" s="56"/>
      <c r="O48" s="56"/>
      <c r="P48" s="56"/>
      <c r="Q48" s="56"/>
    </row>
    <row r="49" spans="1:17" ht="20.25">
      <c r="A49" s="23"/>
      <c r="B49" s="23"/>
      <c r="C49" s="23"/>
      <c r="D49" s="23"/>
      <c r="E49" s="23"/>
      <c r="F49" s="21"/>
      <c r="G49" s="21"/>
      <c r="H49" s="21"/>
      <c r="I49" s="21"/>
      <c r="J49" s="21"/>
      <c r="K49" s="78"/>
      <c r="L49" s="78"/>
      <c r="M49" s="78"/>
      <c r="N49" s="56"/>
      <c r="O49" s="56"/>
      <c r="P49" s="56"/>
      <c r="Q49" s="56"/>
    </row>
    <row r="50" spans="1:17" ht="20.25">
      <c r="A50" s="23"/>
      <c r="B50" s="23"/>
      <c r="C50" s="23"/>
      <c r="D50" s="23"/>
      <c r="E50" s="23"/>
      <c r="F50" s="21"/>
      <c r="G50" s="21"/>
      <c r="H50" s="21"/>
      <c r="I50" s="21"/>
      <c r="J50" s="21"/>
      <c r="K50" s="78"/>
      <c r="L50" s="78"/>
      <c r="M50" s="78"/>
      <c r="N50" s="56"/>
      <c r="O50" s="56"/>
      <c r="P50" s="56"/>
      <c r="Q50" s="56"/>
    </row>
    <row r="51" spans="1:17" ht="20.25">
      <c r="A51" s="23"/>
      <c r="B51" s="23"/>
      <c r="C51" s="23"/>
      <c r="D51" s="23"/>
      <c r="E51" s="23"/>
      <c r="F51" s="21"/>
      <c r="G51" s="21"/>
      <c r="H51" s="21"/>
      <c r="I51" s="21"/>
      <c r="J51" s="21"/>
      <c r="K51" s="78"/>
      <c r="L51" s="78"/>
      <c r="M51" s="78"/>
      <c r="N51" s="56"/>
      <c r="O51" s="56"/>
      <c r="P51" s="56"/>
      <c r="Q51" s="56"/>
    </row>
    <row r="52" spans="1:17" ht="20.25">
      <c r="A52" s="23"/>
      <c r="B52" s="23"/>
      <c r="C52" s="23"/>
      <c r="D52" s="23"/>
      <c r="E52" s="23"/>
      <c r="F52" s="21"/>
      <c r="G52" s="21"/>
      <c r="H52" s="21"/>
      <c r="I52" s="21"/>
      <c r="J52" s="21"/>
      <c r="K52" s="78"/>
      <c r="L52" s="78"/>
      <c r="M52" s="78"/>
      <c r="N52" s="56"/>
      <c r="O52" s="56"/>
      <c r="P52" s="56"/>
      <c r="Q52" s="56"/>
    </row>
    <row r="53" spans="1:17" ht="20.25">
      <c r="A53" s="23"/>
      <c r="B53" s="23"/>
      <c r="C53" s="23"/>
      <c r="D53" s="23"/>
      <c r="E53" s="23"/>
      <c r="F53" s="21"/>
      <c r="G53" s="21"/>
      <c r="H53" s="21"/>
      <c r="I53" s="21"/>
      <c r="J53" s="21"/>
      <c r="K53" s="78"/>
      <c r="L53" s="78"/>
      <c r="M53" s="78"/>
      <c r="N53" s="56"/>
      <c r="O53" s="56"/>
      <c r="P53" s="56"/>
      <c r="Q53" s="56"/>
    </row>
    <row r="54" spans="1:17" ht="20.25">
      <c r="A54" s="23"/>
      <c r="B54" s="23"/>
      <c r="C54" s="23"/>
      <c r="D54" s="23"/>
      <c r="E54" s="23"/>
      <c r="F54" s="21"/>
      <c r="G54" s="21"/>
      <c r="H54" s="21"/>
      <c r="I54" s="21"/>
      <c r="J54" s="21"/>
      <c r="K54" s="78"/>
      <c r="L54" s="78"/>
      <c r="M54" s="78"/>
      <c r="N54" s="56"/>
      <c r="O54" s="56"/>
      <c r="P54" s="56"/>
      <c r="Q54" s="56"/>
    </row>
    <row r="55" spans="1:17" ht="20.25">
      <c r="A55" s="23"/>
      <c r="B55" s="23"/>
      <c r="C55" s="23"/>
      <c r="D55" s="23"/>
      <c r="E55" s="23"/>
      <c r="F55" s="21"/>
      <c r="G55" s="21"/>
      <c r="H55" s="21"/>
      <c r="I55" s="21"/>
      <c r="J55" s="21"/>
      <c r="K55" s="78"/>
      <c r="L55" s="78"/>
      <c r="M55" s="78"/>
      <c r="N55" s="56"/>
      <c r="O55" s="56"/>
      <c r="P55" s="56"/>
      <c r="Q55" s="56"/>
    </row>
    <row r="56" spans="1:17" ht="20.25">
      <c r="A56" s="23"/>
      <c r="B56" s="23"/>
      <c r="C56" s="23"/>
      <c r="D56" s="23"/>
      <c r="E56" s="23"/>
      <c r="F56" s="21"/>
      <c r="G56" s="21"/>
      <c r="H56" s="21"/>
      <c r="I56" s="21"/>
      <c r="J56" s="21"/>
      <c r="K56" s="78"/>
      <c r="L56" s="78"/>
      <c r="M56" s="78"/>
      <c r="N56" s="56"/>
      <c r="O56" s="56"/>
      <c r="P56" s="56"/>
      <c r="Q56" s="56"/>
    </row>
    <row r="57" spans="1:17" ht="20.25">
      <c r="A57" s="23"/>
      <c r="B57" s="23"/>
      <c r="C57" s="23"/>
      <c r="D57" s="23"/>
      <c r="E57" s="23"/>
      <c r="F57" s="21"/>
      <c r="G57" s="21"/>
      <c r="H57" s="21"/>
      <c r="I57" s="21"/>
      <c r="J57" s="21"/>
      <c r="K57" s="78"/>
      <c r="L57" s="78"/>
      <c r="M57" s="78"/>
      <c r="N57" s="56"/>
      <c r="O57" s="56"/>
      <c r="P57" s="56"/>
      <c r="Q57" s="56"/>
    </row>
    <row r="58" spans="1:17" ht="20.25">
      <c r="A58" s="23"/>
      <c r="B58" s="23"/>
      <c r="C58" s="23"/>
      <c r="D58" s="23"/>
      <c r="E58" s="23"/>
      <c r="F58" s="21"/>
      <c r="G58" s="21"/>
      <c r="H58" s="21"/>
      <c r="I58" s="21"/>
      <c r="J58" s="21"/>
      <c r="K58" s="78"/>
      <c r="L58" s="78"/>
      <c r="M58" s="78"/>
      <c r="N58" s="56"/>
      <c r="O58" s="56"/>
      <c r="P58" s="56"/>
      <c r="Q58" s="56"/>
    </row>
    <row r="59" spans="1:17" ht="20.25">
      <c r="A59" s="23"/>
      <c r="B59" s="23"/>
      <c r="C59" s="23"/>
      <c r="D59" s="23"/>
      <c r="E59" s="23"/>
      <c r="F59" s="21"/>
      <c r="G59" s="21"/>
      <c r="H59" s="21"/>
      <c r="I59" s="21"/>
      <c r="J59" s="21"/>
      <c r="K59" s="78"/>
      <c r="L59" s="78"/>
      <c r="M59" s="78"/>
      <c r="N59" s="56"/>
      <c r="O59" s="56"/>
      <c r="P59" s="56"/>
      <c r="Q59" s="56"/>
    </row>
    <row r="60" spans="1:17" ht="20.25">
      <c r="A60" s="23"/>
      <c r="B60" s="23"/>
      <c r="C60" s="23"/>
      <c r="D60" s="23"/>
      <c r="E60" s="23"/>
      <c r="F60" s="21"/>
      <c r="G60" s="21"/>
      <c r="H60" s="21"/>
      <c r="I60" s="21"/>
      <c r="J60" s="21"/>
      <c r="K60" s="78"/>
      <c r="L60" s="78"/>
      <c r="M60" s="78"/>
      <c r="N60" s="56"/>
      <c r="O60" s="56"/>
      <c r="P60" s="56"/>
      <c r="Q60" s="56"/>
    </row>
    <row r="61" spans="1:17" ht="20.25">
      <c r="A61" s="23"/>
      <c r="B61" s="23"/>
      <c r="C61" s="23"/>
      <c r="D61" s="23"/>
      <c r="E61" s="23"/>
      <c r="F61" s="21"/>
      <c r="G61" s="21"/>
      <c r="H61" s="21"/>
      <c r="I61" s="21"/>
      <c r="J61" s="21"/>
      <c r="K61" s="78"/>
      <c r="L61" s="78"/>
      <c r="M61" s="78"/>
      <c r="N61" s="56"/>
      <c r="O61" s="56"/>
      <c r="P61" s="56"/>
      <c r="Q61" s="56"/>
    </row>
    <row r="62" spans="1:17" ht="20.25">
      <c r="A62" s="23"/>
      <c r="B62" s="23"/>
      <c r="C62" s="23"/>
      <c r="D62" s="23"/>
      <c r="E62" s="23"/>
      <c r="F62" s="21"/>
      <c r="G62" s="21"/>
      <c r="H62" s="21"/>
      <c r="I62" s="21"/>
      <c r="J62" s="21"/>
      <c r="K62" s="78"/>
      <c r="L62" s="78"/>
      <c r="M62" s="78"/>
      <c r="N62" s="56"/>
      <c r="O62" s="56"/>
      <c r="P62" s="56"/>
      <c r="Q62" s="56"/>
    </row>
    <row r="63" spans="1:17" ht="20.25">
      <c r="A63" s="23"/>
      <c r="B63" s="23"/>
      <c r="C63" s="23"/>
      <c r="D63" s="23"/>
      <c r="E63" s="23"/>
      <c r="F63" s="21"/>
      <c r="G63" s="21"/>
      <c r="H63" s="21"/>
      <c r="I63" s="21"/>
      <c r="J63" s="21"/>
      <c r="K63" s="78"/>
      <c r="L63" s="78"/>
      <c r="M63" s="78"/>
      <c r="N63" s="56"/>
      <c r="O63" s="56"/>
      <c r="P63" s="56"/>
      <c r="Q63" s="56"/>
    </row>
    <row r="64" spans="1:17" ht="20.25">
      <c r="A64" s="23"/>
      <c r="B64" s="23"/>
      <c r="C64" s="23"/>
      <c r="D64" s="23"/>
      <c r="E64" s="23"/>
      <c r="F64" s="21"/>
      <c r="G64" s="21"/>
      <c r="H64" s="21"/>
      <c r="I64" s="21"/>
      <c r="J64" s="21"/>
      <c r="K64" s="78"/>
      <c r="L64" s="78"/>
      <c r="M64" s="78"/>
      <c r="N64" s="56"/>
      <c r="O64" s="56"/>
      <c r="P64" s="56"/>
      <c r="Q64" s="56"/>
    </row>
    <row r="65" spans="1:17" ht="20.25">
      <c r="A65" s="23"/>
      <c r="B65" s="23"/>
      <c r="C65" s="23"/>
      <c r="D65" s="23"/>
      <c r="E65" s="23"/>
      <c r="F65" s="21"/>
      <c r="G65" s="21"/>
      <c r="H65" s="21"/>
      <c r="I65" s="21"/>
      <c r="J65" s="21"/>
      <c r="K65" s="78"/>
      <c r="L65" s="78"/>
      <c r="M65" s="78"/>
      <c r="N65" s="56"/>
      <c r="O65" s="56"/>
      <c r="P65" s="56"/>
      <c r="Q65" s="56"/>
    </row>
    <row r="66" spans="1:17" ht="20.25">
      <c r="A66" s="23"/>
      <c r="B66" s="23"/>
      <c r="C66" s="23"/>
      <c r="D66" s="23"/>
      <c r="E66" s="23"/>
      <c r="F66" s="21"/>
      <c r="G66" s="21"/>
      <c r="H66" s="21"/>
      <c r="I66" s="21"/>
      <c r="J66" s="21"/>
      <c r="K66" s="78"/>
      <c r="L66" s="78"/>
      <c r="M66" s="78"/>
      <c r="N66" s="56"/>
      <c r="O66" s="56"/>
      <c r="P66" s="56"/>
      <c r="Q66" s="56"/>
    </row>
    <row r="67" spans="1:17" ht="20.25">
      <c r="A67" s="23"/>
      <c r="B67" s="23"/>
      <c r="C67" s="23"/>
      <c r="D67" s="23"/>
      <c r="E67" s="23"/>
      <c r="F67" s="21"/>
      <c r="G67" s="21"/>
      <c r="H67" s="21"/>
      <c r="I67" s="21"/>
      <c r="J67" s="21"/>
      <c r="K67" s="78"/>
      <c r="L67" s="78"/>
      <c r="M67" s="78"/>
      <c r="N67" s="56"/>
      <c r="O67" s="56"/>
      <c r="P67" s="56"/>
      <c r="Q67" s="56"/>
    </row>
    <row r="68" spans="1:17" ht="20.25">
      <c r="A68" s="23"/>
      <c r="B68" s="23"/>
      <c r="C68" s="23"/>
      <c r="D68" s="23"/>
      <c r="E68" s="23"/>
      <c r="F68" s="21"/>
      <c r="G68" s="21"/>
      <c r="H68" s="21"/>
      <c r="I68" s="21"/>
      <c r="J68" s="21"/>
      <c r="K68" s="78"/>
      <c r="L68" s="78"/>
      <c r="M68" s="78"/>
      <c r="N68" s="56"/>
      <c r="O68" s="56"/>
      <c r="P68" s="56"/>
      <c r="Q68" s="56"/>
    </row>
    <row r="69" spans="1:17" ht="20.25">
      <c r="A69" s="23"/>
      <c r="B69" s="23"/>
      <c r="C69" s="23"/>
      <c r="D69" s="23"/>
      <c r="E69" s="23"/>
      <c r="F69" s="21"/>
      <c r="G69" s="21"/>
      <c r="H69" s="21"/>
      <c r="I69" s="21"/>
      <c r="J69" s="21"/>
      <c r="K69" s="78"/>
      <c r="L69" s="78"/>
      <c r="M69" s="78"/>
      <c r="N69" s="56"/>
      <c r="O69" s="56"/>
      <c r="P69" s="56"/>
      <c r="Q69" s="56"/>
    </row>
    <row r="70" spans="1:17" ht="20.25">
      <c r="A70" s="23"/>
      <c r="B70" s="23"/>
      <c r="C70" s="23"/>
      <c r="D70" s="23"/>
      <c r="E70" s="23"/>
      <c r="F70" s="21"/>
      <c r="G70" s="21"/>
      <c r="H70" s="21"/>
      <c r="I70" s="21"/>
      <c r="J70" s="21"/>
      <c r="K70" s="78"/>
      <c r="L70" s="78"/>
      <c r="M70" s="78"/>
      <c r="N70" s="56"/>
      <c r="O70" s="56"/>
      <c r="P70" s="56"/>
      <c r="Q70" s="56"/>
    </row>
    <row r="71" spans="1:17" ht="20.25">
      <c r="A71" s="23"/>
      <c r="B71" s="23"/>
      <c r="C71" s="23"/>
      <c r="D71" s="23"/>
      <c r="E71" s="23"/>
      <c r="F71" s="21"/>
      <c r="G71" s="21"/>
      <c r="H71" s="21"/>
      <c r="I71" s="21"/>
      <c r="J71" s="21"/>
      <c r="K71" s="78"/>
      <c r="L71" s="78"/>
      <c r="M71" s="78"/>
      <c r="N71" s="56"/>
      <c r="O71" s="56"/>
      <c r="P71" s="56"/>
      <c r="Q71" s="56"/>
    </row>
    <row r="72" spans="1:17" ht="20.25">
      <c r="A72" s="23"/>
      <c r="B72" s="23"/>
      <c r="C72" s="23"/>
      <c r="D72" s="23"/>
      <c r="E72" s="23"/>
      <c r="F72" s="21"/>
      <c r="G72" s="21"/>
      <c r="H72" s="21"/>
      <c r="I72" s="21"/>
      <c r="J72" s="21"/>
      <c r="K72" s="78"/>
      <c r="L72" s="78"/>
      <c r="M72" s="78"/>
      <c r="N72" s="56"/>
      <c r="O72" s="56"/>
      <c r="P72" s="56"/>
      <c r="Q72" s="56"/>
    </row>
    <row r="73" spans="1:17" ht="20.25">
      <c r="A73" s="23"/>
      <c r="B73" s="23"/>
      <c r="C73" s="23"/>
      <c r="D73" s="23"/>
      <c r="E73" s="23"/>
      <c r="F73" s="21"/>
      <c r="G73" s="21"/>
      <c r="H73" s="21"/>
      <c r="I73" s="21"/>
      <c r="J73" s="21"/>
      <c r="K73" s="78"/>
      <c r="L73" s="78"/>
      <c r="M73" s="78"/>
      <c r="N73" s="56"/>
      <c r="O73" s="56"/>
      <c r="P73" s="56"/>
      <c r="Q73" s="56"/>
    </row>
    <row r="74" spans="1:17" ht="20.25">
      <c r="A74" s="23"/>
      <c r="B74" s="23"/>
      <c r="C74" s="23"/>
      <c r="D74" s="23"/>
      <c r="E74" s="23"/>
      <c r="F74" s="21"/>
      <c r="G74" s="21"/>
      <c r="H74" s="21"/>
      <c r="I74" s="21"/>
      <c r="J74" s="21"/>
      <c r="K74" s="78"/>
      <c r="L74" s="78"/>
      <c r="M74" s="78"/>
      <c r="N74" s="56"/>
      <c r="O74" s="56"/>
      <c r="P74" s="56"/>
      <c r="Q74" s="56"/>
    </row>
    <row r="75" spans="1:17" ht="20.25">
      <c r="A75" s="23"/>
      <c r="B75" s="23"/>
      <c r="C75" s="23"/>
      <c r="D75" s="23"/>
      <c r="E75" s="23"/>
      <c r="F75" s="21"/>
      <c r="G75" s="21"/>
      <c r="H75" s="21"/>
      <c r="I75" s="21"/>
      <c r="J75" s="21"/>
      <c r="K75" s="78"/>
      <c r="L75" s="78"/>
      <c r="M75" s="78"/>
      <c r="N75" s="56"/>
      <c r="O75" s="56"/>
      <c r="P75" s="56"/>
      <c r="Q75" s="56"/>
    </row>
    <row r="76" spans="1:17" ht="20.25">
      <c r="A76" s="23"/>
      <c r="B76" s="23"/>
      <c r="C76" s="23"/>
      <c r="D76" s="23"/>
      <c r="E76" s="23"/>
      <c r="F76" s="21"/>
      <c r="G76" s="21"/>
      <c r="H76" s="21"/>
      <c r="I76" s="21"/>
      <c r="J76" s="21"/>
      <c r="K76" s="78"/>
      <c r="L76" s="78"/>
      <c r="M76" s="78"/>
      <c r="N76" s="56"/>
      <c r="O76" s="56"/>
      <c r="P76" s="56"/>
      <c r="Q76" s="56"/>
    </row>
    <row r="77" spans="1:17" ht="20.25">
      <c r="A77" s="23"/>
      <c r="B77" s="23"/>
      <c r="C77" s="23"/>
      <c r="D77" s="23"/>
      <c r="E77" s="23"/>
      <c r="F77" s="21"/>
      <c r="G77" s="21"/>
      <c r="H77" s="21"/>
      <c r="I77" s="21"/>
      <c r="J77" s="21"/>
      <c r="K77" s="78"/>
      <c r="L77" s="78"/>
      <c r="M77" s="78"/>
      <c r="N77" s="56"/>
      <c r="O77" s="56"/>
      <c r="P77" s="56"/>
      <c r="Q77" s="56"/>
    </row>
    <row r="78" spans="1:17" ht="20.25">
      <c r="A78" s="23"/>
      <c r="B78" s="23"/>
      <c r="C78" s="23"/>
      <c r="D78" s="23"/>
      <c r="E78" s="23"/>
      <c r="F78" s="21"/>
      <c r="G78" s="21"/>
      <c r="H78" s="21"/>
      <c r="I78" s="21"/>
      <c r="J78" s="21"/>
      <c r="K78" s="78"/>
      <c r="L78" s="78"/>
      <c r="M78" s="78"/>
      <c r="N78" s="56"/>
      <c r="O78" s="56"/>
      <c r="P78" s="56"/>
      <c r="Q78" s="56"/>
    </row>
    <row r="79" spans="1:17" ht="20.25">
      <c r="A79" s="23"/>
      <c r="B79" s="23"/>
      <c r="C79" s="23"/>
      <c r="D79" s="23"/>
      <c r="E79" s="23"/>
      <c r="F79" s="21"/>
      <c r="G79" s="21"/>
      <c r="H79" s="21"/>
      <c r="I79" s="21"/>
      <c r="J79" s="21"/>
      <c r="K79" s="78"/>
      <c r="L79" s="78"/>
      <c r="M79" s="78"/>
      <c r="N79" s="56"/>
      <c r="O79" s="56"/>
      <c r="P79" s="56"/>
      <c r="Q79" s="56"/>
    </row>
    <row r="80" spans="1:17" ht="20.25">
      <c r="A80" s="23"/>
      <c r="B80" s="23"/>
      <c r="C80" s="23"/>
      <c r="D80" s="23"/>
      <c r="E80" s="23"/>
      <c r="F80" s="21"/>
      <c r="G80" s="21"/>
      <c r="H80" s="21"/>
      <c r="I80" s="21"/>
      <c r="J80" s="21"/>
      <c r="K80" s="78"/>
      <c r="L80" s="78"/>
      <c r="M80" s="78"/>
      <c r="N80" s="56"/>
      <c r="O80" s="56"/>
      <c r="P80" s="56"/>
      <c r="Q80" s="56"/>
    </row>
    <row r="81" spans="1:17" ht="20.25">
      <c r="A81" s="23"/>
      <c r="B81" s="23"/>
      <c r="C81" s="23"/>
      <c r="D81" s="23"/>
      <c r="E81" s="23"/>
      <c r="F81" s="21"/>
      <c r="G81" s="21"/>
      <c r="H81" s="21"/>
      <c r="I81" s="21"/>
      <c r="J81" s="21"/>
      <c r="K81" s="78"/>
      <c r="L81" s="78"/>
      <c r="M81" s="78"/>
      <c r="N81" s="56"/>
      <c r="O81" s="56"/>
      <c r="P81" s="56"/>
      <c r="Q81" s="56"/>
    </row>
    <row r="82" spans="1:17" ht="20.25">
      <c r="A82" s="23"/>
      <c r="B82" s="23"/>
      <c r="C82" s="23"/>
      <c r="D82" s="23"/>
      <c r="E82" s="23"/>
      <c r="F82" s="21"/>
      <c r="G82" s="21"/>
      <c r="H82" s="21"/>
      <c r="I82" s="21"/>
      <c r="J82" s="21"/>
      <c r="K82" s="78"/>
      <c r="L82" s="78"/>
      <c r="M82" s="78"/>
      <c r="N82" s="56"/>
      <c r="O82" s="56"/>
      <c r="P82" s="56"/>
      <c r="Q82" s="56"/>
    </row>
    <row r="83" spans="1:17" ht="20.25">
      <c r="A83" s="23"/>
      <c r="B83" s="23"/>
      <c r="C83" s="23"/>
      <c r="D83" s="23"/>
      <c r="E83" s="23"/>
      <c r="F83" s="21"/>
      <c r="G83" s="21"/>
      <c r="H83" s="21"/>
      <c r="I83" s="21"/>
      <c r="J83" s="21"/>
      <c r="K83" s="78"/>
      <c r="L83" s="78"/>
      <c r="M83" s="78"/>
      <c r="N83" s="56"/>
      <c r="O83" s="56"/>
      <c r="P83" s="56"/>
      <c r="Q83" s="56"/>
    </row>
    <row r="84" spans="1:17" ht="20.25">
      <c r="A84" s="23"/>
      <c r="B84" s="23"/>
      <c r="C84" s="23"/>
      <c r="D84" s="23"/>
      <c r="E84" s="23"/>
      <c r="F84" s="21"/>
      <c r="G84" s="21"/>
      <c r="H84" s="21"/>
      <c r="I84" s="21"/>
      <c r="J84" s="21"/>
      <c r="K84" s="78"/>
      <c r="L84" s="78"/>
      <c r="M84" s="78"/>
      <c r="N84" s="56"/>
      <c r="O84" s="56"/>
      <c r="P84" s="56"/>
      <c r="Q84" s="56"/>
    </row>
    <row r="85" spans="1:17" ht="20.25">
      <c r="A85" s="23"/>
      <c r="B85" s="23"/>
      <c r="C85" s="23"/>
      <c r="D85" s="23"/>
      <c r="E85" s="23"/>
      <c r="F85" s="21"/>
      <c r="G85" s="21"/>
      <c r="H85" s="21"/>
      <c r="I85" s="21"/>
      <c r="J85" s="21"/>
      <c r="K85" s="78"/>
      <c r="L85" s="78"/>
      <c r="M85" s="78"/>
      <c r="N85" s="56"/>
      <c r="O85" s="56"/>
      <c r="P85" s="56"/>
      <c r="Q85" s="56"/>
    </row>
  </sheetData>
  <mergeCells count="2">
    <mergeCell ref="K7:N7"/>
    <mergeCell ref="H7:I7"/>
  </mergeCells>
  <phoneticPr fontId="0" type="noConversion"/>
  <printOptions horizontalCentered="1" verticalCentered="1"/>
  <pageMargins left="0.2" right="0.2" top="0.5" bottom="0.5" header="0" footer="0"/>
  <pageSetup scale="32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90"/>
  <sheetViews>
    <sheetView zoomScale="4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C22" sqref="C22"/>
    </sheetView>
  </sheetViews>
  <sheetFormatPr defaultRowHeight="15.75"/>
  <cols>
    <col min="1" max="1" width="72" style="19" customWidth="1"/>
    <col min="2" max="2" width="2.140625" style="19" customWidth="1"/>
    <col min="3" max="3" width="34.140625" style="19" customWidth="1"/>
    <col min="4" max="4" width="20.140625" style="19" customWidth="1"/>
    <col min="5" max="5" width="43.140625" style="19" customWidth="1"/>
    <col min="6" max="7" width="4.42578125" style="3" customWidth="1"/>
    <col min="8" max="9" width="28.5703125" style="3" customWidth="1"/>
    <col min="10" max="10" width="5.42578125" style="3" customWidth="1"/>
    <col min="11" max="11" width="21.28515625" style="5" customWidth="1"/>
    <col min="12" max="12" width="30.140625" style="5" customWidth="1"/>
    <col min="13" max="13" width="23.85546875" style="5" hidden="1" customWidth="1"/>
    <col min="14" max="14" width="18.28515625" style="33" customWidth="1"/>
    <col min="15" max="15" width="25.42578125" style="33" customWidth="1"/>
    <col min="16" max="16" width="25" style="33" customWidth="1"/>
    <col min="17" max="17" width="24.140625" style="33" customWidth="1"/>
    <col min="18" max="18" width="17" style="33" customWidth="1"/>
    <col min="19" max="19" width="2.140625" style="33" customWidth="1"/>
    <col min="20" max="20" width="12.42578125" style="33" customWidth="1"/>
    <col min="21" max="21" width="16" style="33" customWidth="1"/>
    <col min="22" max="22" width="19.140625" style="33" customWidth="1"/>
    <col min="23" max="23" width="20.42578125" style="33" customWidth="1"/>
    <col min="24" max="24" width="18.5703125" style="33" customWidth="1"/>
    <col min="25" max="25" width="9.140625" style="33"/>
    <col min="26" max="28" width="19.85546875" style="33" customWidth="1"/>
    <col min="29" max="29" width="13.5703125" style="33" customWidth="1"/>
    <col min="30" max="30" width="22.140625" style="33" hidden="1" customWidth="1"/>
    <col min="31" max="31" width="32.5703125" style="33" hidden="1" customWidth="1"/>
    <col min="32" max="32" width="20.7109375" style="33" hidden="1" customWidth="1"/>
    <col min="33" max="33" width="19.85546875" style="33" customWidth="1"/>
    <col min="34" max="34" width="14.42578125" style="33" customWidth="1"/>
    <col min="35" max="35" width="14.140625" style="33" customWidth="1"/>
    <col min="36" max="36" width="14.7109375" style="33" customWidth="1"/>
    <col min="37" max="37" width="13.28515625" style="33" customWidth="1"/>
    <col min="38" max="38" width="18.5703125" style="33" customWidth="1"/>
    <col min="39" max="39" width="14.42578125" style="33" customWidth="1"/>
    <col min="40" max="41" width="12.42578125" style="33" customWidth="1"/>
    <col min="42" max="16384" width="9.140625" style="33"/>
  </cols>
  <sheetData>
    <row r="1" spans="1:39" s="32" customFormat="1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3"/>
      <c r="P1" s="33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9" ht="60.75">
      <c r="A2" s="1"/>
      <c r="B2" s="1"/>
      <c r="C2" s="36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</row>
    <row r="3" spans="1:39" ht="72.75" customHeight="1">
      <c r="A3" s="2"/>
      <c r="B3" s="3"/>
      <c r="C3" s="3"/>
      <c r="D3" s="3"/>
      <c r="E3" s="153"/>
      <c r="H3" s="4" t="s">
        <v>1</v>
      </c>
      <c r="I3" s="4"/>
      <c r="L3" s="6" t="s">
        <v>80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1:39" ht="21" customHeight="1">
      <c r="A4" s="3"/>
      <c r="B4" s="3"/>
      <c r="C4" s="3"/>
      <c r="D4" s="3"/>
      <c r="E4" s="3"/>
      <c r="K4" s="154" t="s">
        <v>45</v>
      </c>
      <c r="L4" s="154">
        <f ca="1">TODAY()</f>
        <v>41887</v>
      </c>
      <c r="Q4" s="34"/>
      <c r="R4" s="34"/>
      <c r="S4" s="34"/>
      <c r="T4" s="34"/>
      <c r="U4" s="34"/>
      <c r="V4" s="34"/>
      <c r="W4" s="37"/>
      <c r="X4" s="38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39" ht="30">
      <c r="A5" s="2"/>
      <c r="B5" s="3"/>
      <c r="C5" s="3"/>
      <c r="D5" s="3"/>
      <c r="E5" s="3"/>
      <c r="K5" s="8"/>
      <c r="L5" s="6"/>
      <c r="Q5" s="34"/>
      <c r="R5" s="34"/>
      <c r="S5" s="34"/>
      <c r="T5" s="34"/>
      <c r="U5" s="34"/>
      <c r="V5" s="34"/>
      <c r="W5" s="37"/>
      <c r="X5" s="38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9" ht="15.75" customHeight="1">
      <c r="A6" s="10"/>
      <c r="B6" s="3"/>
      <c r="C6" s="3"/>
      <c r="D6" s="3"/>
      <c r="E6" s="3"/>
      <c r="K6" s="9"/>
      <c r="L6" s="9"/>
      <c r="M6" s="9"/>
      <c r="Q6" s="34"/>
      <c r="R6" s="34"/>
      <c r="S6" s="34"/>
      <c r="T6" s="34"/>
      <c r="U6" s="34"/>
      <c r="V6" s="34"/>
      <c r="W6" s="37"/>
      <c r="X6" s="38"/>
      <c r="Y6" s="34"/>
      <c r="Z6" s="34"/>
      <c r="AA6" s="34"/>
      <c r="AB6" s="34"/>
      <c r="AC6" s="34"/>
      <c r="AD6" s="39"/>
      <c r="AE6" s="34"/>
      <c r="AF6" s="34"/>
      <c r="AG6" s="34"/>
      <c r="AH6" s="34"/>
      <c r="AI6" s="34"/>
      <c r="AJ6" s="34"/>
      <c r="AK6" s="34"/>
      <c r="AL6" s="34"/>
    </row>
    <row r="7" spans="1:39" ht="31.5" customHeight="1">
      <c r="A7" s="10"/>
      <c r="B7" s="3"/>
      <c r="C7" s="97" t="s">
        <v>32</v>
      </c>
      <c r="D7" s="40"/>
      <c r="E7" s="97" t="s">
        <v>35</v>
      </c>
      <c r="F7" s="11"/>
      <c r="G7" s="11"/>
      <c r="H7" s="239" t="s">
        <v>2</v>
      </c>
      <c r="I7" s="240"/>
      <c r="J7" s="12"/>
      <c r="K7" s="239" t="s">
        <v>44</v>
      </c>
      <c r="L7" s="241"/>
      <c r="M7" s="241"/>
      <c r="N7" s="240"/>
      <c r="Q7" s="34"/>
      <c r="R7" s="37"/>
      <c r="S7" s="38"/>
      <c r="T7" s="34"/>
      <c r="U7" s="34"/>
      <c r="V7" s="34"/>
      <c r="W7" s="41"/>
      <c r="X7" s="42"/>
      <c r="Y7" s="43"/>
      <c r="Z7" s="42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9" s="46" customFormat="1" ht="18.75">
      <c r="A8" s="12"/>
      <c r="B8" s="7"/>
      <c r="C8" s="44" t="s">
        <v>33</v>
      </c>
      <c r="D8" s="13"/>
      <c r="E8" s="44" t="s">
        <v>28</v>
      </c>
      <c r="F8" s="13"/>
      <c r="G8" s="13"/>
      <c r="H8" s="44" t="s">
        <v>31</v>
      </c>
      <c r="I8" s="44">
        <v>90</v>
      </c>
      <c r="J8" s="147"/>
      <c r="K8" s="44" t="s">
        <v>3</v>
      </c>
      <c r="L8" s="45" t="s">
        <v>4</v>
      </c>
      <c r="M8" s="33"/>
      <c r="N8" s="45" t="s">
        <v>90</v>
      </c>
      <c r="Q8" s="47"/>
      <c r="R8" s="47"/>
      <c r="S8" s="47"/>
      <c r="T8" s="47"/>
      <c r="U8" s="47"/>
      <c r="V8" s="47"/>
      <c r="W8" s="47"/>
      <c r="X8" s="47"/>
      <c r="Y8" s="48"/>
      <c r="Z8" s="13"/>
      <c r="AA8" s="13"/>
      <c r="AB8" s="49"/>
      <c r="AC8" s="13"/>
      <c r="AD8" s="47"/>
      <c r="AE8" s="34"/>
      <c r="AF8" s="14"/>
      <c r="AG8" s="14"/>
      <c r="AH8" s="14"/>
      <c r="AI8" s="14"/>
      <c r="AJ8" s="14"/>
      <c r="AK8" s="47"/>
      <c r="AL8" s="47"/>
    </row>
    <row r="9" spans="1:39" ht="12.75" customHeight="1">
      <c r="A9" s="14"/>
      <c r="B9" s="3"/>
      <c r="C9" s="98"/>
      <c r="D9" s="14"/>
      <c r="E9" s="117"/>
      <c r="H9" s="117"/>
      <c r="I9" s="117"/>
      <c r="K9" s="98"/>
      <c r="L9" s="98"/>
      <c r="M9" s="33"/>
      <c r="Q9" s="34"/>
      <c r="R9" s="34"/>
      <c r="S9" s="34"/>
      <c r="T9" s="34"/>
      <c r="U9" s="34"/>
      <c r="V9" s="34"/>
      <c r="W9" s="34"/>
      <c r="X9" s="34"/>
      <c r="Y9" s="41"/>
      <c r="Z9" s="14"/>
      <c r="AA9" s="14"/>
      <c r="AB9" s="14"/>
      <c r="AC9" s="14"/>
      <c r="AD9" s="34"/>
      <c r="AE9" s="34"/>
      <c r="AF9" s="34"/>
      <c r="AG9" s="34"/>
      <c r="AH9" s="34"/>
      <c r="AI9" s="34"/>
      <c r="AJ9" s="34"/>
      <c r="AK9" s="34"/>
      <c r="AL9" s="34"/>
    </row>
    <row r="10" spans="1:39" s="32" customFormat="1" ht="30" customHeight="1">
      <c r="A10" s="148" t="s">
        <v>79</v>
      </c>
      <c r="B10" s="2"/>
      <c r="C10" s="99"/>
      <c r="D10" s="2"/>
      <c r="E10" s="30"/>
      <c r="F10" s="15"/>
      <c r="G10" s="15"/>
      <c r="H10" s="30"/>
      <c r="I10" s="30"/>
      <c r="J10" s="16"/>
      <c r="K10" s="30"/>
      <c r="L10" s="30"/>
      <c r="M10" s="30"/>
      <c r="N10" s="30"/>
      <c r="O10" s="35"/>
      <c r="P10" s="35"/>
      <c r="Q10" s="35"/>
      <c r="R10" s="50"/>
      <c r="S10" s="26"/>
      <c r="T10" s="26"/>
      <c r="U10" s="26"/>
      <c r="V10" s="35"/>
      <c r="W10" s="51"/>
      <c r="X10" s="51"/>
      <c r="Y10" s="51"/>
      <c r="Z10" s="52"/>
      <c r="AA10" s="52"/>
      <c r="AB10" s="52"/>
      <c r="AC10" s="35"/>
      <c r="AD10" s="35"/>
      <c r="AE10" s="53"/>
      <c r="AF10" s="53"/>
      <c r="AG10" s="53"/>
      <c r="AH10" s="53"/>
      <c r="AI10" s="53"/>
      <c r="AJ10" s="53"/>
      <c r="AK10" s="35"/>
      <c r="AL10" s="35"/>
    </row>
    <row r="11" spans="1:39" ht="12.75" customHeight="1">
      <c r="A11" s="17"/>
      <c r="B11" s="3"/>
      <c r="C11" s="100"/>
      <c r="D11" s="18"/>
      <c r="E11" s="100"/>
      <c r="F11" s="18"/>
      <c r="G11" s="18"/>
      <c r="H11" s="126"/>
      <c r="I11" s="126"/>
      <c r="J11" s="18"/>
      <c r="K11" s="138"/>
      <c r="L11" s="138"/>
      <c r="M11" s="33"/>
      <c r="O11" s="34"/>
      <c r="P11" s="34"/>
      <c r="Q11" s="34"/>
      <c r="R11" s="14"/>
      <c r="S11" s="14"/>
      <c r="T11" s="14"/>
      <c r="U11" s="14"/>
      <c r="V11" s="34"/>
      <c r="W11" s="53"/>
      <c r="X11" s="53"/>
      <c r="Y11" s="53"/>
      <c r="Z11" s="41"/>
      <c r="AA11" s="41"/>
      <c r="AB11" s="41"/>
      <c r="AC11" s="34"/>
      <c r="AD11" s="34"/>
      <c r="AE11" s="53"/>
      <c r="AF11" s="53"/>
      <c r="AG11" s="53"/>
      <c r="AH11" s="53"/>
      <c r="AI11" s="53"/>
      <c r="AJ11" s="53"/>
      <c r="AK11" s="34"/>
      <c r="AL11" s="34"/>
      <c r="AM11" s="32"/>
    </row>
    <row r="12" spans="1:39" ht="26.25">
      <c r="A12" s="92"/>
      <c r="B12" s="23"/>
      <c r="C12" s="96"/>
      <c r="D12" s="27"/>
      <c r="E12" s="96"/>
      <c r="F12" s="21"/>
      <c r="G12" s="21"/>
      <c r="H12" s="131"/>
      <c r="I12" s="131"/>
      <c r="J12" s="21"/>
      <c r="K12" s="29"/>
      <c r="L12" s="29"/>
      <c r="M12" s="56"/>
      <c r="N12" s="56"/>
      <c r="O12" s="56"/>
      <c r="P12" s="56"/>
      <c r="Q12" s="54"/>
      <c r="R12" s="34"/>
      <c r="S12" s="34"/>
      <c r="T12" s="34"/>
      <c r="U12" s="34"/>
      <c r="V12" s="34"/>
      <c r="W12" s="53"/>
      <c r="X12" s="53"/>
      <c r="Y12" s="53"/>
      <c r="Z12" s="34"/>
      <c r="AA12" s="34"/>
      <c r="AB12" s="34"/>
      <c r="AC12" s="34"/>
      <c r="AD12" s="34"/>
      <c r="AE12" s="53"/>
      <c r="AF12" s="53"/>
      <c r="AG12" s="53"/>
      <c r="AH12" s="53"/>
      <c r="AI12" s="53"/>
      <c r="AJ12" s="53"/>
      <c r="AK12" s="35"/>
      <c r="AL12" s="34"/>
      <c r="AM12" s="32"/>
    </row>
    <row r="13" spans="1:39" ht="30.75" customHeight="1">
      <c r="A13" s="91" t="s">
        <v>11</v>
      </c>
      <c r="B13" s="23"/>
      <c r="C13" s="96"/>
      <c r="D13" s="27"/>
      <c r="E13" s="30">
        <f>E15</f>
        <v>1112.9308852005533</v>
      </c>
      <c r="F13" s="21"/>
      <c r="G13" s="21"/>
      <c r="H13" s="132">
        <f>H15</f>
        <v>8.9250101175051881</v>
      </c>
      <c r="I13" s="132">
        <f>H13*SQRT($I$8)</f>
        <v>84.670080334090258</v>
      </c>
      <c r="J13" s="21"/>
      <c r="K13" s="142">
        <f>K15</f>
        <v>-123.40565257153388</v>
      </c>
      <c r="L13" s="142">
        <f>L15</f>
        <v>-123.40565257153388</v>
      </c>
      <c r="M13" s="142">
        <f>M15</f>
        <v>-99.29127634957193</v>
      </c>
      <c r="N13" s="142">
        <f>N15</f>
        <v>-663.20989166666698</v>
      </c>
      <c r="O13" s="56"/>
      <c r="P13" s="56"/>
      <c r="Q13" s="54"/>
      <c r="R13" s="50"/>
      <c r="S13" s="26"/>
      <c r="T13" s="26"/>
      <c r="U13" s="26"/>
      <c r="V13" s="34"/>
      <c r="W13" s="51"/>
      <c r="X13" s="51"/>
      <c r="Y13" s="51"/>
      <c r="Z13" s="34"/>
      <c r="AA13" s="34"/>
      <c r="AB13" s="34"/>
      <c r="AC13" s="34"/>
      <c r="AD13" s="34"/>
      <c r="AE13" s="53"/>
      <c r="AF13" s="53"/>
      <c r="AG13" s="53"/>
      <c r="AH13" s="53"/>
      <c r="AI13" s="53"/>
      <c r="AJ13" s="53"/>
      <c r="AK13" s="35"/>
      <c r="AL13" s="34"/>
      <c r="AM13" s="32"/>
    </row>
    <row r="14" spans="1:39" s="35" customFormat="1" ht="12" customHeight="1">
      <c r="A14" s="93"/>
      <c r="B14" s="27"/>
      <c r="C14" s="109"/>
      <c r="D14" s="75"/>
      <c r="E14" s="109"/>
      <c r="F14" s="22"/>
      <c r="G14" s="22"/>
      <c r="H14" s="128"/>
      <c r="I14" s="128"/>
      <c r="J14" s="22"/>
      <c r="K14" s="29"/>
      <c r="L14" s="29"/>
      <c r="M14" s="29"/>
      <c r="N14" s="29"/>
      <c r="O14" s="54"/>
      <c r="P14" s="54"/>
      <c r="Q14" s="54"/>
      <c r="R14" s="14"/>
      <c r="S14" s="14"/>
      <c r="T14" s="14"/>
      <c r="U14" s="14"/>
      <c r="V14" s="14"/>
      <c r="W14" s="53"/>
      <c r="X14" s="53"/>
      <c r="Y14" s="53"/>
      <c r="Z14" s="52"/>
      <c r="AA14" s="52"/>
      <c r="AB14" s="52"/>
      <c r="AE14" s="53"/>
      <c r="AF14" s="53"/>
      <c r="AG14" s="53"/>
      <c r="AH14" s="53"/>
      <c r="AI14" s="53"/>
      <c r="AJ14" s="53"/>
      <c r="AM14" s="32"/>
    </row>
    <row r="15" spans="1:39" s="56" customFormat="1" ht="26.25">
      <c r="A15" s="88" t="s">
        <v>24</v>
      </c>
      <c r="B15" s="23"/>
      <c r="C15" s="105">
        <f>2413947090/1000000</f>
        <v>2413.9470900000001</v>
      </c>
      <c r="D15" s="22" t="s">
        <v>34</v>
      </c>
      <c r="E15" s="118">
        <f>(C15/2.169)</f>
        <v>1112.9308852005533</v>
      </c>
      <c r="F15" s="22"/>
      <c r="G15" s="22"/>
      <c r="H15" s="124">
        <f>(E15*1.645*0.078)/16</f>
        <v>8.9250101175051881</v>
      </c>
      <c r="I15" s="124">
        <f>H15*SQRT($I$8)</f>
        <v>84.670080334090258</v>
      </c>
      <c r="J15" s="22"/>
      <c r="K15" s="124">
        <f>((-1/1.9525+1/2.169)*$C$15)</f>
        <v>-123.40565257153388</v>
      </c>
      <c r="L15" s="124">
        <f>((-1/1.9525+1/2.169)*$C$15)</f>
        <v>-123.40565257153388</v>
      </c>
      <c r="M15" s="124">
        <f>((-1/1.9525+1/2.123)*$C$15)</f>
        <v>-99.29127634957193</v>
      </c>
      <c r="N15" s="124">
        <v>-663.20989166666698</v>
      </c>
      <c r="Q15" s="54"/>
      <c r="R15" s="50"/>
      <c r="S15" s="26"/>
      <c r="T15" s="26"/>
      <c r="U15" s="26"/>
      <c r="V15" s="54"/>
      <c r="W15" s="51"/>
      <c r="X15" s="51"/>
      <c r="Y15" s="51"/>
      <c r="Z15" s="55"/>
      <c r="AA15" s="55"/>
      <c r="AB15" s="55"/>
      <c r="AC15" s="54"/>
      <c r="AD15" s="65"/>
      <c r="AE15" s="53"/>
      <c r="AF15" s="53"/>
      <c r="AG15" s="53"/>
      <c r="AH15" s="53"/>
      <c r="AI15" s="53"/>
      <c r="AJ15" s="53"/>
      <c r="AK15" s="54"/>
      <c r="AL15" s="54"/>
      <c r="AM15" s="32"/>
    </row>
    <row r="16" spans="1:39" s="56" customFormat="1" ht="26.25">
      <c r="A16" s="88" t="s">
        <v>36</v>
      </c>
      <c r="B16" s="23"/>
      <c r="C16" s="105">
        <f>2413947090/1000000</f>
        <v>2413.9470900000001</v>
      </c>
      <c r="D16" s="22" t="s">
        <v>34</v>
      </c>
      <c r="E16" s="119"/>
      <c r="F16" s="22"/>
      <c r="G16" s="22"/>
      <c r="H16" s="129"/>
      <c r="I16" s="129"/>
      <c r="J16" s="22"/>
      <c r="K16" s="129"/>
      <c r="L16" s="129"/>
      <c r="Q16" s="54"/>
      <c r="R16" s="50"/>
      <c r="S16" s="26"/>
      <c r="T16" s="26"/>
      <c r="U16" s="26"/>
      <c r="V16" s="54"/>
      <c r="W16" s="51"/>
      <c r="X16" s="51"/>
      <c r="Y16" s="51"/>
      <c r="Z16" s="55"/>
      <c r="AA16" s="55"/>
      <c r="AB16" s="55"/>
      <c r="AC16" s="54"/>
      <c r="AD16" s="65"/>
      <c r="AE16" s="53"/>
      <c r="AF16" s="53"/>
      <c r="AG16" s="53"/>
      <c r="AH16" s="53"/>
      <c r="AI16" s="53"/>
      <c r="AJ16" s="53"/>
      <c r="AK16" s="54"/>
      <c r="AL16" s="54"/>
      <c r="AM16" s="32"/>
    </row>
    <row r="17" spans="1:39" s="56" customFormat="1" ht="26.25">
      <c r="A17" s="92"/>
      <c r="B17" s="23"/>
      <c r="C17" s="110"/>
      <c r="D17" s="22"/>
      <c r="E17" s="122"/>
      <c r="F17" s="31"/>
      <c r="G17" s="31"/>
      <c r="H17" s="119"/>
      <c r="I17" s="119"/>
      <c r="J17" s="22"/>
      <c r="K17" s="28"/>
      <c r="L17" s="28"/>
      <c r="Q17" s="54"/>
      <c r="R17" s="54"/>
      <c r="S17" s="54"/>
      <c r="T17" s="54"/>
      <c r="U17" s="54"/>
      <c r="V17" s="54"/>
      <c r="W17" s="66"/>
      <c r="X17" s="66"/>
      <c r="Y17" s="66"/>
      <c r="Z17" s="55"/>
      <c r="AA17" s="55"/>
      <c r="AB17" s="55"/>
      <c r="AC17" s="54"/>
      <c r="AD17" s="54"/>
      <c r="AE17" s="53"/>
      <c r="AF17" s="53"/>
      <c r="AG17" s="53"/>
      <c r="AH17" s="53"/>
      <c r="AI17" s="53"/>
      <c r="AJ17" s="53"/>
      <c r="AK17" s="54"/>
      <c r="AL17" s="54"/>
      <c r="AM17" s="32"/>
    </row>
    <row r="18" spans="1:39" s="35" customFormat="1" ht="30" customHeight="1">
      <c r="A18" s="91" t="s">
        <v>42</v>
      </c>
      <c r="B18" s="27"/>
      <c r="C18" s="111"/>
      <c r="D18" s="81"/>
      <c r="E18" s="30">
        <f>E20</f>
        <v>207.59881059210525</v>
      </c>
      <c r="F18" s="22"/>
      <c r="G18" s="22"/>
      <c r="H18" s="132">
        <f>H20</f>
        <v>3.0948441435301191</v>
      </c>
      <c r="I18" s="132">
        <f>H18*SQRT($I$8)</f>
        <v>29.360269490364711</v>
      </c>
      <c r="J18" s="21"/>
      <c r="K18" s="155">
        <f>K20+K22</f>
        <v>-2.8656799734840952</v>
      </c>
      <c r="L18" s="155">
        <f>L20+L22</f>
        <v>-2.8656799734840952</v>
      </c>
      <c r="M18" s="56"/>
      <c r="N18" s="155">
        <f>N20+N22</f>
        <v>-25.667000000000002</v>
      </c>
      <c r="O18" s="54"/>
      <c r="P18" s="54"/>
      <c r="Q18" s="54"/>
      <c r="R18" s="50"/>
      <c r="S18" s="26"/>
      <c r="T18" s="26"/>
      <c r="U18" s="26"/>
      <c r="W18" s="51"/>
      <c r="X18" s="51"/>
      <c r="Y18" s="51"/>
      <c r="Z18" s="52"/>
      <c r="AA18" s="52"/>
      <c r="AB18" s="52"/>
      <c r="AE18" s="53"/>
      <c r="AF18" s="53"/>
      <c r="AG18" s="53"/>
      <c r="AH18" s="53"/>
      <c r="AI18" s="53"/>
      <c r="AJ18" s="53"/>
      <c r="AM18" s="32"/>
    </row>
    <row r="19" spans="1:39" s="61" customFormat="1" ht="12" customHeight="1">
      <c r="A19" s="89"/>
      <c r="B19" s="76"/>
      <c r="C19" s="112"/>
      <c r="D19" s="82"/>
      <c r="E19" s="123"/>
      <c r="F19" s="77"/>
      <c r="G19" s="77"/>
      <c r="H19" s="133"/>
      <c r="I19" s="133"/>
      <c r="J19" s="77"/>
      <c r="K19" s="129"/>
      <c r="L19" s="129"/>
      <c r="M19" s="73"/>
      <c r="N19" s="73"/>
      <c r="O19" s="74"/>
      <c r="P19" s="74"/>
      <c r="Q19" s="74"/>
      <c r="R19" s="59"/>
      <c r="S19" s="60"/>
      <c r="T19" s="60"/>
      <c r="U19" s="60"/>
      <c r="W19" s="62"/>
      <c r="X19" s="62"/>
      <c r="Y19" s="62"/>
      <c r="Z19" s="63"/>
      <c r="AA19" s="63"/>
      <c r="AB19" s="63"/>
      <c r="AE19" s="64"/>
      <c r="AF19" s="64"/>
      <c r="AG19" s="64"/>
      <c r="AH19" s="64"/>
      <c r="AI19" s="64"/>
      <c r="AJ19" s="64"/>
      <c r="AM19" s="58"/>
    </row>
    <row r="20" spans="1:39" s="61" customFormat="1" ht="27" customHeight="1">
      <c r="A20" s="88" t="s">
        <v>24</v>
      </c>
      <c r="B20" s="76"/>
      <c r="C20" s="105">
        <f>(242730917*1170)/1000000</f>
        <v>283995.17288999999</v>
      </c>
      <c r="D20" s="22" t="s">
        <v>43</v>
      </c>
      <c r="E20" s="124">
        <f>C20/1368</f>
        <v>207.59881059210525</v>
      </c>
      <c r="F20" s="77"/>
      <c r="G20" s="77"/>
      <c r="H20" s="124">
        <f>(E20*1.645*0.145)/16</f>
        <v>3.0948441435301191</v>
      </c>
      <c r="I20" s="124">
        <f>H20*SQRT($I$8)</f>
        <v>29.360269490364711</v>
      </c>
      <c r="J20" s="77"/>
      <c r="K20" s="149">
        <f>((-1/1262.4+1/1368)*$C$20)</f>
        <v>-17.365679973484095</v>
      </c>
      <c r="L20" s="149">
        <f>((-1/1262.4+1/1368)*$C$20)</f>
        <v>-17.365679973484095</v>
      </c>
      <c r="M20" s="73"/>
      <c r="N20" s="149">
        <v>-40.167000000000002</v>
      </c>
      <c r="O20" s="74"/>
      <c r="P20" s="74"/>
      <c r="Q20" s="74"/>
      <c r="R20" s="59"/>
      <c r="S20" s="60"/>
      <c r="T20" s="60"/>
      <c r="U20" s="60"/>
      <c r="W20" s="62"/>
      <c r="X20" s="62"/>
      <c r="Y20" s="62"/>
      <c r="Z20" s="63"/>
      <c r="AA20" s="63"/>
      <c r="AB20" s="63"/>
      <c r="AE20" s="64"/>
      <c r="AF20" s="64"/>
      <c r="AG20" s="64"/>
      <c r="AH20" s="64"/>
      <c r="AI20" s="64"/>
      <c r="AJ20" s="64"/>
      <c r="AM20" s="58"/>
    </row>
    <row r="21" spans="1:39" s="61" customFormat="1" ht="27" customHeight="1">
      <c r="A21" s="88" t="s">
        <v>36</v>
      </c>
      <c r="B21" s="23"/>
      <c r="C21" s="105">
        <f>(242730917*1170)/1000000</f>
        <v>283995.17288999999</v>
      </c>
      <c r="D21" s="22" t="s">
        <v>43</v>
      </c>
      <c r="E21" s="125"/>
      <c r="F21" s="77"/>
      <c r="G21" s="77"/>
      <c r="H21" s="133"/>
      <c r="I21" s="133"/>
      <c r="J21" s="77"/>
      <c r="K21" s="129"/>
      <c r="L21" s="129"/>
      <c r="M21" s="73"/>
      <c r="N21" s="129"/>
      <c r="O21" s="74"/>
      <c r="P21" s="74"/>
      <c r="Q21" s="74"/>
      <c r="R21" s="59"/>
      <c r="S21" s="60"/>
      <c r="T21" s="60"/>
      <c r="U21" s="60"/>
      <c r="W21" s="62"/>
      <c r="X21" s="62"/>
      <c r="Y21" s="62"/>
      <c r="Z21" s="63"/>
      <c r="AA21" s="63"/>
      <c r="AB21" s="63"/>
      <c r="AE21" s="64"/>
      <c r="AF21" s="64"/>
      <c r="AG21" s="64"/>
      <c r="AH21" s="64"/>
      <c r="AI21" s="64"/>
      <c r="AJ21" s="64"/>
      <c r="AM21" s="58"/>
    </row>
    <row r="22" spans="1:39" s="61" customFormat="1" ht="27" customHeight="1">
      <c r="A22" s="210" t="s">
        <v>89</v>
      </c>
      <c r="B22" s="76"/>
      <c r="C22" s="101"/>
      <c r="D22" s="22"/>
      <c r="E22" s="129" t="s">
        <v>91</v>
      </c>
      <c r="F22" s="77"/>
      <c r="G22" s="77"/>
      <c r="H22" s="124">
        <v>1.6</v>
      </c>
      <c r="I22" s="124">
        <f>H22*SQRT($I$8)</f>
        <v>15.178932768808222</v>
      </c>
      <c r="J22" s="77"/>
      <c r="K22" s="149">
        <v>14.5</v>
      </c>
      <c r="L22" s="149">
        <v>14.5</v>
      </c>
      <c r="M22" s="73"/>
      <c r="N22" s="149">
        <v>14.5</v>
      </c>
      <c r="O22" s="74"/>
      <c r="P22" s="74"/>
      <c r="Q22" s="74"/>
      <c r="R22" s="59"/>
      <c r="S22" s="60"/>
      <c r="T22" s="60"/>
      <c r="U22" s="60"/>
      <c r="W22" s="62"/>
      <c r="X22" s="62"/>
      <c r="Y22" s="62"/>
      <c r="Z22" s="63"/>
      <c r="AA22" s="63"/>
      <c r="AB22" s="63"/>
      <c r="AE22" s="64"/>
      <c r="AF22" s="64"/>
      <c r="AG22" s="64"/>
      <c r="AH22" s="64"/>
      <c r="AI22" s="64"/>
      <c r="AJ22" s="64"/>
      <c r="AM22" s="58"/>
    </row>
    <row r="23" spans="1:39" s="56" customFormat="1" ht="29.25" customHeight="1">
      <c r="A23" s="92"/>
      <c r="B23" s="23"/>
      <c r="C23" s="110"/>
      <c r="D23" s="22"/>
      <c r="E23" s="122"/>
      <c r="F23" s="31"/>
      <c r="G23" s="31"/>
      <c r="H23" s="119"/>
      <c r="I23" s="119"/>
      <c r="J23" s="22"/>
      <c r="K23" s="28"/>
      <c r="L23" s="28"/>
      <c r="Q23" s="54"/>
      <c r="R23" s="54"/>
      <c r="S23" s="54"/>
      <c r="T23" s="54"/>
      <c r="U23" s="54"/>
      <c r="V23" s="54"/>
      <c r="W23" s="66"/>
      <c r="X23" s="66"/>
      <c r="Y23" s="66"/>
      <c r="Z23" s="55"/>
      <c r="AA23" s="55"/>
      <c r="AB23" s="55"/>
      <c r="AC23" s="54"/>
      <c r="AD23" s="54"/>
      <c r="AE23" s="53"/>
      <c r="AF23" s="53"/>
      <c r="AG23" s="53"/>
      <c r="AH23" s="53"/>
      <c r="AI23" s="53"/>
      <c r="AJ23" s="53"/>
      <c r="AK23" s="54"/>
      <c r="AL23" s="54"/>
      <c r="AM23" s="32"/>
    </row>
    <row r="24" spans="1:39" s="32" customFormat="1" ht="30" customHeight="1">
      <c r="A24" s="85" t="s">
        <v>16</v>
      </c>
      <c r="B24" s="23"/>
      <c r="C24" s="101"/>
      <c r="D24" s="22"/>
      <c r="E24" s="30">
        <f>SUM(E28:E32)</f>
        <v>26574.75</v>
      </c>
      <c r="F24" s="68"/>
      <c r="G24" s="68"/>
      <c r="H24" s="150">
        <f>SUM(H28:H32)</f>
        <v>0.18814687500000002</v>
      </c>
      <c r="I24" s="150">
        <f>H24*SQRT($I$8)</f>
        <v>1.7849179789289777</v>
      </c>
      <c r="J24" s="22"/>
      <c r="K24" s="150">
        <f>SUM(K28:K32)</f>
        <v>-0.24999999999999559</v>
      </c>
      <c r="L24" s="150">
        <f>SUM(L28:L32)</f>
        <v>-0.24999999999999559</v>
      </c>
      <c r="M24" s="150">
        <f>SUM(M28:M32)</f>
        <v>5.8691228445974623E-2</v>
      </c>
      <c r="N24" s="150"/>
      <c r="O24" s="54"/>
      <c r="P24" s="54"/>
      <c r="Q24" s="54"/>
      <c r="R24" s="50"/>
      <c r="S24" s="26"/>
      <c r="T24" s="26"/>
      <c r="U24" s="26"/>
      <c r="V24" s="35"/>
      <c r="W24" s="51"/>
      <c r="X24" s="51"/>
      <c r="Y24" s="51"/>
      <c r="Z24" s="52"/>
      <c r="AA24" s="52"/>
      <c r="AB24" s="52"/>
      <c r="AC24" s="35"/>
      <c r="AD24" s="35"/>
      <c r="AE24" s="53"/>
      <c r="AF24" s="53"/>
      <c r="AG24" s="53"/>
      <c r="AH24" s="53"/>
      <c r="AI24" s="53"/>
      <c r="AJ24" s="53"/>
      <c r="AK24" s="35"/>
      <c r="AL24" s="35"/>
    </row>
    <row r="25" spans="1:39" s="46" customFormat="1" ht="26.25" hidden="1">
      <c r="A25" s="86" t="s">
        <v>5</v>
      </c>
      <c r="B25" s="23"/>
      <c r="C25" s="102"/>
      <c r="D25" s="81"/>
      <c r="E25" s="103"/>
      <c r="F25" s="22"/>
      <c r="G25" s="22"/>
      <c r="H25" s="127"/>
      <c r="I25" s="127"/>
      <c r="J25" s="69"/>
      <c r="K25" s="20"/>
      <c r="L25" s="20"/>
      <c r="M25" s="20"/>
      <c r="N25" s="20"/>
      <c r="O25" s="56"/>
      <c r="P25" s="56"/>
      <c r="Q25" s="54"/>
      <c r="R25" s="50"/>
      <c r="S25" s="26"/>
      <c r="T25" s="26"/>
      <c r="U25" s="26"/>
      <c r="V25" s="47"/>
      <c r="W25" s="51"/>
      <c r="X25" s="51"/>
      <c r="Y25" s="51"/>
      <c r="Z25" s="48"/>
      <c r="AA25" s="48"/>
      <c r="AB25" s="48"/>
      <c r="AC25" s="47"/>
      <c r="AD25" s="47"/>
      <c r="AE25" s="53"/>
      <c r="AF25" s="53"/>
      <c r="AG25" s="53"/>
      <c r="AH25" s="53"/>
      <c r="AI25" s="53"/>
      <c r="AJ25" s="53"/>
      <c r="AK25" s="47"/>
      <c r="AL25" s="47"/>
      <c r="AM25" s="32"/>
    </row>
    <row r="26" spans="1:39" s="56" customFormat="1" ht="26.25" hidden="1">
      <c r="A26" s="86" t="s">
        <v>6</v>
      </c>
      <c r="B26" s="23"/>
      <c r="C26" s="103"/>
      <c r="D26" s="22"/>
      <c r="E26" s="103"/>
      <c r="F26" s="22"/>
      <c r="G26" s="22"/>
      <c r="H26" s="127"/>
      <c r="I26" s="127"/>
      <c r="J26" s="24"/>
      <c r="K26" s="20"/>
      <c r="L26" s="20"/>
      <c r="M26" s="20"/>
      <c r="N26" s="20"/>
      <c r="O26" s="54"/>
      <c r="P26" s="54"/>
      <c r="Q26" s="54"/>
      <c r="R26" s="50"/>
      <c r="S26" s="26"/>
      <c r="T26" s="26"/>
      <c r="U26" s="26"/>
      <c r="V26" s="54"/>
      <c r="W26" s="51"/>
      <c r="X26" s="51"/>
      <c r="Y26" s="51"/>
      <c r="Z26" s="55"/>
      <c r="AA26" s="55"/>
      <c r="AB26" s="55"/>
      <c r="AC26" s="54"/>
      <c r="AD26" s="54"/>
      <c r="AE26" s="53"/>
      <c r="AF26" s="53"/>
      <c r="AG26" s="53"/>
      <c r="AH26" s="53"/>
      <c r="AI26" s="53"/>
      <c r="AJ26" s="53"/>
      <c r="AK26" s="54"/>
      <c r="AL26" s="54"/>
      <c r="AM26" s="32"/>
    </row>
    <row r="27" spans="1:39" ht="12.75" customHeight="1">
      <c r="A27" s="87"/>
      <c r="B27" s="23"/>
      <c r="C27" s="104"/>
      <c r="D27" s="22"/>
      <c r="E27" s="104"/>
      <c r="F27" s="22"/>
      <c r="G27" s="22"/>
      <c r="H27" s="128"/>
      <c r="I27" s="128"/>
      <c r="J27" s="25"/>
      <c r="K27" s="140"/>
      <c r="L27" s="138"/>
      <c r="M27" s="138"/>
      <c r="N27" s="138"/>
      <c r="O27" s="56"/>
      <c r="P27" s="56"/>
      <c r="Q27" s="54"/>
      <c r="R27" s="14"/>
      <c r="S27" s="57"/>
      <c r="T27" s="57"/>
      <c r="U27" s="57"/>
      <c r="V27" s="34"/>
      <c r="W27" s="53"/>
      <c r="X27" s="53"/>
      <c r="Y27" s="53"/>
      <c r="Z27" s="41"/>
      <c r="AA27" s="41"/>
      <c r="AB27" s="41"/>
      <c r="AC27" s="34"/>
      <c r="AD27" s="34"/>
      <c r="AE27" s="53"/>
      <c r="AF27" s="53"/>
      <c r="AG27" s="53"/>
      <c r="AH27" s="53"/>
      <c r="AI27" s="53"/>
      <c r="AJ27" s="53"/>
      <c r="AK27" s="34"/>
      <c r="AL27" s="34"/>
      <c r="AM27" s="32"/>
    </row>
    <row r="28" spans="1:39" s="32" customFormat="1" ht="30" customHeight="1">
      <c r="A28" s="88" t="s">
        <v>12</v>
      </c>
      <c r="B28" s="23"/>
      <c r="C28" s="105">
        <v>0</v>
      </c>
      <c r="D28" s="22"/>
      <c r="E28" s="118">
        <v>4465</v>
      </c>
      <c r="F28" s="22"/>
      <c r="G28" s="22"/>
      <c r="H28" s="124">
        <v>0</v>
      </c>
      <c r="I28" s="124">
        <f>H28*SQRT($I$8)</f>
        <v>0</v>
      </c>
      <c r="J28" s="22"/>
      <c r="K28" s="124"/>
      <c r="L28" s="124"/>
      <c r="M28" s="124"/>
      <c r="N28" s="124"/>
      <c r="O28" s="56"/>
      <c r="P28" s="56"/>
      <c r="Q28" s="54"/>
      <c r="R28" s="50"/>
      <c r="S28" s="26"/>
      <c r="T28" s="26"/>
      <c r="U28" s="26"/>
      <c r="V28" s="35"/>
      <c r="W28" s="51"/>
      <c r="X28" s="51"/>
      <c r="Y28" s="51"/>
      <c r="Z28" s="52"/>
      <c r="AA28" s="52"/>
      <c r="AB28" s="52"/>
      <c r="AC28" s="35"/>
      <c r="AD28" s="35"/>
      <c r="AE28" s="53"/>
      <c r="AF28" s="53"/>
      <c r="AG28" s="53"/>
      <c r="AH28" s="53"/>
      <c r="AI28" s="53"/>
      <c r="AJ28" s="53"/>
      <c r="AK28" s="35"/>
      <c r="AL28" s="35"/>
    </row>
    <row r="29" spans="1:39" s="56" customFormat="1" ht="26.25">
      <c r="A29" s="88" t="s">
        <v>9</v>
      </c>
      <c r="B29" s="23"/>
      <c r="C29" s="105">
        <v>0</v>
      </c>
      <c r="D29" s="22"/>
      <c r="E29" s="118">
        <v>22247</v>
      </c>
      <c r="F29" s="22"/>
      <c r="G29" s="22"/>
      <c r="H29" s="124">
        <v>0</v>
      </c>
      <c r="I29" s="124">
        <f>H29*SQRT($I$8)</f>
        <v>0</v>
      </c>
      <c r="J29" s="22"/>
      <c r="K29" s="20"/>
      <c r="L29" s="20"/>
      <c r="M29" s="20"/>
      <c r="N29" s="20"/>
      <c r="O29" s="54"/>
      <c r="P29" s="54"/>
      <c r="Q29" s="54"/>
      <c r="R29" s="50"/>
      <c r="S29" s="26"/>
      <c r="T29" s="26"/>
      <c r="U29" s="26"/>
      <c r="V29" s="54"/>
      <c r="W29" s="51"/>
      <c r="X29" s="51"/>
      <c r="Y29" s="51"/>
      <c r="Z29" s="55"/>
      <c r="AA29" s="55"/>
      <c r="AB29" s="55"/>
      <c r="AC29" s="54"/>
      <c r="AD29" s="54"/>
      <c r="AE29" s="53"/>
      <c r="AF29" s="53"/>
      <c r="AG29" s="53"/>
      <c r="AH29" s="53"/>
      <c r="AI29" s="53"/>
      <c r="AJ29" s="53"/>
      <c r="AK29" s="54"/>
      <c r="AL29" s="54"/>
      <c r="AM29" s="32"/>
    </row>
    <row r="30" spans="1:39" s="56" customFormat="1" ht="26.25">
      <c r="A30" s="89"/>
      <c r="B30" s="23"/>
      <c r="C30" s="101"/>
      <c r="D30" s="22"/>
      <c r="E30" s="119"/>
      <c r="F30" s="22"/>
      <c r="G30" s="22"/>
      <c r="H30" s="137"/>
      <c r="I30" s="137"/>
      <c r="J30" s="22"/>
      <c r="K30" s="29"/>
      <c r="L30" s="29"/>
      <c r="M30" s="29"/>
      <c r="N30" s="29"/>
      <c r="O30" s="54"/>
      <c r="P30" s="54"/>
      <c r="Q30" s="54"/>
      <c r="R30" s="50"/>
      <c r="S30" s="26"/>
      <c r="T30" s="26"/>
      <c r="U30" s="26"/>
      <c r="V30" s="54"/>
      <c r="W30" s="51"/>
      <c r="X30" s="51"/>
      <c r="Y30" s="51"/>
      <c r="Z30" s="55"/>
      <c r="AA30" s="55"/>
      <c r="AB30" s="55"/>
      <c r="AC30" s="54"/>
      <c r="AD30" s="54"/>
      <c r="AE30" s="53"/>
      <c r="AF30" s="53"/>
      <c r="AG30" s="53"/>
      <c r="AH30" s="53"/>
      <c r="AI30" s="53"/>
      <c r="AJ30" s="53"/>
      <c r="AK30" s="54"/>
      <c r="AL30" s="54"/>
      <c r="AM30" s="32"/>
    </row>
    <row r="31" spans="1:39" s="56" customFormat="1" ht="26.25">
      <c r="A31" s="88" t="s">
        <v>29</v>
      </c>
      <c r="B31" s="23"/>
      <c r="C31" s="105"/>
      <c r="D31" s="22"/>
      <c r="E31" s="118"/>
      <c r="F31" s="22"/>
      <c r="G31" s="22"/>
      <c r="H31" s="136"/>
      <c r="I31" s="136"/>
      <c r="J31" s="22"/>
      <c r="K31" s="20"/>
      <c r="L31" s="20"/>
      <c r="M31" s="20"/>
      <c r="N31" s="20"/>
      <c r="O31" s="54"/>
      <c r="P31" s="54"/>
      <c r="Q31" s="54"/>
      <c r="R31" s="50"/>
      <c r="S31" s="26"/>
      <c r="T31" s="26"/>
      <c r="U31" s="26"/>
      <c r="V31" s="54"/>
      <c r="W31" s="51"/>
      <c r="X31" s="51"/>
      <c r="Y31" s="51"/>
      <c r="Z31" s="55"/>
      <c r="AA31" s="55"/>
      <c r="AB31" s="55"/>
      <c r="AC31" s="54"/>
      <c r="AD31" s="54"/>
      <c r="AE31" s="53"/>
      <c r="AF31" s="53"/>
      <c r="AG31" s="53"/>
      <c r="AH31" s="53"/>
      <c r="AI31" s="53"/>
      <c r="AJ31" s="53"/>
      <c r="AK31" s="54"/>
      <c r="AL31" s="54"/>
      <c r="AM31" s="32"/>
    </row>
    <row r="32" spans="1:39" s="56" customFormat="1" ht="26.25">
      <c r="A32" s="88" t="s">
        <v>39</v>
      </c>
      <c r="B32" s="23"/>
      <c r="C32" s="105">
        <f>(-137000000*46.665)/1000000</f>
        <v>-6393.1049999999996</v>
      </c>
      <c r="D32" s="22" t="s">
        <v>40</v>
      </c>
      <c r="E32" s="118">
        <f>C32/46.58</f>
        <v>-137.25</v>
      </c>
      <c r="F32" s="22"/>
      <c r="G32" s="22"/>
      <c r="H32" s="149">
        <f>ABS(E32*1.645*0.01)/12</f>
        <v>0.18814687500000002</v>
      </c>
      <c r="I32" s="149">
        <f>H32*SQRT($I$8)</f>
        <v>1.7849179789289777</v>
      </c>
      <c r="J32" s="22"/>
      <c r="K32" s="149">
        <f>((-1/46.665+1/46.58)*$C$32)</f>
        <v>-0.24999999999999559</v>
      </c>
      <c r="L32" s="149">
        <f>((-1/46.665+1/46.58)*$C$32)</f>
        <v>-0.24999999999999559</v>
      </c>
      <c r="M32" s="149">
        <f>((-1/46.665+1/46.685)*$C$32)</f>
        <v>5.8691228445974623E-2</v>
      </c>
      <c r="N32" s="149"/>
      <c r="O32" s="54"/>
      <c r="P32" s="54"/>
      <c r="Q32" s="54"/>
      <c r="R32" s="50"/>
      <c r="S32" s="26"/>
      <c r="T32" s="26"/>
      <c r="U32" s="26"/>
      <c r="V32" s="54"/>
      <c r="W32" s="51"/>
      <c r="X32" s="51"/>
      <c r="Y32" s="51"/>
      <c r="Z32" s="55"/>
      <c r="AA32" s="55"/>
      <c r="AB32" s="55"/>
      <c r="AC32" s="54"/>
      <c r="AD32" s="54"/>
      <c r="AE32" s="53"/>
      <c r="AF32" s="53"/>
      <c r="AG32" s="53"/>
      <c r="AH32" s="53"/>
      <c r="AI32" s="53"/>
      <c r="AJ32" s="53"/>
      <c r="AK32" s="54"/>
      <c r="AL32" s="54"/>
      <c r="AM32" s="32"/>
    </row>
    <row r="33" spans="1:42" ht="26.25">
      <c r="A33" s="92"/>
      <c r="B33" s="23"/>
      <c r="C33" s="96"/>
      <c r="D33" s="27"/>
      <c r="E33" s="96"/>
      <c r="F33" s="21"/>
      <c r="G33" s="21"/>
      <c r="H33" s="117"/>
      <c r="I33" s="117"/>
      <c r="J33" s="21"/>
      <c r="K33" s="29"/>
      <c r="L33" s="29"/>
      <c r="M33" s="56"/>
      <c r="N33" s="56"/>
      <c r="O33" s="56"/>
      <c r="P33" s="56"/>
      <c r="Q33" s="54"/>
      <c r="R33" s="34"/>
      <c r="S33" s="34"/>
      <c r="T33" s="34"/>
      <c r="U33" s="34"/>
      <c r="V33" s="34"/>
      <c r="W33" s="53"/>
      <c r="X33" s="53"/>
      <c r="Y33" s="53"/>
      <c r="Z33" s="34"/>
      <c r="AA33" s="34"/>
      <c r="AB33" s="34"/>
      <c r="AC33" s="34"/>
      <c r="AD33" s="34"/>
      <c r="AE33" s="53"/>
      <c r="AF33" s="53"/>
      <c r="AG33" s="53"/>
      <c r="AH33" s="53"/>
      <c r="AI33" s="53"/>
      <c r="AJ33" s="53"/>
      <c r="AK33" s="35"/>
      <c r="AL33" s="34"/>
      <c r="AM33" s="32"/>
    </row>
    <row r="34" spans="1:42" ht="26.25" customHeight="1">
      <c r="A34" s="95"/>
      <c r="B34" s="83"/>
      <c r="D34" s="83"/>
      <c r="E34" s="83"/>
      <c r="F34" s="21"/>
      <c r="G34" s="21"/>
      <c r="H34" s="21"/>
      <c r="I34" s="21"/>
      <c r="J34" s="21"/>
      <c r="K34" s="78"/>
      <c r="L34" s="78"/>
      <c r="M34" s="78"/>
      <c r="N34" s="56"/>
      <c r="O34" s="56"/>
      <c r="P34" s="56"/>
      <c r="Q34" s="54"/>
      <c r="R34" s="34"/>
      <c r="S34" s="34"/>
      <c r="T34" s="34"/>
      <c r="U34" s="34"/>
      <c r="V34" s="34"/>
      <c r="W34" s="34"/>
      <c r="X34" s="34"/>
      <c r="Y34" s="54"/>
      <c r="Z34" s="34"/>
      <c r="AA34" s="34"/>
      <c r="AB34" s="34"/>
      <c r="AC34" s="34"/>
      <c r="AD34" s="34"/>
      <c r="AE34" s="34"/>
      <c r="AF34" s="34"/>
      <c r="AG34" s="34"/>
      <c r="AH34" s="53"/>
      <c r="AI34" s="53"/>
      <c r="AJ34" s="53"/>
      <c r="AK34" s="53"/>
      <c r="AL34" s="53"/>
      <c r="AM34" s="67"/>
      <c r="AP34" s="32"/>
    </row>
    <row r="35" spans="1:42" ht="23.25">
      <c r="A35" s="96"/>
      <c r="B35" s="23"/>
      <c r="C35" s="23"/>
      <c r="D35" s="23"/>
      <c r="E35" s="23"/>
      <c r="F35" s="21"/>
      <c r="G35" s="21"/>
      <c r="H35" s="21"/>
      <c r="I35" s="21"/>
      <c r="J35" s="21"/>
      <c r="K35" s="78"/>
      <c r="L35" s="78"/>
      <c r="M35" s="78"/>
      <c r="N35" s="56"/>
      <c r="O35" s="56"/>
      <c r="P35" s="56"/>
      <c r="Q35" s="56"/>
    </row>
    <row r="36" spans="1:42" ht="23.25">
      <c r="A36" s="96"/>
      <c r="B36" s="23"/>
      <c r="C36" s="23"/>
      <c r="D36" s="23"/>
      <c r="E36" s="23"/>
      <c r="F36" s="21"/>
      <c r="G36" s="21"/>
      <c r="H36" s="21"/>
      <c r="I36" s="21"/>
      <c r="J36" s="21"/>
      <c r="K36" s="78"/>
      <c r="L36" s="78"/>
      <c r="M36" s="78"/>
      <c r="N36" s="56"/>
      <c r="O36" s="56"/>
      <c r="P36" s="56"/>
      <c r="Q36" s="56"/>
    </row>
    <row r="37" spans="1:42" ht="20.25">
      <c r="A37" s="23"/>
      <c r="B37" s="23"/>
      <c r="C37" s="23"/>
      <c r="D37" s="23"/>
      <c r="E37" s="23"/>
      <c r="F37" s="21"/>
      <c r="G37" s="21"/>
      <c r="H37" s="21"/>
      <c r="I37" s="21"/>
      <c r="J37" s="21"/>
      <c r="K37" s="78"/>
      <c r="L37" s="78"/>
      <c r="M37" s="78"/>
      <c r="N37" s="56"/>
      <c r="O37" s="56"/>
      <c r="P37" s="56"/>
      <c r="Q37" s="56"/>
    </row>
    <row r="38" spans="1:42" ht="20.25">
      <c r="A38" s="23"/>
      <c r="B38" s="23"/>
      <c r="C38" s="23"/>
      <c r="D38" s="23"/>
      <c r="E38" s="23"/>
      <c r="F38" s="21"/>
      <c r="G38" s="21"/>
      <c r="H38" s="21"/>
      <c r="I38" s="21"/>
      <c r="J38" s="21"/>
      <c r="K38" s="78"/>
      <c r="L38" s="78"/>
      <c r="M38" s="78"/>
      <c r="N38" s="56"/>
      <c r="O38" s="56"/>
      <c r="P38" s="56"/>
      <c r="Q38" s="56"/>
    </row>
    <row r="39" spans="1:42" ht="20.25">
      <c r="A39" s="23"/>
      <c r="B39" s="23"/>
      <c r="C39" s="23"/>
      <c r="D39" s="23"/>
      <c r="E39" s="23"/>
      <c r="F39" s="21"/>
      <c r="G39" s="21"/>
      <c r="H39" s="21"/>
      <c r="I39" s="21"/>
      <c r="J39" s="21"/>
      <c r="K39" s="78"/>
      <c r="L39" s="78"/>
      <c r="M39" s="78"/>
      <c r="N39" s="56"/>
      <c r="O39" s="56"/>
      <c r="P39" s="56"/>
      <c r="Q39" s="56"/>
    </row>
    <row r="40" spans="1:42" ht="20.25">
      <c r="A40" s="23"/>
      <c r="B40" s="23"/>
      <c r="C40" s="23"/>
      <c r="D40" s="23"/>
      <c r="E40" s="23"/>
      <c r="F40" s="21"/>
      <c r="G40" s="21"/>
      <c r="H40" s="21"/>
      <c r="I40" s="21"/>
      <c r="J40" s="21"/>
      <c r="K40" s="78"/>
      <c r="L40" s="78"/>
      <c r="M40" s="78"/>
      <c r="N40" s="56"/>
      <c r="O40" s="56"/>
      <c r="P40" s="56"/>
      <c r="Q40" s="56"/>
    </row>
    <row r="41" spans="1:42" ht="20.25">
      <c r="A41" s="23"/>
      <c r="B41" s="23"/>
      <c r="C41" s="23"/>
      <c r="D41" s="23"/>
      <c r="E41" s="23"/>
      <c r="F41" s="21"/>
      <c r="G41" s="21"/>
      <c r="H41" s="21"/>
      <c r="I41" s="21"/>
      <c r="J41" s="21"/>
      <c r="K41" s="78"/>
      <c r="L41" s="78"/>
      <c r="M41" s="78"/>
      <c r="N41" s="56"/>
      <c r="O41" s="56"/>
      <c r="P41" s="56"/>
      <c r="Q41" s="56"/>
    </row>
    <row r="42" spans="1:42" ht="20.25">
      <c r="A42" s="23"/>
      <c r="B42" s="23"/>
      <c r="C42" s="23"/>
      <c r="D42" s="23"/>
      <c r="E42" s="23"/>
      <c r="F42" s="21"/>
      <c r="G42" s="21"/>
      <c r="H42" s="21"/>
      <c r="I42" s="21"/>
      <c r="J42" s="21"/>
      <c r="K42" s="78"/>
      <c r="L42" s="78"/>
      <c r="M42" s="78"/>
      <c r="N42" s="56"/>
      <c r="O42" s="56"/>
      <c r="P42" s="56"/>
      <c r="Q42" s="56"/>
    </row>
    <row r="43" spans="1:42" ht="20.25">
      <c r="A43" s="23"/>
      <c r="B43" s="23"/>
      <c r="C43" s="23"/>
      <c r="D43" s="23"/>
      <c r="E43" s="23"/>
      <c r="F43" s="21"/>
      <c r="G43" s="21"/>
      <c r="H43" s="21"/>
      <c r="I43" s="21"/>
      <c r="J43" s="21"/>
      <c r="K43" s="78"/>
      <c r="L43" s="78"/>
      <c r="M43" s="78"/>
      <c r="N43" s="56"/>
      <c r="O43" s="56"/>
      <c r="P43" s="56"/>
      <c r="Q43" s="56"/>
    </row>
    <row r="44" spans="1:42" ht="20.25">
      <c r="A44" s="23"/>
      <c r="B44" s="23"/>
      <c r="C44" s="23"/>
      <c r="D44" s="23"/>
      <c r="E44" s="23"/>
      <c r="F44" s="21"/>
      <c r="G44" s="21"/>
      <c r="H44" s="21"/>
      <c r="I44" s="21"/>
      <c r="J44" s="21"/>
      <c r="K44" s="78"/>
      <c r="L44" s="78"/>
      <c r="M44" s="78"/>
      <c r="N44" s="56"/>
      <c r="O44" s="56"/>
      <c r="P44" s="56"/>
      <c r="Q44" s="56"/>
    </row>
    <row r="45" spans="1:42" ht="20.25">
      <c r="A45" s="23"/>
      <c r="B45" s="23"/>
      <c r="C45" s="23"/>
      <c r="D45" s="23"/>
      <c r="E45" s="23"/>
      <c r="F45" s="21"/>
      <c r="G45" s="21"/>
      <c r="H45" s="21"/>
      <c r="I45" s="21"/>
      <c r="J45" s="21"/>
      <c r="K45" s="78"/>
      <c r="L45" s="78"/>
      <c r="M45" s="78"/>
      <c r="N45" s="56"/>
      <c r="O45" s="56"/>
      <c r="P45" s="56"/>
      <c r="Q45" s="56"/>
    </row>
    <row r="46" spans="1:42" ht="20.25">
      <c r="A46" s="23"/>
      <c r="B46" s="23"/>
      <c r="C46" s="23"/>
      <c r="D46" s="23"/>
      <c r="E46" s="23"/>
      <c r="F46" s="21"/>
      <c r="G46" s="21"/>
      <c r="H46" s="21"/>
      <c r="I46" s="21"/>
      <c r="J46" s="21"/>
      <c r="K46" s="78"/>
      <c r="L46" s="78"/>
      <c r="M46" s="78"/>
      <c r="N46" s="56"/>
      <c r="O46" s="56"/>
      <c r="P46" s="56"/>
      <c r="Q46" s="56"/>
    </row>
    <row r="47" spans="1:42" ht="20.25">
      <c r="A47" s="23"/>
      <c r="B47" s="23"/>
      <c r="C47" s="23"/>
      <c r="D47" s="23"/>
      <c r="E47" s="23"/>
      <c r="F47" s="21"/>
      <c r="G47" s="21"/>
      <c r="H47" s="21"/>
      <c r="I47" s="21"/>
      <c r="J47" s="21"/>
      <c r="K47" s="78"/>
      <c r="L47" s="78"/>
      <c r="M47" s="78"/>
      <c r="N47" s="56"/>
      <c r="O47" s="56"/>
      <c r="P47" s="56"/>
      <c r="Q47" s="56"/>
    </row>
    <row r="48" spans="1:42" ht="20.25">
      <c r="A48" s="23"/>
      <c r="B48" s="23"/>
      <c r="C48" s="23"/>
      <c r="D48" s="23"/>
      <c r="E48" s="23"/>
      <c r="F48" s="21"/>
      <c r="G48" s="21"/>
      <c r="H48" s="21"/>
      <c r="I48" s="21"/>
      <c r="J48" s="21"/>
      <c r="K48" s="78"/>
      <c r="L48" s="78"/>
      <c r="M48" s="78"/>
      <c r="N48" s="56"/>
      <c r="O48" s="56"/>
      <c r="P48" s="56"/>
      <c r="Q48" s="56"/>
    </row>
    <row r="49" spans="1:17" ht="20.25">
      <c r="A49" s="23"/>
      <c r="B49" s="23"/>
      <c r="C49" s="23"/>
      <c r="D49" s="23"/>
      <c r="E49" s="23"/>
      <c r="F49" s="21"/>
      <c r="G49" s="21"/>
      <c r="H49" s="21"/>
      <c r="I49" s="21"/>
      <c r="J49" s="21"/>
      <c r="K49" s="78"/>
      <c r="L49" s="78"/>
      <c r="M49" s="78"/>
      <c r="N49" s="56"/>
      <c r="O49" s="56"/>
      <c r="P49" s="56"/>
      <c r="Q49" s="56"/>
    </row>
    <row r="50" spans="1:17" ht="20.25">
      <c r="A50" s="23"/>
      <c r="B50" s="23"/>
      <c r="C50" s="23"/>
      <c r="D50" s="23"/>
      <c r="E50" s="23"/>
      <c r="F50" s="21"/>
      <c r="G50" s="21"/>
      <c r="H50" s="21"/>
      <c r="I50" s="21"/>
      <c r="J50" s="21"/>
      <c r="K50" s="78"/>
      <c r="L50" s="78"/>
      <c r="M50" s="78"/>
      <c r="N50" s="56"/>
      <c r="O50" s="56"/>
      <c r="P50" s="56"/>
      <c r="Q50" s="56"/>
    </row>
    <row r="51" spans="1:17" ht="20.25">
      <c r="A51" s="23"/>
      <c r="B51" s="23"/>
      <c r="C51" s="23"/>
      <c r="D51" s="23"/>
      <c r="E51" s="23"/>
      <c r="F51" s="21"/>
      <c r="G51" s="21"/>
      <c r="H51" s="21"/>
      <c r="I51" s="21"/>
      <c r="J51" s="21"/>
      <c r="K51" s="78"/>
      <c r="L51" s="78"/>
      <c r="M51" s="78"/>
      <c r="N51" s="56"/>
      <c r="O51" s="56"/>
      <c r="P51" s="56"/>
      <c r="Q51" s="56"/>
    </row>
    <row r="52" spans="1:17" ht="20.25">
      <c r="A52" s="23"/>
      <c r="B52" s="23"/>
      <c r="C52" s="23"/>
      <c r="D52" s="23"/>
      <c r="E52" s="23"/>
      <c r="F52" s="21"/>
      <c r="G52" s="21"/>
      <c r="H52" s="21"/>
      <c r="I52" s="21"/>
      <c r="J52" s="21"/>
      <c r="K52" s="78"/>
      <c r="L52" s="78"/>
      <c r="M52" s="78"/>
      <c r="N52" s="56"/>
      <c r="O52" s="56"/>
      <c r="P52" s="56"/>
      <c r="Q52" s="56"/>
    </row>
    <row r="53" spans="1:17" ht="20.25">
      <c r="A53" s="23"/>
      <c r="B53" s="23"/>
      <c r="C53" s="23"/>
      <c r="D53" s="23"/>
      <c r="E53" s="23"/>
      <c r="F53" s="21"/>
      <c r="G53" s="21"/>
      <c r="H53" s="21"/>
      <c r="I53" s="21"/>
      <c r="J53" s="21"/>
      <c r="K53" s="78"/>
      <c r="L53" s="78"/>
      <c r="M53" s="78"/>
      <c r="N53" s="56"/>
      <c r="O53" s="56"/>
      <c r="P53" s="56"/>
      <c r="Q53" s="56"/>
    </row>
    <row r="54" spans="1:17" ht="20.25">
      <c r="A54" s="23"/>
      <c r="B54" s="23"/>
      <c r="C54" s="23"/>
      <c r="D54" s="23"/>
      <c r="E54" s="23"/>
      <c r="F54" s="21"/>
      <c r="G54" s="21"/>
      <c r="H54" s="21"/>
      <c r="I54" s="21"/>
      <c r="J54" s="21"/>
      <c r="K54" s="78"/>
      <c r="L54" s="78"/>
      <c r="M54" s="78"/>
      <c r="N54" s="56"/>
      <c r="O54" s="56"/>
      <c r="P54" s="56"/>
      <c r="Q54" s="56"/>
    </row>
    <row r="55" spans="1:17" ht="20.25">
      <c r="A55" s="23"/>
      <c r="B55" s="23"/>
      <c r="C55" s="23"/>
      <c r="D55" s="23"/>
      <c r="E55" s="23"/>
      <c r="F55" s="21"/>
      <c r="G55" s="21"/>
      <c r="H55" s="21"/>
      <c r="I55" s="21"/>
      <c r="J55" s="21"/>
      <c r="K55" s="78"/>
      <c r="L55" s="78"/>
      <c r="M55" s="78"/>
      <c r="N55" s="56"/>
      <c r="O55" s="56"/>
      <c r="P55" s="56"/>
      <c r="Q55" s="56"/>
    </row>
    <row r="56" spans="1:17" ht="20.25">
      <c r="A56" s="23"/>
      <c r="B56" s="23"/>
      <c r="C56" s="23"/>
      <c r="D56" s="23"/>
      <c r="E56" s="23"/>
      <c r="F56" s="21"/>
      <c r="G56" s="21"/>
      <c r="H56" s="21"/>
      <c r="I56" s="21"/>
      <c r="J56" s="21"/>
      <c r="K56" s="78"/>
      <c r="L56" s="78"/>
      <c r="M56" s="78"/>
      <c r="N56" s="56"/>
      <c r="O56" s="56"/>
      <c r="P56" s="56"/>
      <c r="Q56" s="56"/>
    </row>
    <row r="57" spans="1:17" ht="20.25">
      <c r="A57" s="23"/>
      <c r="B57" s="23"/>
      <c r="C57" s="23"/>
      <c r="D57" s="23"/>
      <c r="E57" s="23"/>
      <c r="F57" s="21"/>
      <c r="G57" s="21"/>
      <c r="H57" s="21"/>
      <c r="I57" s="21"/>
      <c r="J57" s="21"/>
      <c r="K57" s="78"/>
      <c r="L57" s="78"/>
      <c r="M57" s="78"/>
      <c r="N57" s="56"/>
      <c r="O57" s="56"/>
      <c r="P57" s="56"/>
      <c r="Q57" s="56"/>
    </row>
    <row r="58" spans="1:17" ht="20.25">
      <c r="A58" s="23"/>
      <c r="B58" s="23"/>
      <c r="C58" s="23"/>
      <c r="D58" s="23"/>
      <c r="E58" s="23"/>
      <c r="F58" s="21"/>
      <c r="G58" s="21"/>
      <c r="H58" s="21"/>
      <c r="I58" s="21"/>
      <c r="J58" s="21"/>
      <c r="K58" s="78"/>
      <c r="L58" s="78"/>
      <c r="M58" s="78"/>
      <c r="N58" s="56"/>
      <c r="O58" s="56"/>
      <c r="P58" s="56"/>
      <c r="Q58" s="56"/>
    </row>
    <row r="59" spans="1:17" ht="20.25">
      <c r="A59" s="23"/>
      <c r="B59" s="23"/>
      <c r="C59" s="23"/>
      <c r="D59" s="23"/>
      <c r="E59" s="23"/>
      <c r="F59" s="21"/>
      <c r="G59" s="21"/>
      <c r="H59" s="21"/>
      <c r="I59" s="21"/>
      <c r="J59" s="21"/>
      <c r="K59" s="78"/>
      <c r="L59" s="78"/>
      <c r="M59" s="78"/>
      <c r="N59" s="56"/>
      <c r="O59" s="56"/>
      <c r="P59" s="56"/>
      <c r="Q59" s="56"/>
    </row>
    <row r="60" spans="1:17" ht="20.25">
      <c r="A60" s="23"/>
      <c r="B60" s="23"/>
      <c r="C60" s="23"/>
      <c r="D60" s="23"/>
      <c r="E60" s="23"/>
      <c r="F60" s="21"/>
      <c r="G60" s="21"/>
      <c r="H60" s="21"/>
      <c r="I60" s="21"/>
      <c r="J60" s="21"/>
      <c r="K60" s="78"/>
      <c r="L60" s="78"/>
      <c r="M60" s="78"/>
      <c r="N60" s="56"/>
      <c r="O60" s="56"/>
      <c r="P60" s="56"/>
      <c r="Q60" s="56"/>
    </row>
    <row r="61" spans="1:17" ht="20.25">
      <c r="A61" s="23"/>
      <c r="B61" s="23"/>
      <c r="C61" s="23"/>
      <c r="D61" s="23"/>
      <c r="E61" s="23"/>
      <c r="F61" s="21"/>
      <c r="G61" s="21"/>
      <c r="H61" s="21"/>
      <c r="I61" s="21"/>
      <c r="J61" s="21"/>
      <c r="K61" s="78"/>
      <c r="L61" s="78"/>
      <c r="M61" s="78"/>
      <c r="N61" s="56"/>
      <c r="O61" s="56"/>
      <c r="P61" s="56"/>
      <c r="Q61" s="56"/>
    </row>
    <row r="62" spans="1:17" ht="20.25">
      <c r="A62" s="23"/>
      <c r="B62" s="23"/>
      <c r="C62" s="23"/>
      <c r="D62" s="23"/>
      <c r="E62" s="23"/>
      <c r="F62" s="21"/>
      <c r="G62" s="21"/>
      <c r="H62" s="21"/>
      <c r="I62" s="21"/>
      <c r="J62" s="21"/>
      <c r="K62" s="78"/>
      <c r="L62" s="78"/>
      <c r="M62" s="78"/>
      <c r="N62" s="56"/>
      <c r="O62" s="56"/>
      <c r="P62" s="56"/>
      <c r="Q62" s="56"/>
    </row>
    <row r="63" spans="1:17" ht="20.25">
      <c r="A63" s="23"/>
      <c r="B63" s="23"/>
      <c r="C63" s="23"/>
      <c r="D63" s="23"/>
      <c r="E63" s="23"/>
      <c r="F63" s="21"/>
      <c r="G63" s="21"/>
      <c r="H63" s="21"/>
      <c r="I63" s="21"/>
      <c r="J63" s="21"/>
      <c r="K63" s="78"/>
      <c r="L63" s="78"/>
      <c r="M63" s="78"/>
      <c r="N63" s="56"/>
      <c r="O63" s="56"/>
      <c r="P63" s="56"/>
      <c r="Q63" s="56"/>
    </row>
    <row r="64" spans="1:17" ht="20.25">
      <c r="A64" s="23"/>
      <c r="B64" s="23"/>
      <c r="C64" s="23"/>
      <c r="D64" s="23"/>
      <c r="E64" s="23"/>
      <c r="F64" s="21"/>
      <c r="G64" s="21"/>
      <c r="H64" s="21"/>
      <c r="I64" s="21"/>
      <c r="J64" s="21"/>
      <c r="K64" s="78"/>
      <c r="L64" s="78"/>
      <c r="M64" s="78"/>
      <c r="N64" s="56"/>
      <c r="O64" s="56"/>
      <c r="P64" s="56"/>
      <c r="Q64" s="56"/>
    </row>
    <row r="65" spans="1:17" ht="20.25">
      <c r="A65" s="23"/>
      <c r="B65" s="23"/>
      <c r="C65" s="23"/>
      <c r="D65" s="23"/>
      <c r="E65" s="23"/>
      <c r="F65" s="21"/>
      <c r="G65" s="21"/>
      <c r="H65" s="21"/>
      <c r="I65" s="21"/>
      <c r="J65" s="21"/>
      <c r="K65" s="78"/>
      <c r="L65" s="78"/>
      <c r="M65" s="78"/>
      <c r="N65" s="56"/>
      <c r="O65" s="56"/>
      <c r="P65" s="56"/>
      <c r="Q65" s="56"/>
    </row>
    <row r="66" spans="1:17" ht="20.25">
      <c r="A66" s="23"/>
      <c r="B66" s="23"/>
      <c r="C66" s="23"/>
      <c r="D66" s="23"/>
      <c r="E66" s="23"/>
      <c r="F66" s="21"/>
      <c r="G66" s="21"/>
      <c r="H66" s="21"/>
      <c r="I66" s="21"/>
      <c r="J66" s="21"/>
      <c r="K66" s="78"/>
      <c r="L66" s="78"/>
      <c r="M66" s="78"/>
      <c r="N66" s="56"/>
      <c r="O66" s="56"/>
      <c r="P66" s="56"/>
      <c r="Q66" s="56"/>
    </row>
    <row r="67" spans="1:17" ht="20.25">
      <c r="A67" s="23"/>
      <c r="B67" s="23"/>
      <c r="C67" s="23"/>
      <c r="D67" s="23"/>
      <c r="E67" s="23"/>
      <c r="F67" s="21"/>
      <c r="G67" s="21"/>
      <c r="H67" s="21"/>
      <c r="I67" s="21"/>
      <c r="J67" s="21"/>
      <c r="K67" s="78"/>
      <c r="L67" s="78"/>
      <c r="M67" s="78"/>
      <c r="N67" s="56"/>
      <c r="O67" s="56"/>
      <c r="P67" s="56"/>
      <c r="Q67" s="56"/>
    </row>
    <row r="68" spans="1:17" ht="20.25">
      <c r="A68" s="23"/>
      <c r="B68" s="23"/>
      <c r="C68" s="23"/>
      <c r="D68" s="23"/>
      <c r="E68" s="23"/>
      <c r="F68" s="21"/>
      <c r="G68" s="21"/>
      <c r="H68" s="21"/>
      <c r="I68" s="21"/>
      <c r="J68" s="21"/>
      <c r="K68" s="78"/>
      <c r="L68" s="78"/>
      <c r="M68" s="78"/>
      <c r="N68" s="56"/>
      <c r="O68" s="56"/>
      <c r="P68" s="56"/>
      <c r="Q68" s="56"/>
    </row>
    <row r="69" spans="1:17" ht="20.25">
      <c r="A69" s="23"/>
      <c r="B69" s="23"/>
      <c r="C69" s="23"/>
      <c r="D69" s="23"/>
      <c r="E69" s="23"/>
      <c r="F69" s="21"/>
      <c r="G69" s="21"/>
      <c r="H69" s="21"/>
      <c r="I69" s="21"/>
      <c r="J69" s="21"/>
      <c r="K69" s="78"/>
      <c r="L69" s="78"/>
      <c r="M69" s="78"/>
      <c r="N69" s="56"/>
      <c r="O69" s="56"/>
      <c r="P69" s="56"/>
      <c r="Q69" s="56"/>
    </row>
    <row r="70" spans="1:17" ht="20.25">
      <c r="A70" s="23"/>
      <c r="B70" s="23"/>
      <c r="C70" s="23"/>
      <c r="D70" s="23"/>
      <c r="E70" s="23"/>
      <c r="F70" s="21"/>
      <c r="G70" s="21"/>
      <c r="H70" s="21"/>
      <c r="I70" s="21"/>
      <c r="J70" s="21"/>
      <c r="K70" s="78"/>
      <c r="L70" s="78"/>
      <c r="M70" s="78"/>
      <c r="N70" s="56"/>
      <c r="O70" s="56"/>
      <c r="P70" s="56"/>
      <c r="Q70" s="56"/>
    </row>
    <row r="71" spans="1:17" ht="20.25">
      <c r="A71" s="23"/>
      <c r="B71" s="23"/>
      <c r="C71" s="23"/>
      <c r="D71" s="23"/>
      <c r="E71" s="23"/>
      <c r="F71" s="21"/>
      <c r="G71" s="21"/>
      <c r="H71" s="21"/>
      <c r="I71" s="21"/>
      <c r="J71" s="21"/>
      <c r="K71" s="78"/>
      <c r="L71" s="78"/>
      <c r="M71" s="78"/>
      <c r="N71" s="56"/>
      <c r="O71" s="56"/>
      <c r="P71" s="56"/>
      <c r="Q71" s="56"/>
    </row>
    <row r="72" spans="1:17" ht="20.25">
      <c r="A72" s="23"/>
      <c r="B72" s="23"/>
      <c r="C72" s="23"/>
      <c r="D72" s="23"/>
      <c r="E72" s="23"/>
      <c r="F72" s="21"/>
      <c r="G72" s="21"/>
      <c r="H72" s="21"/>
      <c r="I72" s="21"/>
      <c r="J72" s="21"/>
      <c r="K72" s="78"/>
      <c r="L72" s="78"/>
      <c r="M72" s="78"/>
      <c r="N72" s="56"/>
      <c r="O72" s="56"/>
      <c r="P72" s="56"/>
      <c r="Q72" s="56"/>
    </row>
    <row r="73" spans="1:17" ht="20.25">
      <c r="A73" s="23"/>
      <c r="B73" s="23"/>
      <c r="C73" s="23"/>
      <c r="D73" s="23"/>
      <c r="E73" s="23"/>
      <c r="F73" s="21"/>
      <c r="G73" s="21"/>
      <c r="H73" s="21"/>
      <c r="I73" s="21"/>
      <c r="J73" s="21"/>
      <c r="K73" s="78"/>
      <c r="L73" s="78"/>
      <c r="M73" s="78"/>
      <c r="N73" s="56"/>
      <c r="O73" s="56"/>
      <c r="P73" s="56"/>
      <c r="Q73" s="56"/>
    </row>
    <row r="74" spans="1:17" ht="20.25">
      <c r="A74" s="23"/>
      <c r="B74" s="23"/>
      <c r="C74" s="23"/>
      <c r="D74" s="23"/>
      <c r="E74" s="23"/>
      <c r="F74" s="21"/>
      <c r="G74" s="21"/>
      <c r="H74" s="21"/>
      <c r="I74" s="21"/>
      <c r="J74" s="21"/>
      <c r="K74" s="78"/>
      <c r="L74" s="78"/>
      <c r="M74" s="78"/>
      <c r="N74" s="56"/>
      <c r="O74" s="56"/>
      <c r="P74" s="56"/>
      <c r="Q74" s="56"/>
    </row>
    <row r="75" spans="1:17" ht="20.25">
      <c r="A75" s="23"/>
      <c r="B75" s="23"/>
      <c r="C75" s="23"/>
      <c r="D75" s="23"/>
      <c r="E75" s="23"/>
      <c r="F75" s="21"/>
      <c r="G75" s="21"/>
      <c r="H75" s="21"/>
      <c r="I75" s="21"/>
      <c r="J75" s="21"/>
      <c r="K75" s="78"/>
      <c r="L75" s="78"/>
      <c r="M75" s="78"/>
      <c r="N75" s="56"/>
      <c r="O75" s="56"/>
      <c r="P75" s="56"/>
      <c r="Q75" s="56"/>
    </row>
    <row r="76" spans="1:17" ht="20.25">
      <c r="A76" s="23"/>
      <c r="B76" s="23"/>
      <c r="C76" s="23"/>
      <c r="D76" s="23"/>
      <c r="E76" s="23"/>
      <c r="F76" s="21"/>
      <c r="G76" s="21"/>
      <c r="H76" s="21"/>
      <c r="I76" s="21"/>
      <c r="J76" s="21"/>
      <c r="K76" s="78"/>
      <c r="L76" s="78"/>
      <c r="M76" s="78"/>
      <c r="N76" s="56"/>
      <c r="O76" s="56"/>
      <c r="P76" s="56"/>
      <c r="Q76" s="56"/>
    </row>
    <row r="77" spans="1:17" ht="20.25">
      <c r="A77" s="23"/>
      <c r="B77" s="23"/>
      <c r="C77" s="23"/>
      <c r="D77" s="23"/>
      <c r="E77" s="23"/>
      <c r="F77" s="21"/>
      <c r="G77" s="21"/>
      <c r="H77" s="21"/>
      <c r="I77" s="21"/>
      <c r="J77" s="21"/>
      <c r="K77" s="78"/>
      <c r="L77" s="78"/>
      <c r="M77" s="78"/>
      <c r="N77" s="56"/>
      <c r="O77" s="56"/>
      <c r="P77" s="56"/>
      <c r="Q77" s="56"/>
    </row>
    <row r="78" spans="1:17" ht="20.25">
      <c r="A78" s="23"/>
      <c r="B78" s="23"/>
      <c r="C78" s="23"/>
      <c r="D78" s="23"/>
      <c r="E78" s="23"/>
      <c r="F78" s="21"/>
      <c r="G78" s="21"/>
      <c r="H78" s="21"/>
      <c r="I78" s="21"/>
      <c r="J78" s="21"/>
      <c r="K78" s="78"/>
      <c r="L78" s="78"/>
      <c r="M78" s="78"/>
      <c r="N78" s="56"/>
      <c r="O78" s="56"/>
      <c r="P78" s="56"/>
      <c r="Q78" s="56"/>
    </row>
    <row r="79" spans="1:17" ht="20.25">
      <c r="A79" s="23"/>
      <c r="B79" s="23"/>
      <c r="C79" s="23"/>
      <c r="D79" s="23"/>
      <c r="E79" s="23"/>
      <c r="F79" s="21"/>
      <c r="G79" s="21"/>
      <c r="H79" s="21"/>
      <c r="I79" s="21"/>
      <c r="J79" s="21"/>
      <c r="K79" s="78"/>
      <c r="L79" s="78"/>
      <c r="M79" s="78"/>
      <c r="N79" s="56"/>
      <c r="O79" s="56"/>
      <c r="P79" s="56"/>
      <c r="Q79" s="56"/>
    </row>
    <row r="80" spans="1:17" ht="20.25">
      <c r="A80" s="23"/>
      <c r="B80" s="23"/>
      <c r="C80" s="23"/>
      <c r="D80" s="23"/>
      <c r="E80" s="23"/>
      <c r="F80" s="21"/>
      <c r="G80" s="21"/>
      <c r="H80" s="21"/>
      <c r="I80" s="21"/>
      <c r="J80" s="21"/>
      <c r="K80" s="78"/>
      <c r="L80" s="78"/>
      <c r="M80" s="78"/>
      <c r="N80" s="56"/>
      <c r="O80" s="56"/>
      <c r="P80" s="56"/>
      <c r="Q80" s="56"/>
    </row>
    <row r="81" spans="1:17" ht="20.25">
      <c r="A81" s="23"/>
      <c r="B81" s="23"/>
      <c r="C81" s="23"/>
      <c r="D81" s="23"/>
      <c r="E81" s="23"/>
      <c r="F81" s="21"/>
      <c r="G81" s="21"/>
      <c r="H81" s="21"/>
      <c r="I81" s="21"/>
      <c r="J81" s="21"/>
      <c r="K81" s="78"/>
      <c r="L81" s="78"/>
      <c r="M81" s="78"/>
      <c r="N81" s="56"/>
      <c r="O81" s="56"/>
      <c r="P81" s="56"/>
      <c r="Q81" s="56"/>
    </row>
    <row r="82" spans="1:17" ht="20.25">
      <c r="A82" s="23"/>
      <c r="B82" s="23"/>
      <c r="C82" s="23"/>
      <c r="D82" s="23"/>
      <c r="E82" s="23"/>
      <c r="F82" s="21"/>
      <c r="G82" s="21"/>
      <c r="H82" s="21"/>
      <c r="I82" s="21"/>
      <c r="J82" s="21"/>
      <c r="K82" s="78"/>
      <c r="L82" s="78"/>
      <c r="M82" s="78"/>
      <c r="N82" s="56"/>
      <c r="O82" s="56"/>
      <c r="P82" s="56"/>
      <c r="Q82" s="56"/>
    </row>
    <row r="83" spans="1:17" ht="20.25">
      <c r="A83" s="23"/>
      <c r="B83" s="23"/>
      <c r="C83" s="23"/>
      <c r="D83" s="23"/>
      <c r="E83" s="23"/>
      <c r="F83" s="21"/>
      <c r="G83" s="21"/>
      <c r="H83" s="21"/>
      <c r="I83" s="21"/>
      <c r="J83" s="21"/>
      <c r="K83" s="78"/>
      <c r="L83" s="78"/>
      <c r="M83" s="78"/>
      <c r="N83" s="56"/>
      <c r="O83" s="56"/>
      <c r="P83" s="56"/>
      <c r="Q83" s="56"/>
    </row>
    <row r="84" spans="1:17" ht="20.25">
      <c r="A84" s="23"/>
      <c r="B84" s="23"/>
      <c r="C84" s="23"/>
      <c r="D84" s="23"/>
      <c r="E84" s="23"/>
      <c r="F84" s="21"/>
      <c r="G84" s="21"/>
      <c r="H84" s="21"/>
      <c r="I84" s="21"/>
      <c r="J84" s="21"/>
      <c r="K84" s="78"/>
      <c r="L84" s="78"/>
      <c r="M84" s="78"/>
      <c r="N84" s="56"/>
      <c r="O84" s="56"/>
      <c r="P84" s="56"/>
      <c r="Q84" s="56"/>
    </row>
    <row r="85" spans="1:17" ht="20.25">
      <c r="A85" s="23"/>
      <c r="B85" s="23"/>
      <c r="C85" s="23"/>
      <c r="D85" s="23"/>
      <c r="E85" s="23"/>
      <c r="F85" s="21"/>
      <c r="G85" s="21"/>
      <c r="H85" s="21"/>
      <c r="I85" s="21"/>
      <c r="J85" s="21"/>
      <c r="K85" s="78"/>
      <c r="L85" s="78"/>
      <c r="M85" s="78"/>
      <c r="N85" s="56"/>
      <c r="O85" s="56"/>
      <c r="P85" s="56"/>
      <c r="Q85" s="56"/>
    </row>
    <row r="86" spans="1:17" ht="20.25">
      <c r="A86" s="23"/>
      <c r="B86" s="23"/>
      <c r="C86" s="23"/>
      <c r="D86" s="23"/>
      <c r="E86" s="23"/>
      <c r="F86" s="21"/>
      <c r="G86" s="21"/>
      <c r="H86" s="21"/>
      <c r="I86" s="21"/>
      <c r="J86" s="21"/>
      <c r="K86" s="78"/>
      <c r="L86" s="78"/>
      <c r="M86" s="78"/>
      <c r="N86" s="56"/>
      <c r="O86" s="56"/>
      <c r="P86" s="56"/>
      <c r="Q86" s="56"/>
    </row>
    <row r="87" spans="1:17" ht="20.25">
      <c r="A87" s="23"/>
      <c r="B87" s="23"/>
      <c r="C87" s="23"/>
      <c r="D87" s="23"/>
      <c r="E87" s="23"/>
      <c r="F87" s="21"/>
      <c r="G87" s="21"/>
      <c r="H87" s="21"/>
      <c r="I87" s="21"/>
      <c r="J87" s="21"/>
      <c r="K87" s="78"/>
      <c r="L87" s="78"/>
      <c r="M87" s="78"/>
      <c r="N87" s="56"/>
      <c r="O87" s="56"/>
      <c r="P87" s="56"/>
      <c r="Q87" s="56"/>
    </row>
    <row r="88" spans="1:17" ht="20.25">
      <c r="A88" s="23"/>
      <c r="B88" s="23"/>
      <c r="C88" s="23"/>
      <c r="D88" s="23"/>
      <c r="E88" s="23"/>
      <c r="F88" s="21"/>
      <c r="G88" s="21"/>
      <c r="H88" s="21"/>
      <c r="I88" s="21"/>
      <c r="J88" s="21"/>
      <c r="K88" s="78"/>
      <c r="L88" s="78"/>
      <c r="M88" s="78"/>
      <c r="N88" s="56"/>
      <c r="O88" s="56"/>
      <c r="P88" s="56"/>
      <c r="Q88" s="56"/>
    </row>
    <row r="89" spans="1:17" ht="20.25">
      <c r="A89" s="23"/>
      <c r="B89" s="23"/>
      <c r="C89" s="23"/>
      <c r="D89" s="23"/>
      <c r="E89" s="23"/>
      <c r="F89" s="21"/>
      <c r="G89" s="21"/>
      <c r="H89" s="21"/>
      <c r="I89" s="21"/>
      <c r="J89" s="21"/>
      <c r="K89" s="78"/>
      <c r="L89" s="78"/>
      <c r="M89" s="78"/>
      <c r="N89" s="56"/>
      <c r="O89" s="56"/>
      <c r="P89" s="56"/>
      <c r="Q89" s="56"/>
    </row>
    <row r="90" spans="1:17" ht="20.25">
      <c r="A90" s="23"/>
      <c r="B90" s="23"/>
      <c r="C90" s="23"/>
      <c r="D90" s="23"/>
      <c r="E90" s="23"/>
      <c r="F90" s="21"/>
      <c r="G90" s="21"/>
      <c r="H90" s="21"/>
      <c r="I90" s="21"/>
      <c r="J90" s="21"/>
      <c r="K90" s="78"/>
      <c r="L90" s="78"/>
      <c r="M90" s="78"/>
      <c r="N90" s="56"/>
      <c r="O90" s="56"/>
      <c r="P90" s="56"/>
      <c r="Q90" s="56"/>
    </row>
  </sheetData>
  <mergeCells count="2">
    <mergeCell ref="K7:N7"/>
    <mergeCell ref="H7:I7"/>
  </mergeCells>
  <phoneticPr fontId="0" type="noConversion"/>
  <printOptions horizontalCentered="1" verticalCentered="1"/>
  <pageMargins left="0.2" right="0.2" top="0.5" bottom="0.5" header="0" footer="0"/>
  <pageSetup scale="46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O84"/>
  <sheetViews>
    <sheetView zoomScale="40" workbookViewId="0">
      <pane xSplit="2" ySplit="10" topLeftCell="C11" activePane="bottomRight" state="frozen"/>
      <selection pane="topRight" activeCell="C1" sqref="C1"/>
      <selection pane="bottomLeft" activeCell="A12" sqref="A12"/>
      <selection pane="bottomRight" activeCell="H21" sqref="H21"/>
    </sheetView>
  </sheetViews>
  <sheetFormatPr defaultRowHeight="15.75"/>
  <cols>
    <col min="1" max="1" width="72" style="19" customWidth="1"/>
    <col min="2" max="2" width="2.140625" style="19" customWidth="1"/>
    <col min="3" max="3" width="34.140625" style="19" customWidth="1"/>
    <col min="4" max="4" width="20.140625" style="19" customWidth="1"/>
    <col min="5" max="5" width="43.140625" style="19" customWidth="1"/>
    <col min="6" max="7" width="4.42578125" style="3" customWidth="1"/>
    <col min="8" max="8" width="28.5703125" style="3" customWidth="1"/>
    <col min="9" max="9" width="26.140625" style="3" customWidth="1"/>
    <col min="10" max="10" width="13.85546875" style="5" customWidth="1"/>
    <col min="11" max="11" width="36.5703125" style="5" customWidth="1"/>
    <col min="12" max="12" width="23.85546875" style="5" hidden="1" customWidth="1"/>
    <col min="13" max="13" width="15.140625" style="33" customWidth="1"/>
    <col min="14" max="14" width="25.42578125" style="33" customWidth="1"/>
    <col min="15" max="15" width="25" style="33" customWidth="1"/>
    <col min="16" max="16" width="24.140625" style="33" customWidth="1"/>
    <col min="17" max="17" width="17" style="33" customWidth="1"/>
    <col min="18" max="18" width="2.140625" style="33" customWidth="1"/>
    <col min="19" max="19" width="12.42578125" style="33" customWidth="1"/>
    <col min="20" max="20" width="16" style="33" customWidth="1"/>
    <col min="21" max="21" width="19.140625" style="33" customWidth="1"/>
    <col min="22" max="22" width="20.42578125" style="33" customWidth="1"/>
    <col min="23" max="23" width="18.5703125" style="33" customWidth="1"/>
    <col min="24" max="24" width="9.140625" style="33"/>
    <col min="25" max="27" width="19.85546875" style="33" customWidth="1"/>
    <col min="28" max="28" width="13.5703125" style="33" customWidth="1"/>
    <col min="29" max="29" width="22.140625" style="33" hidden="1" customWidth="1"/>
    <col min="30" max="30" width="32.5703125" style="33" hidden="1" customWidth="1"/>
    <col min="31" max="31" width="20.7109375" style="33" hidden="1" customWidth="1"/>
    <col min="32" max="32" width="19.85546875" style="33" customWidth="1"/>
    <col min="33" max="33" width="14.42578125" style="33" customWidth="1"/>
    <col min="34" max="34" width="14.140625" style="33" customWidth="1"/>
    <col min="35" max="35" width="14.7109375" style="33" customWidth="1"/>
    <col min="36" max="36" width="13.28515625" style="33" customWidth="1"/>
    <col min="37" max="37" width="18.5703125" style="33" customWidth="1"/>
    <col min="38" max="38" width="14.42578125" style="33" customWidth="1"/>
    <col min="39" max="40" width="12.42578125" style="33" customWidth="1"/>
    <col min="41" max="16384" width="9.140625" style="33"/>
  </cols>
  <sheetData>
    <row r="1" spans="1:39" s="32" customFormat="1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N1" s="33"/>
      <c r="O1" s="33"/>
      <c r="P1" s="34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</row>
    <row r="2" spans="1:39" ht="60.75">
      <c r="A2" s="1"/>
      <c r="B2" s="1"/>
      <c r="C2" s="36" t="s">
        <v>0</v>
      </c>
      <c r="D2" s="1"/>
      <c r="E2" s="1"/>
      <c r="F2" s="1"/>
      <c r="G2" s="1"/>
      <c r="H2" s="1"/>
      <c r="I2" s="1"/>
      <c r="J2" s="1"/>
      <c r="K2" s="1"/>
      <c r="L2" s="1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1:39" ht="72.75" customHeight="1">
      <c r="A3" s="2"/>
      <c r="B3" s="3"/>
      <c r="C3" s="3"/>
      <c r="D3" s="3"/>
      <c r="E3" s="153"/>
      <c r="H3" s="4" t="s">
        <v>1</v>
      </c>
      <c r="K3" s="6" t="s">
        <v>80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9" ht="21" customHeight="1">
      <c r="A4" s="3"/>
      <c r="B4" s="3"/>
      <c r="C4" s="3"/>
      <c r="D4" s="3"/>
      <c r="E4" s="3"/>
      <c r="J4" s="154" t="s">
        <v>45</v>
      </c>
      <c r="K4" s="154">
        <f ca="1">TODAY()</f>
        <v>41887</v>
      </c>
      <c r="P4" s="34"/>
      <c r="Q4" s="34"/>
      <c r="R4" s="34"/>
      <c r="S4" s="34"/>
      <c r="T4" s="34"/>
      <c r="U4" s="34"/>
      <c r="V4" s="37"/>
      <c r="W4" s="38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9" ht="30">
      <c r="A5" s="2"/>
      <c r="B5" s="3"/>
      <c r="C5" s="3"/>
      <c r="D5" s="3"/>
      <c r="E5" s="3"/>
      <c r="J5" s="8"/>
      <c r="K5" s="6"/>
      <c r="P5" s="34"/>
      <c r="Q5" s="34"/>
      <c r="R5" s="34"/>
      <c r="S5" s="34"/>
      <c r="T5" s="34"/>
      <c r="U5" s="34"/>
      <c r="V5" s="37"/>
      <c r="W5" s="38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9" ht="15.75" customHeight="1">
      <c r="A6" s="10"/>
      <c r="B6" s="3"/>
      <c r="C6" s="3"/>
      <c r="D6" s="3"/>
      <c r="E6" s="3"/>
      <c r="J6" s="9"/>
      <c r="K6" s="9"/>
      <c r="L6" s="9"/>
      <c r="P6" s="34"/>
      <c r="Q6" s="34"/>
      <c r="R6" s="34"/>
      <c r="S6" s="34"/>
      <c r="T6" s="34"/>
      <c r="U6" s="34"/>
      <c r="V6" s="37"/>
      <c r="W6" s="38"/>
      <c r="X6" s="34"/>
      <c r="Y6" s="34"/>
      <c r="Z6" s="34"/>
      <c r="AA6" s="34"/>
      <c r="AB6" s="34"/>
      <c r="AC6" s="39"/>
      <c r="AD6" s="34"/>
      <c r="AE6" s="34"/>
      <c r="AF6" s="34"/>
      <c r="AG6" s="34"/>
      <c r="AH6" s="34"/>
      <c r="AI6" s="34"/>
      <c r="AJ6" s="34"/>
      <c r="AK6" s="34"/>
    </row>
    <row r="7" spans="1:39" ht="31.5" customHeight="1">
      <c r="A7" s="10"/>
      <c r="B7" s="3"/>
      <c r="C7" s="97" t="s">
        <v>32</v>
      </c>
      <c r="D7" s="40"/>
      <c r="E7" s="97" t="s">
        <v>35</v>
      </c>
      <c r="F7" s="11"/>
      <c r="G7" s="11"/>
      <c r="H7" s="239" t="s">
        <v>2</v>
      </c>
      <c r="I7" s="240"/>
      <c r="J7" s="12"/>
      <c r="K7" s="239" t="s">
        <v>44</v>
      </c>
      <c r="L7" s="241"/>
      <c r="M7" s="241"/>
      <c r="N7" s="240"/>
      <c r="Q7" s="34"/>
      <c r="R7" s="37"/>
      <c r="S7" s="38"/>
      <c r="T7" s="34"/>
      <c r="U7" s="34"/>
      <c r="V7" s="34"/>
      <c r="W7" s="41"/>
      <c r="X7" s="42"/>
      <c r="Y7" s="43"/>
      <c r="Z7" s="42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9" s="46" customFormat="1" ht="18.75">
      <c r="A8" s="12"/>
      <c r="B8" s="7"/>
      <c r="C8" s="44" t="s">
        <v>33</v>
      </c>
      <c r="D8" s="13"/>
      <c r="E8" s="44" t="s">
        <v>28</v>
      </c>
      <c r="F8" s="13"/>
      <c r="G8" s="13"/>
      <c r="H8" s="44" t="s">
        <v>31</v>
      </c>
      <c r="I8" s="44">
        <v>10</v>
      </c>
      <c r="J8" s="147"/>
      <c r="K8" s="44" t="s">
        <v>3</v>
      </c>
      <c r="L8" s="45" t="s">
        <v>4</v>
      </c>
      <c r="M8" s="45" t="s">
        <v>4</v>
      </c>
      <c r="N8" s="45" t="s">
        <v>90</v>
      </c>
      <c r="Q8" s="47"/>
      <c r="R8" s="47"/>
      <c r="S8" s="47"/>
      <c r="T8" s="47"/>
      <c r="U8" s="47"/>
      <c r="V8" s="47"/>
      <c r="W8" s="47"/>
      <c r="X8" s="47"/>
      <c r="Y8" s="48"/>
      <c r="Z8" s="13"/>
      <c r="AA8" s="13"/>
      <c r="AB8" s="49"/>
      <c r="AC8" s="13"/>
      <c r="AD8" s="47"/>
      <c r="AE8" s="34"/>
      <c r="AF8" s="14"/>
      <c r="AG8" s="14"/>
      <c r="AH8" s="14"/>
      <c r="AI8" s="14"/>
      <c r="AJ8" s="14"/>
      <c r="AK8" s="47"/>
      <c r="AL8" s="47"/>
    </row>
    <row r="9" spans="1:39" ht="12.75" customHeight="1">
      <c r="A9" s="14"/>
      <c r="B9" s="3"/>
      <c r="C9" s="98"/>
      <c r="D9" s="14"/>
      <c r="E9" s="117"/>
      <c r="H9" s="117"/>
      <c r="I9" s="117"/>
      <c r="J9" s="3"/>
      <c r="K9" s="98"/>
      <c r="L9" s="98"/>
      <c r="M9" s="98"/>
      <c r="N9" s="98"/>
      <c r="Q9" s="34"/>
      <c r="R9" s="34"/>
      <c r="S9" s="34"/>
      <c r="T9" s="34"/>
      <c r="U9" s="34"/>
      <c r="V9" s="34"/>
      <c r="W9" s="34"/>
      <c r="X9" s="34"/>
      <c r="Y9" s="41"/>
      <c r="Z9" s="14"/>
      <c r="AA9" s="14"/>
      <c r="AB9" s="14"/>
      <c r="AC9" s="14"/>
      <c r="AD9" s="34"/>
      <c r="AE9" s="34"/>
      <c r="AF9" s="34"/>
      <c r="AG9" s="34"/>
      <c r="AH9" s="34"/>
      <c r="AI9" s="34"/>
      <c r="AJ9" s="34"/>
      <c r="AK9" s="34"/>
      <c r="AL9" s="34"/>
    </row>
    <row r="10" spans="1:39" s="32" customFormat="1" ht="30" customHeight="1">
      <c r="A10" s="148" t="s">
        <v>49</v>
      </c>
      <c r="B10" s="2"/>
      <c r="C10" s="99"/>
      <c r="D10" s="2"/>
      <c r="E10" s="30"/>
      <c r="F10" s="15"/>
      <c r="G10" s="15"/>
      <c r="H10" s="30"/>
      <c r="I10" s="30"/>
      <c r="J10" s="16"/>
      <c r="K10" s="30"/>
      <c r="L10" s="30"/>
      <c r="M10" s="30"/>
      <c r="N10" s="30"/>
      <c r="O10" s="35"/>
      <c r="P10" s="35"/>
      <c r="Q10" s="35"/>
      <c r="R10" s="50"/>
      <c r="S10" s="26"/>
      <c r="T10" s="26"/>
      <c r="U10" s="26"/>
      <c r="V10" s="35"/>
      <c r="W10" s="51"/>
      <c r="X10" s="51"/>
      <c r="Y10" s="51"/>
      <c r="Z10" s="52"/>
      <c r="AA10" s="52"/>
      <c r="AB10" s="52"/>
      <c r="AC10" s="35"/>
      <c r="AD10" s="35"/>
      <c r="AE10" s="53"/>
      <c r="AF10" s="53"/>
      <c r="AG10" s="53"/>
      <c r="AH10" s="53"/>
      <c r="AI10" s="53"/>
      <c r="AJ10" s="53"/>
      <c r="AK10" s="35"/>
      <c r="AL10" s="35"/>
    </row>
    <row r="11" spans="1:39" s="56" customFormat="1" ht="26.25">
      <c r="A11" s="92"/>
      <c r="B11" s="23"/>
      <c r="C11" s="110"/>
      <c r="D11" s="22"/>
      <c r="E11" s="122"/>
      <c r="F11" s="31"/>
      <c r="G11" s="31"/>
      <c r="H11" s="119"/>
      <c r="I11" s="119"/>
      <c r="J11" s="22"/>
      <c r="K11" s="28"/>
      <c r="L11" s="28"/>
      <c r="M11" s="28"/>
      <c r="N11" s="28"/>
      <c r="Q11" s="54"/>
      <c r="R11" s="54"/>
      <c r="S11" s="54"/>
      <c r="T11" s="54"/>
      <c r="U11" s="54"/>
      <c r="V11" s="54"/>
      <c r="W11" s="66"/>
      <c r="X11" s="66"/>
      <c r="Y11" s="66"/>
      <c r="Z11" s="55"/>
      <c r="AA11" s="55"/>
      <c r="AB11" s="55"/>
      <c r="AC11" s="54"/>
      <c r="AD11" s="54"/>
      <c r="AE11" s="53"/>
      <c r="AF11" s="53"/>
      <c r="AG11" s="53"/>
      <c r="AH11" s="53"/>
      <c r="AI11" s="53"/>
      <c r="AJ11" s="53"/>
      <c r="AK11" s="54"/>
      <c r="AL11" s="54"/>
      <c r="AM11" s="32"/>
    </row>
    <row r="12" spans="1:39" s="32" customFormat="1" ht="30" customHeight="1">
      <c r="A12" s="85" t="s">
        <v>38</v>
      </c>
      <c r="B12" s="23"/>
      <c r="C12" s="115"/>
      <c r="D12" s="22"/>
      <c r="E12" s="30">
        <f>SUM(E16:E19)</f>
        <v>157.74717618</v>
      </c>
      <c r="F12" s="68"/>
      <c r="G12" s="68"/>
      <c r="H12" s="30">
        <f>SQRT(SUMSQ(H16:H18))</f>
        <v>7.5980426164088088</v>
      </c>
      <c r="I12" s="30">
        <f>SQRT(SUMSQ(I16:I18))</f>
        <v>24.027120426876877</v>
      </c>
      <c r="J12" s="22"/>
      <c r="K12" s="30">
        <f>SUM(K16:K19)</f>
        <v>-50.576703067499992</v>
      </c>
      <c r="L12" s="30">
        <f>SUM(L16:L19)</f>
        <v>-50.576703067499992</v>
      </c>
      <c r="M12" s="30">
        <f>SUM(M16:M19)</f>
        <v>-50.576703067499992</v>
      </c>
      <c r="N12" s="30">
        <f>SUM(N16:N19)</f>
        <v>-50.576703067499992</v>
      </c>
      <c r="O12" s="54"/>
      <c r="P12" s="54"/>
      <c r="Q12" s="54"/>
      <c r="R12" s="50"/>
      <c r="S12" s="26"/>
      <c r="T12" s="26"/>
      <c r="U12" s="26"/>
      <c r="V12" s="35"/>
      <c r="W12" s="51"/>
      <c r="X12" s="51"/>
      <c r="Y12" s="51"/>
      <c r="Z12" s="52"/>
      <c r="AA12" s="52"/>
      <c r="AB12" s="52"/>
      <c r="AC12" s="35"/>
      <c r="AD12" s="35"/>
      <c r="AE12" s="53"/>
      <c r="AF12" s="53"/>
      <c r="AG12" s="53"/>
      <c r="AH12" s="53"/>
      <c r="AI12" s="53"/>
      <c r="AJ12" s="53"/>
      <c r="AK12" s="35"/>
      <c r="AL12" s="35"/>
    </row>
    <row r="13" spans="1:39" s="46" customFormat="1" ht="26.25" hidden="1">
      <c r="A13" s="86" t="s">
        <v>5</v>
      </c>
      <c r="B13" s="23"/>
      <c r="C13" s="102"/>
      <c r="D13" s="81"/>
      <c r="E13" s="103"/>
      <c r="F13" s="22"/>
      <c r="G13" s="22"/>
      <c r="H13" s="136"/>
      <c r="I13" s="136"/>
      <c r="J13" s="69"/>
      <c r="K13" s="20"/>
      <c r="L13" s="20"/>
      <c r="M13" s="20"/>
      <c r="N13" s="20"/>
      <c r="O13" s="56"/>
      <c r="P13" s="56"/>
      <c r="Q13" s="54"/>
      <c r="R13" s="50"/>
      <c r="S13" s="26"/>
      <c r="T13" s="26"/>
      <c r="U13" s="26"/>
      <c r="V13" s="47"/>
      <c r="W13" s="51"/>
      <c r="X13" s="51"/>
      <c r="Y13" s="51"/>
      <c r="Z13" s="48"/>
      <c r="AA13" s="48"/>
      <c r="AB13" s="48"/>
      <c r="AC13" s="47"/>
      <c r="AD13" s="47"/>
      <c r="AE13" s="53"/>
      <c r="AF13" s="53"/>
      <c r="AG13" s="53"/>
      <c r="AH13" s="53"/>
      <c r="AI13" s="53"/>
      <c r="AJ13" s="53"/>
      <c r="AK13" s="47"/>
      <c r="AL13" s="47"/>
      <c r="AM13" s="32"/>
    </row>
    <row r="14" spans="1:39" s="56" customFormat="1" ht="26.25" hidden="1">
      <c r="A14" s="86" t="s">
        <v>6</v>
      </c>
      <c r="B14" s="23"/>
      <c r="C14" s="103"/>
      <c r="D14" s="22"/>
      <c r="E14" s="103"/>
      <c r="F14" s="22"/>
      <c r="G14" s="22"/>
      <c r="H14" s="136"/>
      <c r="I14" s="136"/>
      <c r="J14" s="24"/>
      <c r="K14" s="20"/>
      <c r="L14" s="20"/>
      <c r="M14" s="20"/>
      <c r="N14" s="20"/>
      <c r="O14" s="54"/>
      <c r="P14" s="54"/>
      <c r="Q14" s="54"/>
      <c r="R14" s="50"/>
      <c r="S14" s="26"/>
      <c r="T14" s="26"/>
      <c r="U14" s="26"/>
      <c r="V14" s="54"/>
      <c r="W14" s="51"/>
      <c r="X14" s="51"/>
      <c r="Y14" s="51"/>
      <c r="Z14" s="55"/>
      <c r="AA14" s="55"/>
      <c r="AB14" s="55"/>
      <c r="AC14" s="54"/>
      <c r="AD14" s="54"/>
      <c r="AE14" s="53"/>
      <c r="AF14" s="53"/>
      <c r="AG14" s="53"/>
      <c r="AH14" s="53"/>
      <c r="AI14" s="53"/>
      <c r="AJ14" s="53"/>
      <c r="AK14" s="54"/>
      <c r="AL14" s="54"/>
      <c r="AM14" s="32"/>
    </row>
    <row r="15" spans="1:39" ht="12.75" customHeight="1">
      <c r="A15" s="87"/>
      <c r="B15" s="23"/>
      <c r="C15" s="104"/>
      <c r="D15" s="22"/>
      <c r="E15" s="104"/>
      <c r="F15" s="22"/>
      <c r="G15" s="22"/>
      <c r="H15" s="216"/>
      <c r="I15" s="216"/>
      <c r="J15" s="25"/>
      <c r="K15" s="140"/>
      <c r="L15" s="138"/>
      <c r="M15" s="138"/>
      <c r="N15" s="138"/>
      <c r="O15" s="56"/>
      <c r="P15" s="56"/>
      <c r="Q15" s="54"/>
      <c r="R15" s="14"/>
      <c r="S15" s="57"/>
      <c r="T15" s="57"/>
      <c r="U15" s="57"/>
      <c r="V15" s="34"/>
      <c r="W15" s="53"/>
      <c r="X15" s="53"/>
      <c r="Y15" s="53"/>
      <c r="Z15" s="41"/>
      <c r="AA15" s="41"/>
      <c r="AB15" s="41"/>
      <c r="AC15" s="34"/>
      <c r="AD15" s="34"/>
      <c r="AE15" s="53"/>
      <c r="AF15" s="53"/>
      <c r="AG15" s="53"/>
      <c r="AH15" s="53"/>
      <c r="AI15" s="53"/>
      <c r="AJ15" s="53"/>
      <c r="AK15" s="34"/>
      <c r="AL15" s="34"/>
      <c r="AM15" s="32"/>
    </row>
    <row r="16" spans="1:39" s="32" customFormat="1" ht="30" customHeight="1">
      <c r="A16" s="88" t="s">
        <v>18</v>
      </c>
      <c r="B16" s="23"/>
      <c r="C16" s="105">
        <v>1021107</v>
      </c>
      <c r="D16" s="22" t="s">
        <v>19</v>
      </c>
      <c r="E16" s="118">
        <f>(C16*16.38)/1000000</f>
        <v>16.725732659999998</v>
      </c>
      <c r="F16" s="22"/>
      <c r="G16" s="22"/>
      <c r="H16" s="124">
        <f>(E16*0.6*1.645)/16</f>
        <v>1.0317686334637499</v>
      </c>
      <c r="I16" s="124">
        <f>H16*SQRT($I$8)</f>
        <v>3.2627389000648734</v>
      </c>
      <c r="J16" s="22"/>
      <c r="K16" s="124">
        <f>((17.1875-20)*$C$16)/1000000</f>
        <v>-2.8718634375000001</v>
      </c>
      <c r="L16" s="124">
        <f>((17.1875-20)*$C$16)/1000000</f>
        <v>-2.8718634375000001</v>
      </c>
      <c r="M16" s="124">
        <f>((17.1875-20)*$C$16)/1000000</f>
        <v>-2.8718634375000001</v>
      </c>
      <c r="N16" s="124">
        <f>((17.1875-20)*$C$16)/1000000</f>
        <v>-2.8718634375000001</v>
      </c>
      <c r="O16" s="56"/>
      <c r="P16" s="56"/>
      <c r="Q16" s="54"/>
      <c r="R16" s="50"/>
      <c r="S16" s="26"/>
      <c r="T16" s="26"/>
      <c r="U16" s="26"/>
      <c r="V16" s="35"/>
      <c r="W16" s="51"/>
      <c r="X16" s="51"/>
      <c r="Y16" s="51"/>
      <c r="Z16" s="52"/>
      <c r="AA16" s="52"/>
      <c r="AB16" s="52"/>
      <c r="AC16" s="35"/>
      <c r="AD16" s="35"/>
      <c r="AE16" s="53"/>
      <c r="AF16" s="53"/>
      <c r="AG16" s="53"/>
      <c r="AH16" s="53"/>
      <c r="AI16" s="53"/>
      <c r="AJ16" s="53"/>
      <c r="AK16" s="35"/>
      <c r="AL16" s="35"/>
    </row>
    <row r="17" spans="1:41" s="32" customFormat="1" ht="30" customHeight="1">
      <c r="A17" s="88" t="s">
        <v>99</v>
      </c>
      <c r="B17" s="23"/>
      <c r="C17" s="105">
        <v>1092426</v>
      </c>
      <c r="D17" s="22" t="s">
        <v>19</v>
      </c>
      <c r="E17" s="118">
        <f>(C17*8.28)/1000000</f>
        <v>9.0452872800000002</v>
      </c>
      <c r="F17" s="22"/>
      <c r="G17" s="22"/>
      <c r="H17" s="124">
        <f>(E17*1.06*1.645)/16</f>
        <v>0.98576671438350005</v>
      </c>
      <c r="I17" s="124">
        <f>H17*SQRT($I$8)</f>
        <v>3.1172680590325257</v>
      </c>
      <c r="J17" s="22"/>
      <c r="K17" s="124">
        <f>((14.875-23.25)*$C$17)/1000000</f>
        <v>-9.1490677500000004</v>
      </c>
      <c r="L17" s="124">
        <f>((14.875-23.25)*$C$17)/1000000</f>
        <v>-9.1490677500000004</v>
      </c>
      <c r="M17" s="124">
        <f>((14.875-23.25)*$C$17)/1000000</f>
        <v>-9.1490677500000004</v>
      </c>
      <c r="N17" s="124">
        <f>((14.875-23.25)*$C$17)/1000000</f>
        <v>-9.1490677500000004</v>
      </c>
      <c r="O17" s="56"/>
      <c r="P17" s="56"/>
      <c r="Q17" s="54"/>
      <c r="R17" s="50"/>
      <c r="S17" s="26"/>
      <c r="T17" s="26"/>
      <c r="U17" s="26"/>
      <c r="V17" s="35"/>
      <c r="W17" s="51"/>
      <c r="X17" s="51"/>
      <c r="Y17" s="51"/>
      <c r="Z17" s="52"/>
      <c r="AA17" s="52"/>
      <c r="AB17" s="52"/>
      <c r="AC17" s="35"/>
      <c r="AD17" s="35"/>
      <c r="AE17" s="53"/>
      <c r="AF17" s="53"/>
      <c r="AG17" s="53"/>
      <c r="AH17" s="53"/>
      <c r="AI17" s="53"/>
      <c r="AJ17" s="53"/>
      <c r="AK17" s="35"/>
      <c r="AL17" s="35"/>
    </row>
    <row r="18" spans="1:41" s="32" customFormat="1" ht="30" customHeight="1">
      <c r="A18" s="88" t="s">
        <v>46</v>
      </c>
      <c r="B18" s="23"/>
      <c r="C18" s="105">
        <v>4181754</v>
      </c>
      <c r="D18" s="22" t="s">
        <v>19</v>
      </c>
      <c r="E18" s="118">
        <f>(C18*31.56)/1000000</f>
        <v>131.97615623999999</v>
      </c>
      <c r="F18" s="22"/>
      <c r="G18" s="22"/>
      <c r="H18" s="124">
        <f>(E18*0.55*1.645)/16</f>
        <v>7.4628392098837502</v>
      </c>
      <c r="I18" s="124">
        <f>H18*SQRT($I$8)</f>
        <v>23.599569714844023</v>
      </c>
      <c r="J18" s="22"/>
      <c r="K18" s="124">
        <f>((32.53-41.75)*$C$18)/1000000</f>
        <v>-38.555771879999995</v>
      </c>
      <c r="L18" s="124">
        <f>((32.53-41.75)*$C$18)/1000000</f>
        <v>-38.555771879999995</v>
      </c>
      <c r="M18" s="124">
        <f>((32.53-41.75)*$C$18)/1000000</f>
        <v>-38.555771879999995</v>
      </c>
      <c r="N18" s="124">
        <f>((32.53-41.75)*$C$18)/1000000</f>
        <v>-38.555771879999995</v>
      </c>
      <c r="O18" s="56"/>
      <c r="P18" s="56"/>
      <c r="Q18" s="54"/>
      <c r="R18" s="50"/>
      <c r="S18" s="26"/>
      <c r="T18" s="26"/>
      <c r="U18" s="26"/>
      <c r="V18" s="35"/>
      <c r="W18" s="51"/>
      <c r="X18" s="51"/>
      <c r="Y18" s="51"/>
      <c r="Z18" s="52"/>
      <c r="AA18" s="52"/>
      <c r="AB18" s="52"/>
      <c r="AC18" s="35"/>
      <c r="AD18" s="35"/>
      <c r="AE18" s="53"/>
      <c r="AF18" s="53"/>
      <c r="AG18" s="53"/>
      <c r="AH18" s="53"/>
      <c r="AI18" s="53"/>
      <c r="AJ18" s="53"/>
      <c r="AK18" s="35"/>
      <c r="AL18" s="35"/>
    </row>
    <row r="19" spans="1:41" s="32" customFormat="1" ht="30" customHeight="1">
      <c r="A19" s="88" t="s">
        <v>22</v>
      </c>
      <c r="B19" s="23"/>
      <c r="C19" s="105"/>
      <c r="D19" s="22" t="s">
        <v>19</v>
      </c>
      <c r="E19" s="118"/>
      <c r="F19" s="22"/>
      <c r="G19" s="22"/>
      <c r="H19" s="124"/>
      <c r="I19" s="124"/>
      <c r="J19" s="22"/>
      <c r="K19" s="124"/>
      <c r="L19" s="124"/>
      <c r="M19" s="124"/>
      <c r="N19" s="124"/>
      <c r="O19" s="56"/>
      <c r="P19" s="56"/>
      <c r="Q19" s="54"/>
      <c r="R19" s="50"/>
      <c r="S19" s="26"/>
      <c r="T19" s="26"/>
      <c r="U19" s="26"/>
      <c r="V19" s="35"/>
      <c r="W19" s="51"/>
      <c r="X19" s="51"/>
      <c r="Y19" s="51"/>
      <c r="Z19" s="52"/>
      <c r="AA19" s="52"/>
      <c r="AB19" s="52"/>
      <c r="AC19" s="35"/>
      <c r="AD19" s="35"/>
      <c r="AE19" s="53"/>
      <c r="AF19" s="53"/>
      <c r="AG19" s="53"/>
      <c r="AH19" s="53"/>
      <c r="AI19" s="53"/>
      <c r="AJ19" s="53"/>
      <c r="AK19" s="35"/>
      <c r="AL19" s="35"/>
    </row>
    <row r="20" spans="1:41" ht="26.25">
      <c r="A20" s="92"/>
      <c r="B20" s="23"/>
      <c r="C20" s="96"/>
      <c r="D20" s="27"/>
      <c r="E20" s="96"/>
      <c r="F20" s="21"/>
      <c r="G20" s="21"/>
      <c r="H20" s="217"/>
      <c r="I20" s="217"/>
      <c r="J20" s="21"/>
      <c r="K20" s="29"/>
      <c r="L20" s="29"/>
      <c r="M20" s="29"/>
      <c r="N20" s="29"/>
      <c r="O20" s="56"/>
      <c r="P20" s="56"/>
      <c r="Q20" s="54"/>
      <c r="R20" s="34"/>
      <c r="S20" s="34"/>
      <c r="T20" s="34"/>
      <c r="U20" s="34"/>
      <c r="V20" s="34"/>
      <c r="W20" s="53"/>
      <c r="X20" s="53"/>
      <c r="Y20" s="53"/>
      <c r="Z20" s="34"/>
      <c r="AA20" s="34"/>
      <c r="AB20" s="34"/>
      <c r="AC20" s="34"/>
      <c r="AD20" s="34"/>
      <c r="AE20" s="53"/>
      <c r="AF20" s="53"/>
      <c r="AG20" s="53"/>
      <c r="AH20" s="53"/>
      <c r="AI20" s="53"/>
      <c r="AJ20" s="53"/>
      <c r="AK20" s="35"/>
      <c r="AL20" s="34"/>
      <c r="AM20" s="32"/>
    </row>
    <row r="21" spans="1:41" s="32" customFormat="1" ht="30" customHeight="1">
      <c r="A21" s="85" t="s">
        <v>15</v>
      </c>
      <c r="B21" s="23"/>
      <c r="C21" s="101"/>
      <c r="D21" s="22"/>
      <c r="E21" s="30">
        <f>E25</f>
        <v>-993.29160105000005</v>
      </c>
      <c r="F21" s="68"/>
      <c r="G21" s="68"/>
      <c r="H21" s="30">
        <f>H25</f>
        <v>172</v>
      </c>
      <c r="I21" s="30">
        <f>H21*SQRT($I$8)</f>
        <v>543.9117575489613</v>
      </c>
      <c r="J21" s="22"/>
      <c r="K21" s="30">
        <f>K25</f>
        <v>1113.7961220750001</v>
      </c>
      <c r="L21" s="30">
        <f>L25</f>
        <v>1113.7961220750001</v>
      </c>
      <c r="M21" s="30">
        <f>M25</f>
        <v>222.20197807499983</v>
      </c>
      <c r="N21" s="30"/>
      <c r="O21" s="54"/>
      <c r="P21" s="54"/>
      <c r="Q21" s="54"/>
      <c r="R21" s="50"/>
      <c r="S21" s="26"/>
      <c r="T21" s="26"/>
      <c r="U21" s="26"/>
      <c r="V21" s="35"/>
      <c r="W21" s="51"/>
      <c r="X21" s="51"/>
      <c r="Y21" s="51"/>
      <c r="Z21" s="52"/>
      <c r="AA21" s="52"/>
      <c r="AB21" s="52"/>
      <c r="AC21" s="35"/>
      <c r="AD21" s="35"/>
      <c r="AE21" s="53"/>
      <c r="AF21" s="53"/>
      <c r="AG21" s="53"/>
      <c r="AH21" s="53"/>
      <c r="AI21" s="53"/>
      <c r="AJ21" s="53"/>
      <c r="AK21" s="35"/>
      <c r="AL21" s="35"/>
    </row>
    <row r="22" spans="1:41" s="46" customFormat="1" ht="26.25" hidden="1">
      <c r="A22" s="86" t="s">
        <v>5</v>
      </c>
      <c r="B22" s="23"/>
      <c r="C22" s="102"/>
      <c r="D22" s="81"/>
      <c r="E22" s="103"/>
      <c r="F22" s="22"/>
      <c r="G22" s="22"/>
      <c r="H22" s="136"/>
      <c r="I22" s="136"/>
      <c r="J22" s="69"/>
      <c r="K22" s="20"/>
      <c r="L22" s="20"/>
      <c r="M22" s="20"/>
      <c r="N22" s="20"/>
      <c r="O22" s="56"/>
      <c r="P22" s="56"/>
      <c r="Q22" s="54"/>
      <c r="R22" s="50"/>
      <c r="S22" s="26"/>
      <c r="T22" s="26"/>
      <c r="U22" s="26"/>
      <c r="V22" s="47"/>
      <c r="W22" s="51"/>
      <c r="X22" s="51"/>
      <c r="Y22" s="51"/>
      <c r="Z22" s="48"/>
      <c r="AA22" s="48"/>
      <c r="AB22" s="48"/>
      <c r="AC22" s="47"/>
      <c r="AD22" s="47"/>
      <c r="AE22" s="53"/>
      <c r="AF22" s="53"/>
      <c r="AG22" s="53"/>
      <c r="AH22" s="53"/>
      <c r="AI22" s="53"/>
      <c r="AJ22" s="53"/>
      <c r="AK22" s="47"/>
      <c r="AL22" s="47"/>
      <c r="AM22" s="32"/>
    </row>
    <row r="23" spans="1:41" s="56" customFormat="1" ht="26.25" hidden="1">
      <c r="A23" s="86" t="s">
        <v>6</v>
      </c>
      <c r="B23" s="23"/>
      <c r="C23" s="103"/>
      <c r="D23" s="22"/>
      <c r="E23" s="103"/>
      <c r="F23" s="22"/>
      <c r="G23" s="22"/>
      <c r="H23" s="136"/>
      <c r="I23" s="136"/>
      <c r="J23" s="24"/>
      <c r="K23" s="20"/>
      <c r="L23" s="20"/>
      <c r="M23" s="20"/>
      <c r="N23" s="20"/>
      <c r="O23" s="54"/>
      <c r="P23" s="54"/>
      <c r="Q23" s="54"/>
      <c r="R23" s="50"/>
      <c r="S23" s="26"/>
      <c r="T23" s="26"/>
      <c r="U23" s="26"/>
      <c r="V23" s="54"/>
      <c r="W23" s="51"/>
      <c r="X23" s="51"/>
      <c r="Y23" s="51"/>
      <c r="Z23" s="55"/>
      <c r="AA23" s="55"/>
      <c r="AB23" s="55"/>
      <c r="AC23" s="54"/>
      <c r="AD23" s="54"/>
      <c r="AE23" s="53"/>
      <c r="AF23" s="53"/>
      <c r="AG23" s="53"/>
      <c r="AH23" s="53"/>
      <c r="AI23" s="53"/>
      <c r="AJ23" s="53"/>
      <c r="AK23" s="54"/>
      <c r="AL23" s="54"/>
      <c r="AM23" s="32"/>
    </row>
    <row r="24" spans="1:41" ht="12.75" customHeight="1">
      <c r="A24" s="87"/>
      <c r="B24" s="23"/>
      <c r="C24" s="104"/>
      <c r="D24" s="22"/>
      <c r="E24" s="104"/>
      <c r="F24" s="22"/>
      <c r="G24" s="22"/>
      <c r="H24" s="216"/>
      <c r="I24" s="216"/>
      <c r="J24" s="25"/>
      <c r="K24" s="140"/>
      <c r="L24" s="138"/>
      <c r="M24" s="138"/>
      <c r="N24" s="138"/>
      <c r="O24" s="56"/>
      <c r="P24" s="56"/>
      <c r="Q24" s="54"/>
      <c r="R24" s="14"/>
      <c r="S24" s="57"/>
      <c r="T24" s="57"/>
      <c r="U24" s="57"/>
      <c r="V24" s="34"/>
      <c r="W24" s="53"/>
      <c r="X24" s="53"/>
      <c r="Y24" s="53"/>
      <c r="Z24" s="41"/>
      <c r="AA24" s="41"/>
      <c r="AB24" s="41"/>
      <c r="AC24" s="34"/>
      <c r="AD24" s="34"/>
      <c r="AE24" s="53"/>
      <c r="AF24" s="53"/>
      <c r="AG24" s="53"/>
      <c r="AH24" s="53"/>
      <c r="AI24" s="53"/>
      <c r="AJ24" s="53"/>
      <c r="AK24" s="34"/>
      <c r="AL24" s="34"/>
      <c r="AM24" s="32"/>
    </row>
    <row r="25" spans="1:41" s="32" customFormat="1" ht="30" customHeight="1">
      <c r="A25" s="88" t="s">
        <v>47</v>
      </c>
      <c r="B25" s="23"/>
      <c r="C25" s="105">
        <v>-46437195</v>
      </c>
      <c r="D25" s="22" t="s">
        <v>21</v>
      </c>
      <c r="E25" s="118">
        <f>((55.89-34.5)*C25)/1000000</f>
        <v>-993.29160105000005</v>
      </c>
      <c r="F25" s="22"/>
      <c r="G25" s="22"/>
      <c r="H25" s="124">
        <v>172</v>
      </c>
      <c r="I25" s="124">
        <f>H25*SQRT($I$8)</f>
        <v>543.9117575489613</v>
      </c>
      <c r="J25" s="22"/>
      <c r="K25" s="124">
        <f>((55.89-79.875)*$C$25)/1000000</f>
        <v>1113.7961220750001</v>
      </c>
      <c r="L25" s="124">
        <f>((55.89-79.875)*$C$25)/1000000</f>
        <v>1113.7961220750001</v>
      </c>
      <c r="M25" s="124">
        <f>((75.09-79.875)*$C$25)/1000000</f>
        <v>222.20197807499983</v>
      </c>
      <c r="N25" s="124"/>
      <c r="O25" s="56"/>
      <c r="P25" s="56"/>
      <c r="Q25" s="54"/>
      <c r="R25" s="50"/>
      <c r="S25" s="26"/>
      <c r="T25" s="26"/>
      <c r="U25" s="26"/>
      <c r="V25" s="35"/>
      <c r="W25" s="51"/>
      <c r="X25" s="51"/>
      <c r="Y25" s="51"/>
      <c r="Z25" s="52"/>
      <c r="AA25" s="52"/>
      <c r="AB25" s="52"/>
      <c r="AC25" s="35"/>
      <c r="AD25" s="35"/>
      <c r="AE25" s="53"/>
      <c r="AF25" s="53"/>
      <c r="AG25" s="53"/>
      <c r="AH25" s="53"/>
      <c r="AI25" s="53"/>
      <c r="AJ25" s="53"/>
      <c r="AK25" s="35"/>
      <c r="AL25" s="35"/>
    </row>
    <row r="26" spans="1:41" s="56" customFormat="1" ht="26.25">
      <c r="A26" s="88" t="s">
        <v>29</v>
      </c>
      <c r="B26" s="23"/>
      <c r="C26" s="113">
        <v>-2832.8181789999994</v>
      </c>
      <c r="D26" s="84" t="s">
        <v>30</v>
      </c>
      <c r="E26" s="119"/>
      <c r="F26" s="71"/>
      <c r="G26" s="71"/>
      <c r="H26" s="129"/>
      <c r="I26" s="77"/>
      <c r="J26" s="146"/>
      <c r="K26" s="146"/>
      <c r="P26" s="54"/>
      <c r="Q26" s="50"/>
      <c r="R26" s="26"/>
      <c r="S26" s="26"/>
      <c r="T26" s="26"/>
      <c r="U26" s="54"/>
      <c r="V26" s="51"/>
      <c r="W26" s="51"/>
      <c r="X26" s="51"/>
      <c r="Y26" s="55"/>
      <c r="Z26" s="55"/>
      <c r="AA26" s="55"/>
      <c r="AB26" s="54"/>
      <c r="AC26" s="54"/>
      <c r="AD26" s="53"/>
      <c r="AE26" s="53"/>
      <c r="AF26" s="53"/>
      <c r="AG26" s="53"/>
      <c r="AH26" s="53"/>
      <c r="AI26" s="53"/>
      <c r="AJ26" s="35"/>
      <c r="AK26" s="54"/>
      <c r="AL26" s="32"/>
    </row>
    <row r="27" spans="1:41" s="34" customFormat="1" ht="26.25">
      <c r="A27" s="94"/>
      <c r="B27" s="27"/>
      <c r="C27" s="111"/>
      <c r="D27" s="81"/>
      <c r="E27" s="104"/>
      <c r="F27" s="22"/>
      <c r="G27" s="22"/>
      <c r="H27" s="128"/>
      <c r="I27" s="22"/>
      <c r="J27" s="99"/>
      <c r="K27" s="99"/>
      <c r="L27" s="56"/>
      <c r="M27" s="56"/>
      <c r="N27" s="54"/>
      <c r="O27" s="54"/>
      <c r="P27" s="54"/>
      <c r="Q27" s="26"/>
      <c r="V27" s="53"/>
      <c r="W27" s="53"/>
      <c r="X27" s="53"/>
      <c r="AD27" s="53"/>
      <c r="AE27" s="53"/>
      <c r="AF27" s="53"/>
      <c r="AG27" s="53"/>
      <c r="AH27" s="53"/>
      <c r="AI27" s="53"/>
      <c r="AL27" s="32"/>
    </row>
    <row r="28" spans="1:41" ht="26.25" customHeight="1">
      <c r="A28" s="95"/>
      <c r="B28" s="83"/>
      <c r="D28" s="83"/>
      <c r="E28" s="83"/>
      <c r="F28" s="21"/>
      <c r="G28" s="21"/>
      <c r="H28" s="21"/>
      <c r="I28" s="21"/>
      <c r="J28" s="78"/>
      <c r="K28" s="78"/>
      <c r="L28" s="78"/>
      <c r="M28" s="56"/>
      <c r="N28" s="56"/>
      <c r="O28" s="56"/>
      <c r="P28" s="54"/>
      <c r="Q28" s="34"/>
      <c r="R28" s="34"/>
      <c r="S28" s="34"/>
      <c r="T28" s="34"/>
      <c r="U28" s="34"/>
      <c r="V28" s="34"/>
      <c r="W28" s="34"/>
      <c r="X28" s="54"/>
      <c r="Y28" s="34"/>
      <c r="Z28" s="34"/>
      <c r="AA28" s="34"/>
      <c r="AB28" s="34"/>
      <c r="AC28" s="34"/>
      <c r="AD28" s="34"/>
      <c r="AE28" s="34"/>
      <c r="AF28" s="34"/>
      <c r="AG28" s="53"/>
      <c r="AH28" s="53"/>
      <c r="AI28" s="53"/>
      <c r="AJ28" s="53"/>
      <c r="AK28" s="53"/>
      <c r="AL28" s="67"/>
      <c r="AO28" s="32"/>
    </row>
    <row r="29" spans="1:41" ht="23.25">
      <c r="A29" s="96"/>
      <c r="B29" s="23"/>
      <c r="C29" s="23"/>
      <c r="D29" s="23"/>
      <c r="E29" s="23"/>
      <c r="F29" s="21"/>
      <c r="G29" s="21"/>
      <c r="H29" s="21"/>
      <c r="I29" s="21"/>
      <c r="J29" s="78"/>
      <c r="K29" s="78"/>
      <c r="L29" s="78"/>
      <c r="M29" s="56"/>
      <c r="N29" s="56"/>
      <c r="O29" s="56"/>
      <c r="P29" s="56"/>
    </row>
    <row r="30" spans="1:41" ht="23.25">
      <c r="A30" s="96"/>
      <c r="B30" s="23"/>
      <c r="C30" s="23"/>
      <c r="D30" s="23"/>
      <c r="E30" s="23"/>
      <c r="F30" s="21"/>
      <c r="G30" s="21"/>
      <c r="H30" s="21"/>
      <c r="I30" s="21"/>
      <c r="J30" s="78"/>
      <c r="K30" s="78"/>
      <c r="L30" s="78"/>
      <c r="M30" s="56"/>
      <c r="N30" s="56"/>
      <c r="O30" s="56"/>
      <c r="P30" s="56"/>
    </row>
    <row r="31" spans="1:41" ht="20.25">
      <c r="A31" s="23"/>
      <c r="B31" s="23"/>
      <c r="C31" s="23"/>
      <c r="D31" s="23"/>
      <c r="E31" s="23"/>
      <c r="F31" s="21"/>
      <c r="G31" s="21"/>
      <c r="H31" s="21"/>
      <c r="I31" s="21"/>
      <c r="J31" s="78"/>
      <c r="K31" s="78"/>
      <c r="L31" s="78"/>
      <c r="M31" s="56"/>
      <c r="N31" s="56"/>
      <c r="O31" s="56"/>
      <c r="P31" s="56"/>
    </row>
    <row r="32" spans="1:41" ht="20.25">
      <c r="A32" s="23"/>
      <c r="B32" s="23"/>
      <c r="C32" s="23"/>
      <c r="D32" s="23"/>
      <c r="E32" s="23"/>
      <c r="F32" s="21"/>
      <c r="G32" s="21"/>
      <c r="H32" s="21"/>
      <c r="I32" s="21"/>
      <c r="J32" s="78"/>
      <c r="K32" s="78"/>
      <c r="L32" s="78"/>
      <c r="M32" s="56"/>
      <c r="N32" s="56"/>
      <c r="O32" s="56"/>
      <c r="P32" s="56"/>
    </row>
    <row r="33" spans="1:16" ht="20.25">
      <c r="A33" s="23"/>
      <c r="B33" s="23"/>
      <c r="C33" s="23"/>
      <c r="D33" s="23"/>
      <c r="E33" s="23"/>
      <c r="F33" s="21"/>
      <c r="G33" s="21"/>
      <c r="H33" s="21"/>
      <c r="I33" s="21"/>
      <c r="J33" s="78"/>
      <c r="K33" s="78"/>
      <c r="L33" s="78"/>
      <c r="M33" s="56"/>
      <c r="N33" s="56"/>
      <c r="O33" s="56"/>
      <c r="P33" s="56"/>
    </row>
    <row r="34" spans="1:16" ht="20.25">
      <c r="A34" s="23"/>
      <c r="B34" s="23"/>
      <c r="C34" s="23"/>
      <c r="D34" s="23"/>
      <c r="E34" s="23"/>
      <c r="F34" s="21"/>
      <c r="G34" s="21"/>
      <c r="H34" s="21"/>
      <c r="I34" s="21"/>
      <c r="J34" s="78"/>
      <c r="K34" s="212">
        <v>37080</v>
      </c>
      <c r="L34" s="78"/>
      <c r="M34" s="56"/>
      <c r="N34" s="56"/>
      <c r="O34" s="56"/>
      <c r="P34" s="56"/>
    </row>
    <row r="35" spans="1:16" ht="20.25">
      <c r="A35" s="23"/>
      <c r="B35" s="23"/>
      <c r="C35" s="23"/>
      <c r="D35" s="23"/>
      <c r="E35" s="23"/>
      <c r="F35" s="21"/>
      <c r="G35" s="21"/>
      <c r="H35" s="21"/>
      <c r="I35" s="21"/>
      <c r="J35" s="78"/>
      <c r="K35" s="78"/>
      <c r="L35" s="78"/>
      <c r="M35" s="56"/>
      <c r="N35" s="56"/>
      <c r="O35" s="56"/>
      <c r="P35" s="56"/>
    </row>
    <row r="36" spans="1:16" ht="20.25">
      <c r="A36" s="23"/>
      <c r="B36" s="23"/>
      <c r="C36" s="23"/>
      <c r="D36" s="23"/>
      <c r="E36" s="23"/>
      <c r="F36" s="21"/>
      <c r="G36" s="21"/>
      <c r="H36" s="21"/>
      <c r="I36" s="21"/>
      <c r="J36" s="211"/>
      <c r="K36" s="78"/>
      <c r="L36" s="78"/>
      <c r="M36" s="56"/>
      <c r="N36" s="56"/>
      <c r="O36" s="56"/>
      <c r="P36" s="56"/>
    </row>
    <row r="37" spans="1:16" ht="20.25">
      <c r="A37" s="23"/>
      <c r="B37" s="23"/>
      <c r="C37" s="23"/>
      <c r="D37" s="23"/>
      <c r="E37" s="23"/>
      <c r="F37" s="21"/>
      <c r="G37" s="21"/>
      <c r="H37" s="21"/>
      <c r="I37" s="21"/>
      <c r="J37" s="78"/>
      <c r="K37" s="78"/>
      <c r="L37" s="78"/>
      <c r="M37" s="56"/>
      <c r="N37" s="56"/>
      <c r="O37" s="56"/>
      <c r="P37" s="56"/>
    </row>
    <row r="38" spans="1:16" ht="20.25">
      <c r="A38" s="23"/>
      <c r="B38" s="23"/>
      <c r="C38" s="23"/>
      <c r="D38" s="23"/>
      <c r="E38" s="23"/>
      <c r="F38" s="21"/>
      <c r="G38" s="21"/>
      <c r="H38" s="21"/>
      <c r="I38" s="21"/>
      <c r="J38" s="78"/>
      <c r="K38" s="78"/>
      <c r="L38" s="78"/>
      <c r="M38" s="56"/>
      <c r="N38" s="56"/>
      <c r="O38" s="56"/>
      <c r="P38" s="56"/>
    </row>
    <row r="39" spans="1:16" ht="20.25">
      <c r="A39" s="23"/>
      <c r="B39" s="23"/>
      <c r="C39" s="23"/>
      <c r="D39" s="23"/>
      <c r="E39" s="23"/>
      <c r="F39" s="21"/>
      <c r="G39" s="21"/>
      <c r="H39" s="21"/>
      <c r="I39" s="21"/>
      <c r="J39" s="78"/>
      <c r="K39" s="78"/>
      <c r="L39" s="78"/>
      <c r="M39" s="56"/>
      <c r="N39" s="56"/>
      <c r="O39" s="56"/>
      <c r="P39" s="56"/>
    </row>
    <row r="40" spans="1:16" ht="20.25">
      <c r="A40" s="23"/>
      <c r="B40" s="23"/>
      <c r="C40" s="23"/>
      <c r="D40" s="23"/>
      <c r="E40" s="23"/>
      <c r="F40" s="21"/>
      <c r="G40" s="21"/>
      <c r="H40" s="21"/>
      <c r="I40" s="21"/>
      <c r="J40" s="78"/>
      <c r="K40" s="78"/>
      <c r="L40" s="78"/>
      <c r="M40" s="56"/>
      <c r="N40" s="56"/>
      <c r="O40" s="56"/>
      <c r="P40" s="56"/>
    </row>
    <row r="41" spans="1:16" ht="20.25">
      <c r="A41" s="23"/>
      <c r="B41" s="23"/>
      <c r="C41" s="23"/>
      <c r="D41" s="23"/>
      <c r="E41" s="23"/>
      <c r="F41" s="21"/>
      <c r="G41" s="21"/>
      <c r="H41" s="21"/>
      <c r="I41" s="21"/>
      <c r="J41" s="78"/>
      <c r="K41" s="78"/>
      <c r="L41" s="78"/>
      <c r="M41" s="56"/>
      <c r="N41" s="56"/>
      <c r="O41" s="56"/>
      <c r="P41" s="56"/>
    </row>
    <row r="42" spans="1:16" ht="20.25">
      <c r="A42" s="23"/>
      <c r="B42" s="23"/>
      <c r="C42" s="23"/>
      <c r="D42" s="23"/>
      <c r="E42" s="23"/>
      <c r="F42" s="21"/>
      <c r="G42" s="21"/>
      <c r="H42" s="21"/>
      <c r="I42" s="21"/>
      <c r="J42" s="78"/>
      <c r="K42" s="78"/>
      <c r="L42" s="78"/>
      <c r="M42" s="56"/>
      <c r="N42" s="56"/>
      <c r="O42" s="56"/>
      <c r="P42" s="56"/>
    </row>
    <row r="43" spans="1:16" ht="20.25">
      <c r="A43" s="23"/>
      <c r="B43" s="23"/>
      <c r="C43" s="23"/>
      <c r="D43" s="23"/>
      <c r="E43" s="23"/>
      <c r="F43" s="21"/>
      <c r="G43" s="21"/>
      <c r="H43" s="21"/>
      <c r="I43" s="21"/>
      <c r="J43" s="78"/>
      <c r="K43" s="78"/>
      <c r="L43" s="78"/>
      <c r="M43" s="56"/>
      <c r="N43" s="56"/>
      <c r="O43" s="56"/>
      <c r="P43" s="56"/>
    </row>
    <row r="44" spans="1:16" ht="20.25">
      <c r="A44" s="23"/>
      <c r="B44" s="23"/>
      <c r="C44" s="23"/>
      <c r="D44" s="23"/>
      <c r="E44" s="23"/>
      <c r="F44" s="21"/>
      <c r="G44" s="21"/>
      <c r="H44" s="21"/>
      <c r="I44" s="21"/>
      <c r="J44" s="78"/>
      <c r="K44" s="78"/>
      <c r="L44" s="78"/>
      <c r="M44" s="56"/>
      <c r="N44" s="56"/>
      <c r="O44" s="56"/>
      <c r="P44" s="56"/>
    </row>
    <row r="45" spans="1:16" ht="20.25">
      <c r="A45" s="23"/>
      <c r="B45" s="23"/>
      <c r="C45" s="23"/>
      <c r="D45" s="23"/>
      <c r="E45" s="23"/>
      <c r="F45" s="21"/>
      <c r="G45" s="21"/>
      <c r="H45" s="21"/>
      <c r="I45" s="21"/>
      <c r="J45" s="78"/>
      <c r="K45" s="78"/>
      <c r="L45" s="78"/>
      <c r="M45" s="56"/>
      <c r="N45" s="56"/>
      <c r="O45" s="56"/>
      <c r="P45" s="56"/>
    </row>
    <row r="46" spans="1:16" ht="20.25">
      <c r="A46" s="23"/>
      <c r="B46" s="23"/>
      <c r="C46" s="23"/>
      <c r="D46" s="23"/>
      <c r="E46" s="23"/>
      <c r="F46" s="21"/>
      <c r="G46" s="21"/>
      <c r="H46" s="21"/>
      <c r="I46" s="21"/>
      <c r="J46" s="78"/>
      <c r="K46" s="78"/>
      <c r="L46" s="78"/>
      <c r="M46" s="56"/>
      <c r="N46" s="56"/>
      <c r="O46" s="56"/>
      <c r="P46" s="56"/>
    </row>
    <row r="47" spans="1:16" ht="20.25">
      <c r="A47" s="23"/>
      <c r="B47" s="23"/>
      <c r="C47" s="23"/>
      <c r="D47" s="23"/>
      <c r="E47" s="23"/>
      <c r="F47" s="21"/>
      <c r="G47" s="21"/>
      <c r="H47" s="21"/>
      <c r="I47" s="21"/>
      <c r="J47" s="78"/>
      <c r="K47" s="78"/>
      <c r="L47" s="78"/>
      <c r="M47" s="56"/>
      <c r="N47" s="56"/>
      <c r="O47" s="56"/>
      <c r="P47" s="56"/>
    </row>
    <row r="48" spans="1:16" ht="20.25">
      <c r="A48" s="23"/>
      <c r="B48" s="23"/>
      <c r="C48" s="23"/>
      <c r="D48" s="23"/>
      <c r="E48" s="23"/>
      <c r="F48" s="21"/>
      <c r="G48" s="21"/>
      <c r="H48" s="21"/>
      <c r="I48" s="21"/>
      <c r="J48" s="78"/>
      <c r="K48" s="78"/>
      <c r="L48" s="78"/>
      <c r="M48" s="56"/>
      <c r="N48" s="56"/>
      <c r="O48" s="56"/>
      <c r="P48" s="56"/>
    </row>
    <row r="49" spans="1:16" ht="20.25">
      <c r="A49" s="23"/>
      <c r="B49" s="23"/>
      <c r="C49" s="23"/>
      <c r="D49" s="23"/>
      <c r="E49" s="23"/>
      <c r="F49" s="21"/>
      <c r="G49" s="21"/>
      <c r="H49" s="21"/>
      <c r="I49" s="21"/>
      <c r="J49" s="78"/>
      <c r="K49" s="78"/>
      <c r="L49" s="78"/>
      <c r="M49" s="56"/>
      <c r="N49" s="56"/>
      <c r="O49" s="56"/>
      <c r="P49" s="56"/>
    </row>
    <row r="50" spans="1:16" ht="20.25">
      <c r="A50" s="23"/>
      <c r="B50" s="23"/>
      <c r="C50" s="23"/>
      <c r="D50" s="23"/>
      <c r="E50" s="23"/>
      <c r="F50" s="21"/>
      <c r="G50" s="21"/>
      <c r="H50" s="21"/>
      <c r="I50" s="21"/>
      <c r="J50" s="78"/>
      <c r="K50" s="78"/>
      <c r="L50" s="78"/>
      <c r="M50" s="56"/>
      <c r="N50" s="56"/>
      <c r="O50" s="56"/>
      <c r="P50" s="56"/>
    </row>
    <row r="51" spans="1:16" ht="20.25">
      <c r="A51" s="23"/>
      <c r="B51" s="23"/>
      <c r="C51" s="23"/>
      <c r="D51" s="23"/>
      <c r="E51" s="23"/>
      <c r="F51" s="21"/>
      <c r="G51" s="21"/>
      <c r="H51" s="21"/>
      <c r="I51" s="21"/>
      <c r="J51" s="78"/>
      <c r="K51" s="78"/>
      <c r="L51" s="78"/>
      <c r="M51" s="56"/>
      <c r="N51" s="56"/>
      <c r="O51" s="56"/>
      <c r="P51" s="56"/>
    </row>
    <row r="52" spans="1:16" ht="20.25">
      <c r="A52" s="23"/>
      <c r="B52" s="23"/>
      <c r="C52" s="23"/>
      <c r="D52" s="23"/>
      <c r="E52" s="23"/>
      <c r="F52" s="21"/>
      <c r="G52" s="21"/>
      <c r="H52" s="21"/>
      <c r="I52" s="21"/>
      <c r="J52" s="78"/>
      <c r="K52" s="78"/>
      <c r="L52" s="78"/>
      <c r="M52" s="56"/>
      <c r="N52" s="56"/>
      <c r="O52" s="56"/>
      <c r="P52" s="56"/>
    </row>
    <row r="53" spans="1:16" ht="20.25">
      <c r="A53" s="23"/>
      <c r="B53" s="23"/>
      <c r="C53" s="23"/>
      <c r="D53" s="23"/>
      <c r="E53" s="23"/>
      <c r="F53" s="21"/>
      <c r="G53" s="21"/>
      <c r="H53" s="21"/>
      <c r="I53" s="21"/>
      <c r="J53" s="78"/>
      <c r="K53" s="78"/>
      <c r="L53" s="78"/>
      <c r="M53" s="56"/>
      <c r="N53" s="56"/>
      <c r="O53" s="56"/>
      <c r="P53" s="56"/>
    </row>
    <row r="54" spans="1:16" ht="20.25">
      <c r="A54" s="23"/>
      <c r="B54" s="23"/>
      <c r="C54" s="23"/>
      <c r="D54" s="23"/>
      <c r="E54" s="23"/>
      <c r="F54" s="21"/>
      <c r="G54" s="21"/>
      <c r="H54" s="21"/>
      <c r="I54" s="21"/>
      <c r="J54" s="78"/>
      <c r="K54" s="78"/>
      <c r="L54" s="78"/>
      <c r="M54" s="56"/>
      <c r="N54" s="56"/>
      <c r="O54" s="56"/>
      <c r="P54" s="56"/>
    </row>
    <row r="55" spans="1:16" ht="20.25">
      <c r="A55" s="23"/>
      <c r="B55" s="23"/>
      <c r="C55" s="23"/>
      <c r="D55" s="23"/>
      <c r="E55" s="23"/>
      <c r="F55" s="21"/>
      <c r="G55" s="21"/>
      <c r="H55" s="21"/>
      <c r="I55" s="21"/>
      <c r="J55" s="78"/>
      <c r="K55" s="78"/>
      <c r="L55" s="78"/>
      <c r="M55" s="56"/>
      <c r="N55" s="56"/>
      <c r="O55" s="56"/>
      <c r="P55" s="56"/>
    </row>
    <row r="56" spans="1:16" ht="20.25">
      <c r="A56" s="23"/>
      <c r="B56" s="23"/>
      <c r="C56" s="23"/>
      <c r="D56" s="23"/>
      <c r="E56" s="23"/>
      <c r="F56" s="21"/>
      <c r="G56" s="21"/>
      <c r="H56" s="21"/>
      <c r="I56" s="21"/>
      <c r="J56" s="78"/>
      <c r="K56" s="78"/>
      <c r="L56" s="78"/>
      <c r="M56" s="56"/>
      <c r="N56" s="56"/>
      <c r="O56" s="56"/>
      <c r="P56" s="56"/>
    </row>
    <row r="57" spans="1:16" ht="20.25">
      <c r="A57" s="23"/>
      <c r="B57" s="23"/>
      <c r="C57" s="23"/>
      <c r="D57" s="23"/>
      <c r="E57" s="23"/>
      <c r="F57" s="21"/>
      <c r="G57" s="21"/>
      <c r="H57" s="21"/>
      <c r="I57" s="21"/>
      <c r="J57" s="78"/>
      <c r="K57" s="78"/>
      <c r="L57" s="78"/>
      <c r="M57" s="56"/>
      <c r="N57" s="56"/>
      <c r="O57" s="56"/>
      <c r="P57" s="56"/>
    </row>
    <row r="58" spans="1:16" ht="20.25">
      <c r="A58" s="23"/>
      <c r="B58" s="23"/>
      <c r="C58" s="23"/>
      <c r="D58" s="23"/>
      <c r="E58" s="23"/>
      <c r="F58" s="21"/>
      <c r="G58" s="21"/>
      <c r="H58" s="21"/>
      <c r="I58" s="21"/>
      <c r="J58" s="78"/>
      <c r="K58" s="78"/>
      <c r="L58" s="78"/>
      <c r="M58" s="56"/>
      <c r="N58" s="56"/>
      <c r="O58" s="56"/>
      <c r="P58" s="56"/>
    </row>
    <row r="59" spans="1:16" ht="20.25">
      <c r="A59" s="23"/>
      <c r="B59" s="23"/>
      <c r="C59" s="23"/>
      <c r="D59" s="23"/>
      <c r="E59" s="23"/>
      <c r="F59" s="21"/>
      <c r="G59" s="21"/>
      <c r="H59" s="21"/>
      <c r="I59" s="21"/>
      <c r="J59" s="78"/>
      <c r="K59" s="78"/>
      <c r="L59" s="78"/>
      <c r="M59" s="56"/>
      <c r="N59" s="56"/>
      <c r="O59" s="56"/>
      <c r="P59" s="56"/>
    </row>
    <row r="60" spans="1:16" ht="20.25">
      <c r="A60" s="23"/>
      <c r="B60" s="23"/>
      <c r="C60" s="23"/>
      <c r="D60" s="23"/>
      <c r="E60" s="23"/>
      <c r="F60" s="21"/>
      <c r="G60" s="21"/>
      <c r="H60" s="21"/>
      <c r="I60" s="21"/>
      <c r="J60" s="78"/>
      <c r="K60" s="78"/>
      <c r="L60" s="78"/>
      <c r="M60" s="56"/>
      <c r="N60" s="56"/>
      <c r="O60" s="56"/>
      <c r="P60" s="56"/>
    </row>
    <row r="61" spans="1:16" ht="20.25">
      <c r="A61" s="23"/>
      <c r="B61" s="23"/>
      <c r="C61" s="23"/>
      <c r="D61" s="23"/>
      <c r="E61" s="23"/>
      <c r="F61" s="21"/>
      <c r="G61" s="21"/>
      <c r="H61" s="21"/>
      <c r="I61" s="21"/>
      <c r="J61" s="78"/>
      <c r="K61" s="78"/>
      <c r="L61" s="78"/>
      <c r="M61" s="56"/>
      <c r="N61" s="56"/>
      <c r="O61" s="56"/>
      <c r="P61" s="56"/>
    </row>
    <row r="62" spans="1:16" ht="20.25">
      <c r="A62" s="23"/>
      <c r="B62" s="23"/>
      <c r="C62" s="23"/>
      <c r="D62" s="23"/>
      <c r="E62" s="23"/>
      <c r="F62" s="21"/>
      <c r="G62" s="21"/>
      <c r="H62" s="21"/>
      <c r="I62" s="21"/>
      <c r="J62" s="78"/>
      <c r="K62" s="78"/>
      <c r="L62" s="78"/>
      <c r="M62" s="56"/>
      <c r="N62" s="56"/>
      <c r="O62" s="56"/>
      <c r="P62" s="56"/>
    </row>
    <row r="63" spans="1:16" ht="20.25">
      <c r="A63" s="23"/>
      <c r="B63" s="23"/>
      <c r="C63" s="23"/>
      <c r="D63" s="23"/>
      <c r="E63" s="23"/>
      <c r="F63" s="21"/>
      <c r="G63" s="21"/>
      <c r="H63" s="21"/>
      <c r="I63" s="21"/>
      <c r="J63" s="78"/>
      <c r="K63" s="78"/>
      <c r="L63" s="78"/>
      <c r="M63" s="56"/>
      <c r="N63" s="56"/>
      <c r="O63" s="56"/>
      <c r="P63" s="56"/>
    </row>
    <row r="64" spans="1:16" ht="20.25">
      <c r="A64" s="23"/>
      <c r="B64" s="23"/>
      <c r="C64" s="23"/>
      <c r="D64" s="23"/>
      <c r="E64" s="23"/>
      <c r="F64" s="21"/>
      <c r="G64" s="21"/>
      <c r="H64" s="21"/>
      <c r="I64" s="21"/>
      <c r="J64" s="78"/>
      <c r="K64" s="78"/>
      <c r="L64" s="78"/>
      <c r="M64" s="56"/>
      <c r="N64" s="56"/>
      <c r="O64" s="56"/>
      <c r="P64" s="56"/>
    </row>
    <row r="65" spans="1:16" ht="20.25">
      <c r="A65" s="23"/>
      <c r="B65" s="23"/>
      <c r="C65" s="23"/>
      <c r="D65" s="23"/>
      <c r="E65" s="23"/>
      <c r="F65" s="21"/>
      <c r="G65" s="21"/>
      <c r="H65" s="21"/>
      <c r="I65" s="21"/>
      <c r="J65" s="78"/>
      <c r="K65" s="78"/>
      <c r="L65" s="78"/>
      <c r="M65" s="56"/>
      <c r="N65" s="56"/>
      <c r="O65" s="56"/>
      <c r="P65" s="56"/>
    </row>
    <row r="66" spans="1:16" ht="20.25">
      <c r="A66" s="23"/>
      <c r="B66" s="23"/>
      <c r="C66" s="23"/>
      <c r="D66" s="23"/>
      <c r="E66" s="23"/>
      <c r="F66" s="21"/>
      <c r="G66" s="21"/>
      <c r="H66" s="21"/>
      <c r="I66" s="21"/>
      <c r="J66" s="78"/>
      <c r="K66" s="78"/>
      <c r="L66" s="78"/>
      <c r="M66" s="56"/>
      <c r="N66" s="56"/>
      <c r="O66" s="56"/>
      <c r="P66" s="56"/>
    </row>
    <row r="67" spans="1:16" ht="20.25">
      <c r="A67" s="23"/>
      <c r="B67" s="23"/>
      <c r="C67" s="23"/>
      <c r="D67" s="23"/>
      <c r="E67" s="23"/>
      <c r="F67" s="21"/>
      <c r="G67" s="21"/>
      <c r="H67" s="21"/>
      <c r="I67" s="21"/>
      <c r="J67" s="78"/>
      <c r="K67" s="78"/>
      <c r="L67" s="78"/>
      <c r="M67" s="56"/>
      <c r="N67" s="56"/>
      <c r="O67" s="56"/>
      <c r="P67" s="56"/>
    </row>
    <row r="68" spans="1:16" ht="20.25">
      <c r="A68" s="23"/>
      <c r="B68" s="23"/>
      <c r="C68" s="23"/>
      <c r="D68" s="23"/>
      <c r="E68" s="23"/>
      <c r="F68" s="21"/>
      <c r="G68" s="21"/>
      <c r="H68" s="21"/>
      <c r="I68" s="21"/>
      <c r="J68" s="78"/>
      <c r="K68" s="78"/>
      <c r="L68" s="78"/>
      <c r="M68" s="56"/>
      <c r="N68" s="56"/>
      <c r="O68" s="56"/>
      <c r="P68" s="56"/>
    </row>
    <row r="69" spans="1:16" ht="20.25">
      <c r="A69" s="23"/>
      <c r="B69" s="23"/>
      <c r="C69" s="23"/>
      <c r="D69" s="23"/>
      <c r="E69" s="23"/>
      <c r="F69" s="21"/>
      <c r="G69" s="21"/>
      <c r="H69" s="21"/>
      <c r="I69" s="21"/>
      <c r="J69" s="78"/>
      <c r="K69" s="78"/>
      <c r="L69" s="78"/>
      <c r="M69" s="56"/>
      <c r="N69" s="56"/>
      <c r="O69" s="56"/>
      <c r="P69" s="56"/>
    </row>
    <row r="70" spans="1:16" ht="20.25">
      <c r="A70" s="23"/>
      <c r="B70" s="23"/>
      <c r="C70" s="23"/>
      <c r="D70" s="23"/>
      <c r="E70" s="23"/>
      <c r="F70" s="21"/>
      <c r="G70" s="21"/>
      <c r="H70" s="21"/>
      <c r="I70" s="21"/>
      <c r="J70" s="78"/>
      <c r="K70" s="78"/>
      <c r="L70" s="78"/>
      <c r="M70" s="56"/>
      <c r="N70" s="56"/>
      <c r="O70" s="56"/>
      <c r="P70" s="56"/>
    </row>
    <row r="71" spans="1:16" ht="20.25">
      <c r="A71" s="23"/>
      <c r="B71" s="23"/>
      <c r="C71" s="23"/>
      <c r="D71" s="23"/>
      <c r="E71" s="23"/>
      <c r="F71" s="21"/>
      <c r="G71" s="21"/>
      <c r="H71" s="21"/>
      <c r="I71" s="21"/>
      <c r="J71" s="78"/>
      <c r="K71" s="78"/>
      <c r="L71" s="78"/>
      <c r="M71" s="56"/>
      <c r="N71" s="56"/>
      <c r="O71" s="56"/>
      <c r="P71" s="56"/>
    </row>
    <row r="72" spans="1:16" ht="20.25">
      <c r="A72" s="23"/>
      <c r="B72" s="23"/>
      <c r="C72" s="23"/>
      <c r="D72" s="23"/>
      <c r="E72" s="23"/>
      <c r="F72" s="21"/>
      <c r="G72" s="21"/>
      <c r="H72" s="21"/>
      <c r="I72" s="21"/>
      <c r="J72" s="78"/>
      <c r="K72" s="78"/>
      <c r="L72" s="78"/>
      <c r="M72" s="56"/>
      <c r="N72" s="56"/>
      <c r="O72" s="56"/>
      <c r="P72" s="56"/>
    </row>
    <row r="73" spans="1:16" ht="20.25">
      <c r="A73" s="23"/>
      <c r="B73" s="23"/>
      <c r="C73" s="23"/>
      <c r="D73" s="23"/>
      <c r="E73" s="23"/>
      <c r="F73" s="21"/>
      <c r="G73" s="21"/>
      <c r="H73" s="21"/>
      <c r="I73" s="21"/>
      <c r="J73" s="78"/>
      <c r="K73" s="78"/>
      <c r="L73" s="78"/>
      <c r="M73" s="56"/>
      <c r="N73" s="56"/>
      <c r="O73" s="56"/>
      <c r="P73" s="56"/>
    </row>
    <row r="74" spans="1:16" ht="20.25">
      <c r="A74" s="23"/>
      <c r="B74" s="23"/>
      <c r="C74" s="23"/>
      <c r="D74" s="23"/>
      <c r="E74" s="23"/>
      <c r="F74" s="21"/>
      <c r="G74" s="21"/>
      <c r="H74" s="21"/>
      <c r="I74" s="21"/>
      <c r="J74" s="78"/>
      <c r="K74" s="78"/>
      <c r="L74" s="78"/>
      <c r="M74" s="56"/>
      <c r="N74" s="56"/>
      <c r="O74" s="56"/>
      <c r="P74" s="56"/>
    </row>
    <row r="75" spans="1:16" ht="20.25">
      <c r="A75" s="23"/>
      <c r="B75" s="23"/>
      <c r="C75" s="23"/>
      <c r="D75" s="23"/>
      <c r="E75" s="23"/>
      <c r="F75" s="21"/>
      <c r="G75" s="21"/>
      <c r="H75" s="21"/>
      <c r="I75" s="21"/>
      <c r="J75" s="78"/>
      <c r="K75" s="78"/>
      <c r="L75" s="78"/>
      <c r="M75" s="56"/>
      <c r="N75" s="56"/>
      <c r="O75" s="56"/>
      <c r="P75" s="56"/>
    </row>
    <row r="76" spans="1:16" ht="20.25">
      <c r="A76" s="23"/>
      <c r="B76" s="23"/>
      <c r="C76" s="23"/>
      <c r="D76" s="23"/>
      <c r="E76" s="23"/>
      <c r="F76" s="21"/>
      <c r="G76" s="21"/>
      <c r="H76" s="21"/>
      <c r="I76" s="21"/>
      <c r="J76" s="78"/>
      <c r="K76" s="78"/>
      <c r="L76" s="78"/>
      <c r="M76" s="56"/>
      <c r="N76" s="56"/>
      <c r="O76" s="56"/>
      <c r="P76" s="56"/>
    </row>
    <row r="77" spans="1:16" ht="20.25">
      <c r="A77" s="23"/>
      <c r="B77" s="23"/>
      <c r="C77" s="23"/>
      <c r="D77" s="23"/>
      <c r="E77" s="23"/>
      <c r="F77" s="21"/>
      <c r="G77" s="21"/>
      <c r="H77" s="21"/>
      <c r="I77" s="21"/>
      <c r="J77" s="78"/>
      <c r="K77" s="78"/>
      <c r="L77" s="78"/>
      <c r="M77" s="56"/>
      <c r="N77" s="56"/>
      <c r="O77" s="56"/>
      <c r="P77" s="56"/>
    </row>
    <row r="78" spans="1:16" ht="20.25">
      <c r="A78" s="23"/>
      <c r="B78" s="23"/>
      <c r="C78" s="23"/>
      <c r="D78" s="23"/>
      <c r="E78" s="23"/>
      <c r="F78" s="21"/>
      <c r="G78" s="21"/>
      <c r="H78" s="21"/>
      <c r="I78" s="21"/>
      <c r="J78" s="78"/>
      <c r="K78" s="78"/>
      <c r="L78" s="78"/>
      <c r="M78" s="56"/>
      <c r="N78" s="56"/>
      <c r="O78" s="56"/>
      <c r="P78" s="56"/>
    </row>
    <row r="79" spans="1:16" ht="20.25">
      <c r="A79" s="23"/>
      <c r="B79" s="23"/>
      <c r="C79" s="23"/>
      <c r="D79" s="23"/>
      <c r="E79" s="23"/>
      <c r="F79" s="21"/>
      <c r="G79" s="21"/>
      <c r="H79" s="21"/>
      <c r="I79" s="21"/>
      <c r="J79" s="78"/>
      <c r="K79" s="78"/>
      <c r="L79" s="78"/>
      <c r="M79" s="56"/>
      <c r="N79" s="56"/>
      <c r="O79" s="56"/>
      <c r="P79" s="56"/>
    </row>
    <row r="80" spans="1:16" ht="20.25">
      <c r="A80" s="23"/>
      <c r="B80" s="23"/>
      <c r="C80" s="23"/>
      <c r="D80" s="23"/>
      <c r="E80" s="23"/>
      <c r="F80" s="21"/>
      <c r="G80" s="21"/>
      <c r="H80" s="21"/>
      <c r="I80" s="21"/>
      <c r="J80" s="78"/>
      <c r="K80" s="78"/>
      <c r="L80" s="78"/>
      <c r="M80" s="56"/>
      <c r="N80" s="56"/>
      <c r="O80" s="56"/>
      <c r="P80" s="56"/>
    </row>
    <row r="81" spans="1:16" ht="20.25">
      <c r="A81" s="23"/>
      <c r="B81" s="23"/>
      <c r="C81" s="23"/>
      <c r="D81" s="23"/>
      <c r="E81" s="23"/>
      <c r="F81" s="21"/>
      <c r="G81" s="21"/>
      <c r="H81" s="21"/>
      <c r="I81" s="21"/>
      <c r="J81" s="78"/>
      <c r="K81" s="78"/>
      <c r="L81" s="78"/>
      <c r="M81" s="56"/>
      <c r="N81" s="56"/>
      <c r="O81" s="56"/>
      <c r="P81" s="56"/>
    </row>
    <row r="82" spans="1:16" ht="20.25">
      <c r="A82" s="23"/>
      <c r="B82" s="23"/>
      <c r="C82" s="23"/>
      <c r="D82" s="23"/>
      <c r="E82" s="23"/>
      <c r="F82" s="21"/>
      <c r="G82" s="21"/>
      <c r="H82" s="21"/>
      <c r="I82" s="21"/>
      <c r="J82" s="78"/>
      <c r="K82" s="78"/>
      <c r="L82" s="78"/>
      <c r="M82" s="56"/>
      <c r="N82" s="56"/>
      <c r="O82" s="56"/>
      <c r="P82" s="56"/>
    </row>
    <row r="83" spans="1:16" ht="20.25">
      <c r="A83" s="23"/>
      <c r="B83" s="23"/>
      <c r="C83" s="23"/>
      <c r="D83" s="23"/>
      <c r="E83" s="23"/>
      <c r="F83" s="21"/>
      <c r="G83" s="21"/>
      <c r="H83" s="21"/>
      <c r="I83" s="21"/>
      <c r="J83" s="78"/>
      <c r="K83" s="78"/>
      <c r="L83" s="78"/>
      <c r="M83" s="56"/>
      <c r="N83" s="56"/>
      <c r="O83" s="56"/>
      <c r="P83" s="56"/>
    </row>
    <row r="84" spans="1:16" ht="20.25">
      <c r="A84" s="23"/>
      <c r="B84" s="23"/>
      <c r="C84" s="23"/>
      <c r="D84" s="23"/>
      <c r="E84" s="23"/>
      <c r="F84" s="21"/>
      <c r="G84" s="21"/>
      <c r="H84" s="21"/>
      <c r="I84" s="21"/>
      <c r="J84" s="78"/>
      <c r="K84" s="78"/>
      <c r="L84" s="78"/>
      <c r="M84" s="56"/>
      <c r="N84" s="56"/>
      <c r="O84" s="56"/>
      <c r="P84" s="56"/>
    </row>
  </sheetData>
  <mergeCells count="2">
    <mergeCell ref="K7:N7"/>
    <mergeCell ref="H7:I7"/>
  </mergeCells>
  <phoneticPr fontId="0" type="noConversion"/>
  <printOptions horizontalCentered="1" verticalCentered="1"/>
  <pageMargins left="0.2" right="0.2" top="0.5" bottom="0.5" header="0" footer="0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3"/>
  <sheetViews>
    <sheetView showGridLines="0" workbookViewId="0">
      <pane xSplit="1" topLeftCell="B1" activePane="topRight" state="frozenSplit"/>
      <selection pane="topRight" activeCell="E12" sqref="E12"/>
    </sheetView>
  </sheetViews>
  <sheetFormatPr defaultRowHeight="11.25"/>
  <cols>
    <col min="1" max="1" width="9.140625" style="156"/>
    <col min="2" max="2" width="3.7109375" style="157" customWidth="1"/>
    <col min="3" max="3" width="13.28515625" style="157" customWidth="1"/>
    <col min="4" max="4" width="17.42578125" style="157" customWidth="1"/>
    <col min="5" max="5" width="18.42578125" style="157" bestFit="1" customWidth="1"/>
    <col min="6" max="6" width="16" style="157" customWidth="1"/>
    <col min="7" max="7" width="19.28515625" style="157" customWidth="1"/>
    <col min="8" max="8" width="18" style="157" bestFit="1" customWidth="1"/>
    <col min="9" max="9" width="19" style="157" customWidth="1"/>
    <col min="10" max="10" width="15.85546875" style="157" customWidth="1"/>
    <col min="11" max="11" width="19.28515625" style="157" bestFit="1" customWidth="1"/>
    <col min="12" max="12" width="11.5703125" style="157" bestFit="1" customWidth="1"/>
    <col min="13" max="13" width="19.28515625" style="157" bestFit="1" customWidth="1"/>
    <col min="14" max="14" width="9.140625" style="157"/>
    <col min="15" max="15" width="9.85546875" style="157" bestFit="1" customWidth="1"/>
    <col min="16" max="16384" width="9.140625" style="157"/>
  </cols>
  <sheetData>
    <row r="1" spans="1:15" ht="13.5" customHeight="1" thickBot="1">
      <c r="B1" s="242" t="s">
        <v>52</v>
      </c>
      <c r="C1" s="243"/>
      <c r="D1" s="243"/>
      <c r="E1" s="243"/>
      <c r="F1" s="243"/>
      <c r="G1" s="243"/>
      <c r="H1" s="243"/>
      <c r="I1" s="243"/>
      <c r="J1" s="244"/>
      <c r="K1" s="242" t="s">
        <v>88</v>
      </c>
      <c r="L1" s="243"/>
      <c r="M1" s="244"/>
    </row>
    <row r="2" spans="1:15">
      <c r="C2" s="159" t="s">
        <v>56</v>
      </c>
      <c r="F2" s="186"/>
      <c r="G2" s="159" t="s">
        <v>87</v>
      </c>
      <c r="J2" s="186"/>
    </row>
    <row r="3" spans="1:15">
      <c r="C3" s="159" t="s">
        <v>51</v>
      </c>
      <c r="D3" s="159" t="s">
        <v>53</v>
      </c>
      <c r="E3" s="159" t="s">
        <v>54</v>
      </c>
      <c r="F3" s="185" t="s">
        <v>55</v>
      </c>
      <c r="G3" s="159" t="s">
        <v>58</v>
      </c>
      <c r="H3" s="159" t="s">
        <v>53</v>
      </c>
      <c r="I3" s="159" t="s">
        <v>54</v>
      </c>
      <c r="J3" s="185" t="s">
        <v>55</v>
      </c>
      <c r="K3" s="159" t="s">
        <v>85</v>
      </c>
      <c r="L3" s="159" t="s">
        <v>86</v>
      </c>
      <c r="M3" s="159" t="s">
        <v>85</v>
      </c>
    </row>
    <row r="4" spans="1:15">
      <c r="C4" s="159"/>
      <c r="D4" s="159" t="s">
        <v>59</v>
      </c>
      <c r="E4" s="159" t="s">
        <v>60</v>
      </c>
      <c r="F4" s="185"/>
      <c r="G4" s="159" t="s">
        <v>61</v>
      </c>
      <c r="H4" s="159" t="s">
        <v>59</v>
      </c>
      <c r="I4" s="159" t="s">
        <v>60</v>
      </c>
      <c r="J4" s="185"/>
      <c r="K4" s="159" t="s">
        <v>66</v>
      </c>
      <c r="L4" s="159" t="s">
        <v>65</v>
      </c>
      <c r="M4" s="159" t="s">
        <v>67</v>
      </c>
    </row>
    <row r="5" spans="1:15">
      <c r="C5" s="159" t="s">
        <v>62</v>
      </c>
      <c r="D5" s="159" t="s">
        <v>63</v>
      </c>
      <c r="E5" s="159" t="s">
        <v>63</v>
      </c>
      <c r="F5" s="185" t="s">
        <v>63</v>
      </c>
      <c r="G5" s="162" t="s">
        <v>62</v>
      </c>
      <c r="H5" s="162" t="s">
        <v>63</v>
      </c>
      <c r="I5" s="162" t="s">
        <v>63</v>
      </c>
      <c r="J5" s="183" t="s">
        <v>63</v>
      </c>
      <c r="K5" s="203" t="s">
        <v>84</v>
      </c>
      <c r="L5" s="203" t="s">
        <v>84</v>
      </c>
      <c r="M5" s="203" t="s">
        <v>84</v>
      </c>
    </row>
    <row r="6" spans="1:15">
      <c r="F6" s="186"/>
      <c r="G6" s="163"/>
      <c r="H6" s="163"/>
      <c r="I6" s="163"/>
      <c r="J6" s="194"/>
      <c r="K6" s="163"/>
      <c r="L6" s="163"/>
      <c r="M6" s="163"/>
    </row>
    <row r="7" spans="1:15">
      <c r="A7" s="160" t="s">
        <v>41</v>
      </c>
      <c r="C7" s="172">
        <f t="shared" ref="C7:J7" si="0">SUM(C9:C181)</f>
        <v>-645159.91812464723</v>
      </c>
      <c r="D7" s="172">
        <f t="shared" si="0"/>
        <v>26557.909066468976</v>
      </c>
      <c r="E7" s="172">
        <f t="shared" si="0"/>
        <v>11106.427908162506</v>
      </c>
      <c r="F7" s="172">
        <f t="shared" si="0"/>
        <v>37664.3369746315</v>
      </c>
      <c r="G7" s="204">
        <f t="shared" si="0"/>
        <v>403347.74886682653</v>
      </c>
      <c r="H7" s="205">
        <f t="shared" si="0"/>
        <v>-16882.469227409609</v>
      </c>
      <c r="I7" s="205">
        <f t="shared" si="0"/>
        <v>-7012.0140287969716</v>
      </c>
      <c r="J7" s="205">
        <f t="shared" si="0"/>
        <v>-23894.483256206582</v>
      </c>
      <c r="K7" s="204">
        <f>SUM(K9:K181)</f>
        <v>902038.16803572071</v>
      </c>
      <c r="L7" s="206">
        <f>SUM(L9:L181)</f>
        <v>1351398.9237026526</v>
      </c>
      <c r="M7" s="207">
        <f>SUM(M9:M181)</f>
        <v>2253437.0917383735</v>
      </c>
    </row>
    <row r="8" spans="1:15">
      <c r="A8" s="160"/>
      <c r="C8" s="161"/>
      <c r="D8" s="161"/>
      <c r="E8" s="161"/>
      <c r="F8" s="186"/>
      <c r="G8" s="193"/>
      <c r="H8" s="193"/>
      <c r="I8" s="193"/>
      <c r="J8" s="194"/>
      <c r="K8" s="193"/>
      <c r="L8" s="193"/>
      <c r="M8" s="193"/>
    </row>
    <row r="9" spans="1:15">
      <c r="A9" s="160" t="s">
        <v>68</v>
      </c>
      <c r="D9" s="171"/>
      <c r="E9" s="171"/>
      <c r="F9" s="191"/>
      <c r="G9" s="208"/>
      <c r="H9" s="208"/>
      <c r="I9" s="208"/>
      <c r="J9" s="209"/>
      <c r="K9" s="208">
        <f>'[5]Sithe Positions '!$BB$8</f>
        <v>129726.51254904484</v>
      </c>
      <c r="L9" s="208">
        <f>'[5]Sithe Positions '!$BD8</f>
        <v>30790.738671436968</v>
      </c>
      <c r="M9" s="208">
        <f>SUM(K9:L9)</f>
        <v>160517.25122048182</v>
      </c>
      <c r="O9" s="171"/>
    </row>
    <row r="10" spans="1:15">
      <c r="A10" s="156">
        <v>36982</v>
      </c>
      <c r="C10" s="171">
        <f>'[5]Sithe Positions '!$I9</f>
        <v>-5354.0730267452327</v>
      </c>
      <c r="D10" s="171">
        <f>'[5]Sithe Positions '!$U9</f>
        <v>203.97972801145656</v>
      </c>
      <c r="E10" s="171">
        <f>'[5]Sithe Positions '!$V9</f>
        <v>88.235123480761459</v>
      </c>
      <c r="F10" s="191">
        <f>SUM(D10:E10)</f>
        <v>292.21485149221803</v>
      </c>
      <c r="G10" s="208">
        <f>'[5]Sithe Positions '!$AC9</f>
        <v>2311.4484175749376</v>
      </c>
      <c r="H10" s="208">
        <f>'[5]Sithe Positions '!$AO9</f>
        <v>-88.061671399365977</v>
      </c>
      <c r="I10" s="208">
        <f>'[5]Sithe Positions '!$AP9</f>
        <v>-38.092669921634986</v>
      </c>
      <c r="J10" s="209">
        <f>SUM(H10:I10)</f>
        <v>-126.15434132100097</v>
      </c>
      <c r="K10" s="208">
        <f>'[5]Sithe Positions '!$BB9</f>
        <v>6092.8072766550131</v>
      </c>
      <c r="L10" s="208">
        <f>'[5]Sithe Positions '!$BD9</f>
        <v>1274.6046133360687</v>
      </c>
      <c r="M10" s="208">
        <f t="shared" ref="M10:M73" si="1">SUM(K10:L10)</f>
        <v>7367.4118899910818</v>
      </c>
      <c r="O10" s="171"/>
    </row>
    <row r="11" spans="1:15">
      <c r="A11" s="156">
        <v>37012</v>
      </c>
      <c r="C11" s="171">
        <f>'[5]Sithe Positions '!$I10</f>
        <v>-5509.4867609215744</v>
      </c>
      <c r="D11" s="171">
        <f>'[5]Sithe Positions '!$U10</f>
        <v>216.43068488783805</v>
      </c>
      <c r="E11" s="171">
        <f>'[5]Sithe Positions '!$V10</f>
        <v>90.796341819987546</v>
      </c>
      <c r="F11" s="191">
        <f t="shared" ref="F11:F74" si="2">SUM(D11:E11)</f>
        <v>307.22702670782559</v>
      </c>
      <c r="G11" s="208">
        <f>'[5]Sithe Positions '!$AC10</f>
        <v>2388.496698160769</v>
      </c>
      <c r="H11" s="208">
        <f>'[5]Sithe Positions '!$AO10</f>
        <v>-93.827973215567823</v>
      </c>
      <c r="I11" s="208">
        <f>'[5]Sithe Positions '!$AP10</f>
        <v>-39.362425585689472</v>
      </c>
      <c r="J11" s="209">
        <f t="shared" ref="J11:J74" si="3">SUM(H11:I11)</f>
        <v>-133.19039880125729</v>
      </c>
      <c r="K11" s="208">
        <f>'[5]Sithe Positions '!$BB10</f>
        <v>5397.5663523494177</v>
      </c>
      <c r="L11" s="208">
        <f>'[5]Sithe Positions '!$BD10</f>
        <v>1315.9596078884815</v>
      </c>
      <c r="M11" s="208">
        <f t="shared" si="1"/>
        <v>6713.5259602378992</v>
      </c>
      <c r="O11" s="171"/>
    </row>
    <row r="12" spans="1:15">
      <c r="A12" s="156">
        <v>37043</v>
      </c>
      <c r="C12" s="171">
        <f>'[5]Sithe Positions '!$I11</f>
        <v>-5310.9330869742498</v>
      </c>
      <c r="D12" s="171">
        <f>'[5]Sithe Positions '!$U11</f>
        <v>183.96802917940812</v>
      </c>
      <c r="E12" s="171">
        <f>'[5]Sithe Positions '!$V11</f>
        <v>87.524177273335638</v>
      </c>
      <c r="F12" s="191">
        <f t="shared" si="2"/>
        <v>271.49220645274374</v>
      </c>
      <c r="G12" s="208">
        <f>'[5]Sithe Positions '!$AC11</f>
        <v>2311.4484175749376</v>
      </c>
      <c r="H12" s="208">
        <f>'[5]Sithe Positions '!$AO11</f>
        <v>-80.067401145395877</v>
      </c>
      <c r="I12" s="208">
        <f>'[5]Sithe Positions '!$AP11</f>
        <v>-38.092669921634979</v>
      </c>
      <c r="J12" s="209">
        <f t="shared" si="3"/>
        <v>-118.16007106703086</v>
      </c>
      <c r="K12" s="208">
        <f>'[5]Sithe Positions '!$BB11</f>
        <v>4346.2476571177604</v>
      </c>
      <c r="L12" s="208">
        <f>'[5]Sithe Positions '!$BD11</f>
        <v>1348.3012601416042</v>
      </c>
      <c r="M12" s="208">
        <f t="shared" si="1"/>
        <v>5694.5489172593643</v>
      </c>
      <c r="O12" s="171"/>
    </row>
    <row r="13" spans="1:15">
      <c r="A13" s="156">
        <v>37073</v>
      </c>
      <c r="C13" s="171">
        <f>'[5]Sithe Positions '!$I12</f>
        <v>-5466.1289338138449</v>
      </c>
      <c r="D13" s="171">
        <f>'[5]Sithe Positions '!$U12</f>
        <v>175.81716896252442</v>
      </c>
      <c r="E13" s="171">
        <f>'[5]Sithe Positions '!$V12</f>
        <v>90.081804829252178</v>
      </c>
      <c r="F13" s="191">
        <f t="shared" si="2"/>
        <v>265.8989737917766</v>
      </c>
      <c r="G13" s="208">
        <f>'[5]Sithe Positions '!$AC12</f>
        <v>2388.496698160769</v>
      </c>
      <c r="H13" s="208">
        <f>'[5]Sithe Positions '!$AO12</f>
        <v>-76.825616927766575</v>
      </c>
      <c r="I13" s="208">
        <f>'[5]Sithe Positions '!$AP12</f>
        <v>-39.362425585689479</v>
      </c>
      <c r="J13" s="209">
        <f t="shared" si="3"/>
        <v>-116.18804251345605</v>
      </c>
      <c r="K13" s="208">
        <f>'[5]Sithe Positions '!$BB12</f>
        <v>1950.3614103946234</v>
      </c>
      <c r="L13" s="208">
        <f>'[5]Sithe Positions '!$BD12</f>
        <v>1364.261666463233</v>
      </c>
      <c r="M13" s="208">
        <f t="shared" si="1"/>
        <v>3314.6230768578562</v>
      </c>
      <c r="O13" s="171"/>
    </row>
    <row r="14" spans="1:15">
      <c r="A14" s="156">
        <v>37104</v>
      </c>
      <c r="C14" s="171">
        <f>'[5]Sithe Positions '!$I13</f>
        <v>-5445.3572620155201</v>
      </c>
      <c r="D14" s="171">
        <f>'[5]Sithe Positions '!$U13</f>
        <v>175.41851949078151</v>
      </c>
      <c r="E14" s="171">
        <f>'[5]Sithe Positions '!$V13</f>
        <v>89.739487678015792</v>
      </c>
      <c r="F14" s="191">
        <f t="shared" si="2"/>
        <v>265.15800716879733</v>
      </c>
      <c r="G14" s="208">
        <f>'[5]Sithe Positions '!$AC13</f>
        <v>2388.496698160769</v>
      </c>
      <c r="H14" s="208">
        <f>'[5]Sithe Positions '!$AO13</f>
        <v>-76.943813681914463</v>
      </c>
      <c r="I14" s="208">
        <f>'[5]Sithe Positions '!$AP13</f>
        <v>-39.362425585689479</v>
      </c>
      <c r="J14" s="209">
        <f t="shared" si="3"/>
        <v>-116.30623926760394</v>
      </c>
      <c r="K14" s="208">
        <f>'[5]Sithe Positions '!$BB13</f>
        <v>1985.5433900410858</v>
      </c>
      <c r="L14" s="208">
        <f>'[5]Sithe Positions '!$BD13</f>
        <v>1377.6910912655837</v>
      </c>
      <c r="M14" s="208">
        <f t="shared" si="1"/>
        <v>3363.2344813066693</v>
      </c>
      <c r="O14" s="171"/>
    </row>
    <row r="15" spans="1:15">
      <c r="A15" s="156">
        <v>37135</v>
      </c>
      <c r="C15" s="171">
        <f>'[5]Sithe Positions '!$I14</f>
        <v>-5251.0175409804724</v>
      </c>
      <c r="D15" s="171">
        <f>'[5]Sithe Positions '!$U14</f>
        <v>194.79832834905704</v>
      </c>
      <c r="E15" s="171">
        <f>'[5]Sithe Positions '!$V14</f>
        <v>86.53676907535818</v>
      </c>
      <c r="F15" s="191">
        <f t="shared" si="2"/>
        <v>281.33509742441521</v>
      </c>
      <c r="G15" s="208">
        <f>'[5]Sithe Positions '!$AC14</f>
        <v>2311.4484175749376</v>
      </c>
      <c r="H15" s="208">
        <f>'[5]Sithe Positions '!$AO14</f>
        <v>-85.748387678133156</v>
      </c>
      <c r="I15" s="208">
        <f>'[5]Sithe Positions '!$AP14</f>
        <v>-38.092669921634979</v>
      </c>
      <c r="J15" s="209">
        <f t="shared" si="3"/>
        <v>-123.84105759976813</v>
      </c>
      <c r="K15" s="208">
        <f>'[5]Sithe Positions '!$BB14</f>
        <v>5945.9450844847443</v>
      </c>
      <c r="L15" s="208">
        <f>'[5]Sithe Positions '!$BD14</f>
        <v>1419.9491958849001</v>
      </c>
      <c r="M15" s="208">
        <f t="shared" si="1"/>
        <v>7365.8942803696445</v>
      </c>
      <c r="O15" s="171"/>
    </row>
    <row r="16" spans="1:15">
      <c r="A16" s="156">
        <v>37165</v>
      </c>
      <c r="C16" s="171">
        <f>'[5]Sithe Positions '!$I15</f>
        <v>-5406.1916888972801</v>
      </c>
      <c r="D16" s="171">
        <f>'[5]Sithe Positions '!$U15</f>
        <v>225.10132334636768</v>
      </c>
      <c r="E16" s="171">
        <f>'[5]Sithe Positions '!$V15</f>
        <v>89.094039033027187</v>
      </c>
      <c r="F16" s="191">
        <f t="shared" si="2"/>
        <v>314.19536237939485</v>
      </c>
      <c r="G16" s="208">
        <f>'[5]Sithe Positions '!$AC15</f>
        <v>2388.496698160769</v>
      </c>
      <c r="H16" s="208">
        <f>'[5]Sithe Positions '!$AO15</f>
        <v>-99.451480543799576</v>
      </c>
      <c r="I16" s="208">
        <f>'[5]Sithe Positions '!$AP15</f>
        <v>-39.362425585689472</v>
      </c>
      <c r="J16" s="209">
        <f t="shared" si="3"/>
        <v>-138.81390612948906</v>
      </c>
      <c r="K16" s="208">
        <f>'[5]Sithe Positions '!$BB15</f>
        <v>5910.7205644269925</v>
      </c>
      <c r="L16" s="208">
        <f>'[5]Sithe Positions '!$BD15</f>
        <v>1464.0736743926639</v>
      </c>
      <c r="M16" s="208">
        <f t="shared" si="1"/>
        <v>7374.7942388196561</v>
      </c>
      <c r="O16" s="171"/>
    </row>
    <row r="17" spans="1:15">
      <c r="A17" s="156">
        <v>37196</v>
      </c>
      <c r="C17" s="171">
        <f>'[5]Sithe Positions '!$I16</f>
        <v>-5213.0399047488836</v>
      </c>
      <c r="D17" s="171">
        <f>'[5]Sithe Positions '!$U16</f>
        <v>197.47052232495301</v>
      </c>
      <c r="E17" s="171">
        <f>'[5]Sithe Positions '!$V16</f>
        <v>85.910897630261601</v>
      </c>
      <c r="F17" s="191">
        <f t="shared" si="2"/>
        <v>283.3814199552146</v>
      </c>
      <c r="G17" s="208">
        <f>'[5]Sithe Positions '!$AC16</f>
        <v>2311.4484175749376</v>
      </c>
      <c r="H17" s="208">
        <f>'[5]Sithe Positions '!$AO16</f>
        <v>-87.557919119304387</v>
      </c>
      <c r="I17" s="208">
        <f>'[5]Sithe Positions '!$AP16</f>
        <v>-38.092669921634972</v>
      </c>
      <c r="J17" s="209">
        <f t="shared" si="3"/>
        <v>-125.65058904093937</v>
      </c>
      <c r="K17" s="208">
        <f>'[5]Sithe Positions '!$BB16</f>
        <v>6397.7131442648333</v>
      </c>
      <c r="L17" s="208">
        <f>'[5]Sithe Positions '!$BD16</f>
        <v>1514.8840900619959</v>
      </c>
      <c r="M17" s="208">
        <f t="shared" si="1"/>
        <v>7912.5972343268295</v>
      </c>
      <c r="O17" s="171"/>
    </row>
    <row r="18" spans="1:15">
      <c r="A18" s="156">
        <v>37226</v>
      </c>
      <c r="C18" s="171">
        <f>'[5]Sithe Positions '!$I17</f>
        <v>-5367.0884498410669</v>
      </c>
      <c r="D18" s="171">
        <f>'[5]Sithe Positions '!$U17</f>
        <v>197.98679293389037</v>
      </c>
      <c r="E18" s="171">
        <f>'[5]Sithe Positions '!$V17</f>
        <v>88.449617653380784</v>
      </c>
      <c r="F18" s="191">
        <f t="shared" si="2"/>
        <v>286.43641058727115</v>
      </c>
      <c r="G18" s="208">
        <f>'[5]Sithe Positions '!$AC17</f>
        <v>2388.496698160769</v>
      </c>
      <c r="H18" s="208">
        <f>'[5]Sithe Positions '!$AO17</f>
        <v>-88.109373568464406</v>
      </c>
      <c r="I18" s="208">
        <f>'[5]Sithe Positions '!$AP17</f>
        <v>-39.362425585689472</v>
      </c>
      <c r="J18" s="209">
        <f t="shared" si="3"/>
        <v>-127.47179915415387</v>
      </c>
      <c r="K18" s="208">
        <f>'[5]Sithe Positions '!$BB17</f>
        <v>6996.9738500359308</v>
      </c>
      <c r="L18" s="208">
        <f>'[5]Sithe Positions '!$BD17</f>
        <v>1570.1257485352385</v>
      </c>
      <c r="M18" s="208">
        <f t="shared" si="1"/>
        <v>8567.0995985711688</v>
      </c>
      <c r="O18" s="171"/>
    </row>
    <row r="19" spans="1:15">
      <c r="A19" s="156">
        <v>37257</v>
      </c>
      <c r="C19" s="171">
        <f>'[5]Sithe Positions '!$I18</f>
        <v>-5347.167602018465</v>
      </c>
      <c r="D19" s="171">
        <f>'[5]Sithe Positions '!$U18</f>
        <v>188.36098410336629</v>
      </c>
      <c r="E19" s="171">
        <f>'[5]Sithe Positions '!$V18</f>
        <v>88.12132208126431</v>
      </c>
      <c r="F19" s="191">
        <f t="shared" si="2"/>
        <v>276.4823061846306</v>
      </c>
      <c r="G19" s="208">
        <f>'[5]Sithe Positions '!$AC18</f>
        <v>2388.496698160769</v>
      </c>
      <c r="H19" s="208">
        <f>'[5]Sithe Positions '!$AO18</f>
        <v>-84.137925361339725</v>
      </c>
      <c r="I19" s="208">
        <f>'[5]Sithe Positions '!$AP18</f>
        <v>-39.362425585689472</v>
      </c>
      <c r="J19" s="209">
        <f t="shared" si="3"/>
        <v>-123.5003509470292</v>
      </c>
      <c r="K19" s="208">
        <f>'[5]Sithe Positions '!$BB18</f>
        <v>6174.671372284507</v>
      </c>
      <c r="L19" s="208">
        <f>'[5]Sithe Positions '!$BD18</f>
        <v>1621.6455235555072</v>
      </c>
      <c r="M19" s="208">
        <f t="shared" si="1"/>
        <v>7796.3168958400147</v>
      </c>
      <c r="O19" s="171"/>
    </row>
    <row r="20" spans="1:15">
      <c r="A20" s="156">
        <v>37288</v>
      </c>
      <c r="C20" s="171">
        <f>'[5]Sithe Positions '!$I19</f>
        <v>-4812.8912497517886</v>
      </c>
      <c r="D20" s="171">
        <f>'[5]Sithe Positions '!$U19</f>
        <v>172.31726660009497</v>
      </c>
      <c r="E20" s="171">
        <f>'[5]Sithe Positions '!$V19</f>
        <v>79.316447795909482</v>
      </c>
      <c r="F20" s="191">
        <f t="shared" si="2"/>
        <v>251.63371439600445</v>
      </c>
      <c r="G20" s="208">
        <f>'[5]Sithe Positions '!$AC19</f>
        <v>2157.3518564032752</v>
      </c>
      <c r="H20" s="208">
        <f>'[5]Sithe Positions '!$AO19</f>
        <v>-77.240260728771901</v>
      </c>
      <c r="I20" s="208">
        <f>'[5]Sithe Positions '!$AP19</f>
        <v>-35.553158593525986</v>
      </c>
      <c r="J20" s="209">
        <f t="shared" si="3"/>
        <v>-112.79341932229789</v>
      </c>
      <c r="K20" s="208">
        <f>'[5]Sithe Positions '!$BB19</f>
        <v>5028.0293503471703</v>
      </c>
      <c r="L20" s="208">
        <f>'[5]Sithe Positions '!$BD19</f>
        <v>1668.623740340596</v>
      </c>
      <c r="M20" s="208">
        <f t="shared" si="1"/>
        <v>6696.6530906877661</v>
      </c>
      <c r="O20" s="171"/>
    </row>
    <row r="21" spans="1:15">
      <c r="A21" s="156">
        <v>37316</v>
      </c>
      <c r="C21" s="171">
        <f>'[5]Sithe Positions '!$I20</f>
        <v>-5308.0180795826936</v>
      </c>
      <c r="D21" s="171">
        <f>'[5]Sithe Positions '!$U20</f>
        <v>200.86810964633861</v>
      </c>
      <c r="E21" s="171">
        <f>'[5]Sithe Positions '!$V20</f>
        <v>87.476137951522787</v>
      </c>
      <c r="F21" s="191">
        <f t="shared" si="2"/>
        <v>288.3442475978614</v>
      </c>
      <c r="G21" s="208">
        <f>'[5]Sithe Positions '!$AC20</f>
        <v>2388.496698160769</v>
      </c>
      <c r="H21" s="208">
        <f>'[5]Sithe Positions '!$AO20</f>
        <v>-90.386432273379512</v>
      </c>
      <c r="I21" s="208">
        <f>'[5]Sithe Positions '!$AP20</f>
        <v>-39.362425585689472</v>
      </c>
      <c r="J21" s="209">
        <f t="shared" si="3"/>
        <v>-129.74885785906898</v>
      </c>
      <c r="K21" s="208">
        <f>'[5]Sithe Positions '!$BB20</f>
        <v>6279.0563257678477</v>
      </c>
      <c r="L21" s="208">
        <f>'[5]Sithe Positions '!$BD20</f>
        <v>1725.0174498191677</v>
      </c>
      <c r="M21" s="208">
        <f t="shared" si="1"/>
        <v>8004.0737755870159</v>
      </c>
      <c r="O21" s="171"/>
    </row>
    <row r="22" spans="1:15">
      <c r="A22" s="156">
        <v>37347</v>
      </c>
      <c r="C22" s="171">
        <f>'[5]Sithe Positions '!$I21</f>
        <v>-5117.5675729851218</v>
      </c>
      <c r="D22" s="171">
        <f>'[5]Sithe Positions '!$U21</f>
        <v>201.43821637596207</v>
      </c>
      <c r="E22" s="171">
        <f>'[5]Sithe Positions '!$V21</f>
        <v>84.3375136027948</v>
      </c>
      <c r="F22" s="191">
        <f t="shared" si="2"/>
        <v>285.77572997875689</v>
      </c>
      <c r="G22" s="208">
        <f>'[5]Sithe Positions '!$AC21</f>
        <v>2311.4484175749376</v>
      </c>
      <c r="H22" s="208">
        <f>'[5]Sithe Positions '!$AO21</f>
        <v>-90.983468188919048</v>
      </c>
      <c r="I22" s="208">
        <f>'[5]Sithe Positions '!$AP21</f>
        <v>-38.092669921634972</v>
      </c>
      <c r="J22" s="209">
        <f t="shared" si="3"/>
        <v>-129.07613811055401</v>
      </c>
      <c r="K22" s="208">
        <f>'[5]Sithe Positions '!$BB21</f>
        <v>5144.4889060904079</v>
      </c>
      <c r="L22" s="208">
        <f>'[5]Sithe Positions '!$BD21</f>
        <v>1773.9567044313214</v>
      </c>
      <c r="M22" s="208">
        <f t="shared" si="1"/>
        <v>6918.4456105217296</v>
      </c>
      <c r="O22" s="171"/>
    </row>
    <row r="23" spans="1:15">
      <c r="A23" s="156">
        <v>37377</v>
      </c>
      <c r="C23" s="171">
        <f>'[5]Sithe Positions '!$I22</f>
        <v>-5267.5180858010181</v>
      </c>
      <c r="D23" s="171">
        <f>'[5]Sithe Positions '!$U22</f>
        <v>218.91741704395793</v>
      </c>
      <c r="E23" s="171">
        <f>'[5]Sithe Positions '!$V22</f>
        <v>86.808698054000786</v>
      </c>
      <c r="F23" s="191">
        <f t="shared" si="2"/>
        <v>305.72611509795871</v>
      </c>
      <c r="G23" s="208">
        <f>'[5]Sithe Positions '!$AC22</f>
        <v>2388.496698160769</v>
      </c>
      <c r="H23" s="208">
        <f>'[5]Sithe Positions '!$AO22</f>
        <v>-99.265635022468842</v>
      </c>
      <c r="I23" s="208">
        <f>'[5]Sithe Positions '!$AP22</f>
        <v>-39.362425585689479</v>
      </c>
      <c r="J23" s="209">
        <f t="shared" si="3"/>
        <v>-138.62806060815831</v>
      </c>
      <c r="K23" s="208">
        <f>'[5]Sithe Positions '!$BB22</f>
        <v>4368.8135543839526</v>
      </c>
      <c r="L23" s="208">
        <f>'[5]Sithe Positions '!$BD22</f>
        <v>1818.2937057585661</v>
      </c>
      <c r="M23" s="208">
        <f t="shared" si="1"/>
        <v>6187.1072601425185</v>
      </c>
      <c r="O23" s="171"/>
    </row>
    <row r="24" spans="1:15">
      <c r="A24" s="156">
        <v>37408</v>
      </c>
      <c r="C24" s="171">
        <f>'[5]Sithe Positions '!$I23</f>
        <v>-5078.3465026493286</v>
      </c>
      <c r="D24" s="171">
        <f>'[5]Sithe Positions '!$U23</f>
        <v>181.51147875756391</v>
      </c>
      <c r="E24" s="171">
        <f>'[5]Sithe Positions '!$V23</f>
        <v>83.691150363660938</v>
      </c>
      <c r="F24" s="191">
        <f t="shared" si="2"/>
        <v>265.20262912122485</v>
      </c>
      <c r="G24" s="208">
        <f>'[5]Sithe Positions '!$AC23</f>
        <v>2311.4484175749376</v>
      </c>
      <c r="H24" s="208">
        <f>'[5]Sithe Positions '!$AO23</f>
        <v>-82.61634375026992</v>
      </c>
      <c r="I24" s="208">
        <f>'[5]Sithe Positions '!$AP23</f>
        <v>-38.092669921634979</v>
      </c>
      <c r="J24" s="209">
        <f t="shared" si="3"/>
        <v>-120.7090136719049</v>
      </c>
      <c r="K24" s="208">
        <f>'[5]Sithe Positions '!$BB23</f>
        <v>3288.6645168090736</v>
      </c>
      <c r="L24" s="208">
        <f>'[5]Sithe Positions '!$BD23</f>
        <v>1855.156912409409</v>
      </c>
      <c r="M24" s="208">
        <f t="shared" si="1"/>
        <v>5143.8214292184821</v>
      </c>
      <c r="O24" s="171"/>
    </row>
    <row r="25" spans="1:15">
      <c r="A25" s="156">
        <v>37438</v>
      </c>
      <c r="C25" s="171">
        <f>'[5]Sithe Positions '!$I24</f>
        <v>-5226.8068665693372</v>
      </c>
      <c r="D25" s="171">
        <f>'[5]Sithe Positions '!$U24</f>
        <v>174.38066363508676</v>
      </c>
      <c r="E25" s="171">
        <f>'[5]Sithe Positions '!$V24</f>
        <v>86.137777161062687</v>
      </c>
      <c r="F25" s="191">
        <f t="shared" si="2"/>
        <v>260.51844079614943</v>
      </c>
      <c r="G25" s="208">
        <f>'[5]Sithe Positions '!$AC24</f>
        <v>2388.496698160769</v>
      </c>
      <c r="H25" s="208">
        <f>'[5]Sithe Positions '!$AO24</f>
        <v>-79.686824087469503</v>
      </c>
      <c r="I25" s="208">
        <f>'[5]Sithe Positions '!$AP24</f>
        <v>-39.362425585689472</v>
      </c>
      <c r="J25" s="209">
        <f t="shared" si="3"/>
        <v>-119.04924967315898</v>
      </c>
      <c r="K25" s="208">
        <f>'[5]Sithe Positions '!$BB24</f>
        <v>1725.0230095085533</v>
      </c>
      <c r="L25" s="208">
        <f>'[5]Sithe Positions '!$BD24</f>
        <v>1882.0223993771501</v>
      </c>
      <c r="M25" s="208">
        <f t="shared" si="1"/>
        <v>3607.0454088857032</v>
      </c>
      <c r="O25" s="171"/>
    </row>
    <row r="26" spans="1:15">
      <c r="A26" s="156">
        <v>37469</v>
      </c>
      <c r="C26" s="171">
        <f>'[5]Sithe Positions '!$I25</f>
        <v>-5205.430368412216</v>
      </c>
      <c r="D26" s="171">
        <f>'[5]Sithe Positions '!$U25</f>
        <v>173.98707604891197</v>
      </c>
      <c r="E26" s="171">
        <f>'[5]Sithe Positions '!$V25</f>
        <v>85.785492471433329</v>
      </c>
      <c r="F26" s="191">
        <f t="shared" si="2"/>
        <v>259.77256852034532</v>
      </c>
      <c r="G26" s="208">
        <f>'[5]Sithe Positions '!$AC25</f>
        <v>2388.496698160769</v>
      </c>
      <c r="H26" s="208">
        <f>'[5]Sithe Positions '!$AO25</f>
        <v>-79.833467600918311</v>
      </c>
      <c r="I26" s="208">
        <f>'[5]Sithe Positions '!$AP25</f>
        <v>-39.362425585689472</v>
      </c>
      <c r="J26" s="209">
        <f t="shared" si="3"/>
        <v>-119.19589318660778</v>
      </c>
      <c r="K26" s="208">
        <f>'[5]Sithe Positions '!$BB25</f>
        <v>1700.3592012260654</v>
      </c>
      <c r="L26" s="208">
        <f>'[5]Sithe Positions '!$BD25</f>
        <v>1910.6609042107302</v>
      </c>
      <c r="M26" s="208">
        <f t="shared" si="1"/>
        <v>3611.0201054367953</v>
      </c>
      <c r="O26" s="171"/>
    </row>
    <row r="27" spans="1:15">
      <c r="A27" s="156">
        <v>37500</v>
      </c>
      <c r="C27" s="171">
        <f>'[5]Sithe Positions '!$I26</f>
        <v>-5017.4428949103803</v>
      </c>
      <c r="D27" s="171">
        <f>'[5]Sithe Positions '!$U26</f>
        <v>194.88643593632551</v>
      </c>
      <c r="E27" s="171">
        <f>'[5]Sithe Positions '!$V26</f>
        <v>82.687458908123062</v>
      </c>
      <c r="F27" s="191">
        <f t="shared" si="2"/>
        <v>277.57389484444855</v>
      </c>
      <c r="G27" s="208">
        <f>'[5]Sithe Positions '!$AC26</f>
        <v>2311.4484175749376</v>
      </c>
      <c r="H27" s="208">
        <f>'[5]Sithe Positions '!$AO26</f>
        <v>-89.780781443230609</v>
      </c>
      <c r="I27" s="208">
        <f>'[5]Sithe Positions '!$AP26</f>
        <v>-38.092669921634972</v>
      </c>
      <c r="J27" s="209">
        <f t="shared" si="3"/>
        <v>-127.87345136486559</v>
      </c>
      <c r="K27" s="208">
        <f>'[5]Sithe Positions '!$BB26</f>
        <v>4715.4482251769587</v>
      </c>
      <c r="L27" s="208">
        <f>'[5]Sithe Positions '!$BD26</f>
        <v>1961.4146633950509</v>
      </c>
      <c r="M27" s="208">
        <f t="shared" si="1"/>
        <v>6676.86288857201</v>
      </c>
      <c r="O27" s="171"/>
    </row>
    <row r="28" spans="1:15">
      <c r="A28" s="156">
        <v>37530</v>
      </c>
      <c r="C28" s="171">
        <f>'[5]Sithe Positions '!$I27</f>
        <v>-5163.0834477201652</v>
      </c>
      <c r="D28" s="171">
        <f>'[5]Sithe Positions '!$U27</f>
        <v>225.08224521906698</v>
      </c>
      <c r="E28" s="171">
        <f>'[5]Sithe Positions '!$V27</f>
        <v>85.087615218428311</v>
      </c>
      <c r="F28" s="191">
        <f t="shared" si="2"/>
        <v>310.16986043749529</v>
      </c>
      <c r="G28" s="208">
        <f>'[5]Sithe Positions '!$AC27</f>
        <v>2388.496698160769</v>
      </c>
      <c r="H28" s="208">
        <f>'[5]Sithe Positions '!$AO27</f>
        <v>-104.12541361456064</v>
      </c>
      <c r="I28" s="208">
        <f>'[5]Sithe Positions '!$AP27</f>
        <v>-39.362425585689472</v>
      </c>
      <c r="J28" s="209">
        <f t="shared" si="3"/>
        <v>-143.48783920025011</v>
      </c>
      <c r="K28" s="208">
        <f>'[5]Sithe Positions '!$BB27</f>
        <v>4524.1593050833826</v>
      </c>
      <c r="L28" s="208">
        <f>'[5]Sithe Positions '!$BD27</f>
        <v>2011.8081169394347</v>
      </c>
      <c r="M28" s="208">
        <f t="shared" si="1"/>
        <v>6535.9674220228171</v>
      </c>
      <c r="O28" s="171"/>
    </row>
    <row r="29" spans="1:15">
      <c r="A29" s="156">
        <v>37561</v>
      </c>
      <c r="C29" s="171">
        <f>'[5]Sithe Positions '!$I28</f>
        <v>-4975.8564016335122</v>
      </c>
      <c r="D29" s="171">
        <f>'[5]Sithe Positions '!$U28</f>
        <v>195.6910168243387</v>
      </c>
      <c r="E29" s="171">
        <f>'[5]Sithe Positions '!$V28</f>
        <v>82.002113498920266</v>
      </c>
      <c r="F29" s="191">
        <f t="shared" si="2"/>
        <v>277.69313032325897</v>
      </c>
      <c r="G29" s="208">
        <f>'[5]Sithe Positions '!$AC28</f>
        <v>2311.4484175749376</v>
      </c>
      <c r="H29" s="208">
        <f>'[5]Sithe Positions '!$AO28</f>
        <v>-90.904892477153084</v>
      </c>
      <c r="I29" s="208">
        <f>'[5]Sithe Positions '!$AP28</f>
        <v>-38.092669921634979</v>
      </c>
      <c r="J29" s="209">
        <f t="shared" si="3"/>
        <v>-128.99756239878806</v>
      </c>
      <c r="K29" s="208">
        <f>'[5]Sithe Positions '!$BB28</f>
        <v>5118.457980435207</v>
      </c>
      <c r="L29" s="208">
        <f>'[5]Sithe Positions '!$BD28</f>
        <v>2068.0638439461659</v>
      </c>
      <c r="M29" s="208">
        <f t="shared" si="1"/>
        <v>7186.5218243813724</v>
      </c>
      <c r="O29" s="171"/>
    </row>
    <row r="30" spans="1:15">
      <c r="A30" s="156">
        <v>37591</v>
      </c>
      <c r="C30" s="171">
        <f>'[5]Sithe Positions '!$I29</f>
        <v>-5119.6841329637818</v>
      </c>
      <c r="D30" s="171">
        <f>'[5]Sithe Positions '!$U29</f>
        <v>195.58646496568986</v>
      </c>
      <c r="E30" s="171">
        <f>'[5]Sithe Positions '!$V29</f>
        <v>84.372394511243115</v>
      </c>
      <c r="F30" s="191">
        <f t="shared" si="2"/>
        <v>279.95885947693296</v>
      </c>
      <c r="G30" s="208">
        <f>'[5]Sithe Positions '!$AC29</f>
        <v>2388.496698160769</v>
      </c>
      <c r="H30" s="208">
        <f>'[5]Sithe Positions '!$AO29</f>
        <v>-91.247353087201105</v>
      </c>
      <c r="I30" s="208">
        <f>'[5]Sithe Positions '!$AP29</f>
        <v>-39.362425585689472</v>
      </c>
      <c r="J30" s="209">
        <f t="shared" si="3"/>
        <v>-130.60977867289057</v>
      </c>
      <c r="K30" s="208">
        <f>'[5]Sithe Positions '!$BB29</f>
        <v>5652.4979258672683</v>
      </c>
      <c r="L30" s="208">
        <f>'[5]Sithe Positions '!$BD29</f>
        <v>2128.6972001088202</v>
      </c>
      <c r="M30" s="208">
        <f t="shared" si="1"/>
        <v>7781.1951259760881</v>
      </c>
      <c r="O30" s="171"/>
    </row>
    <row r="31" spans="1:15">
      <c r="A31" s="156">
        <v>37622</v>
      </c>
      <c r="C31" s="171">
        <f>'[5]Sithe Positions '!$I30</f>
        <v>-5097.2967530332317</v>
      </c>
      <c r="D31" s="171">
        <f>'[5]Sithe Positions '!$U30</f>
        <v>182.7298337458771</v>
      </c>
      <c r="E31" s="171">
        <f>'[5]Sithe Positions '!$V30</f>
        <v>84.003450489987657</v>
      </c>
      <c r="F31" s="191">
        <f t="shared" si="2"/>
        <v>266.73328423586474</v>
      </c>
      <c r="G31" s="208">
        <f>'[5]Sithe Positions '!$AC30</f>
        <v>2388.496698160769</v>
      </c>
      <c r="H31" s="208">
        <f>'[5]Sithe Positions '!$AO30</f>
        <v>-85.623738562558117</v>
      </c>
      <c r="I31" s="208">
        <f>'[5]Sithe Positions '!$AP30</f>
        <v>-39.362425585689472</v>
      </c>
      <c r="J31" s="209">
        <f t="shared" si="3"/>
        <v>-124.98616414824758</v>
      </c>
      <c r="K31" s="208">
        <f>'[5]Sithe Positions '!$BB30</f>
        <v>4764.6206772791656</v>
      </c>
      <c r="L31" s="208">
        <f>'[5]Sithe Positions '!$BD30</f>
        <v>2184.2883994985091</v>
      </c>
      <c r="M31" s="208">
        <f t="shared" si="1"/>
        <v>6948.9090767776743</v>
      </c>
      <c r="O31" s="171"/>
    </row>
    <row r="32" spans="1:15">
      <c r="A32" s="156">
        <v>37653</v>
      </c>
      <c r="C32" s="171">
        <f>'[5]Sithe Positions '!$I31</f>
        <v>-4585.2307372521409</v>
      </c>
      <c r="D32" s="171">
        <f>'[5]Sithe Positions '!$U31</f>
        <v>167.22333023294652</v>
      </c>
      <c r="E32" s="171">
        <f>'[5]Sithe Positions '!$V31</f>
        <v>75.564602549915278</v>
      </c>
      <c r="F32" s="191">
        <f t="shared" si="2"/>
        <v>242.78793278286179</v>
      </c>
      <c r="G32" s="208">
        <f>'[5]Sithe Positions '!$AC31</f>
        <v>2157.3518564032752</v>
      </c>
      <c r="H32" s="208">
        <f>'[5]Sithe Positions '!$AO31</f>
        <v>-78.678605850963763</v>
      </c>
      <c r="I32" s="208">
        <f>'[5]Sithe Positions '!$AP31</f>
        <v>-35.553158593525971</v>
      </c>
      <c r="J32" s="209">
        <f t="shared" si="3"/>
        <v>-114.23176444448973</v>
      </c>
      <c r="K32" s="208">
        <f>'[5]Sithe Positions '!$BB31</f>
        <v>3726.2049826441853</v>
      </c>
      <c r="L32" s="208">
        <f>'[5]Sithe Positions '!$BD31</f>
        <v>2233.6812231971471</v>
      </c>
      <c r="M32" s="208">
        <f t="shared" si="1"/>
        <v>5959.8862058413324</v>
      </c>
      <c r="O32" s="171"/>
    </row>
    <row r="33" spans="1:15">
      <c r="A33" s="156">
        <v>37681</v>
      </c>
      <c r="C33" s="171">
        <f>'[5]Sithe Positions '!$I32</f>
        <v>-5053.8833015665086</v>
      </c>
      <c r="D33" s="171">
        <f>'[5]Sithe Positions '!$U32</f>
        <v>195.17295235788851</v>
      </c>
      <c r="E33" s="171">
        <f>'[5]Sithe Positions '!$V32</f>
        <v>83.28799680981605</v>
      </c>
      <c r="F33" s="191">
        <f t="shared" si="2"/>
        <v>278.46094916770454</v>
      </c>
      <c r="G33" s="208">
        <f>'[5]Sithe Positions '!$AC32</f>
        <v>2388.496698160769</v>
      </c>
      <c r="H33" s="208">
        <f>'[5]Sithe Positions '!$AO32</f>
        <v>-92.239951827263425</v>
      </c>
      <c r="I33" s="208">
        <f>'[5]Sithe Positions '!$AP32</f>
        <v>-39.362425585689472</v>
      </c>
      <c r="J33" s="209">
        <f t="shared" si="3"/>
        <v>-131.6023774129529</v>
      </c>
      <c r="K33" s="208">
        <f>'[5]Sithe Positions '!$BB32</f>
        <v>5178.5609317836052</v>
      </c>
      <c r="L33" s="208">
        <f>'[5]Sithe Positions '!$BD32</f>
        <v>2293.7263755103477</v>
      </c>
      <c r="M33" s="208">
        <f t="shared" si="1"/>
        <v>7472.2873072939528</v>
      </c>
      <c r="O33" s="171"/>
    </row>
    <row r="34" spans="1:15">
      <c r="A34" s="156">
        <v>37712</v>
      </c>
      <c r="C34" s="171">
        <f>'[5]Sithe Positions '!$I33</f>
        <v>-4869.4297759326646</v>
      </c>
      <c r="D34" s="171">
        <f>'[5]Sithe Positions '!$U33</f>
        <v>194.92693479998195</v>
      </c>
      <c r="E34" s="171">
        <f>'[5]Sithe Positions '!$V33</f>
        <v>80.248202707370311</v>
      </c>
      <c r="F34" s="191">
        <f t="shared" si="2"/>
        <v>275.17513750735225</v>
      </c>
      <c r="G34" s="208">
        <f>'[5]Sithe Positions '!$AC33</f>
        <v>2311.4484175749376</v>
      </c>
      <c r="H34" s="208">
        <f>'[5]Sithe Positions '!$AO33</f>
        <v>-92.529017917678615</v>
      </c>
      <c r="I34" s="208">
        <f>'[5]Sithe Positions '!$AP33</f>
        <v>-38.092669921634979</v>
      </c>
      <c r="J34" s="209">
        <f t="shared" si="3"/>
        <v>-130.62168783931361</v>
      </c>
      <c r="K34" s="208">
        <f>'[5]Sithe Positions '!$BB33</f>
        <v>4412.0411563574089</v>
      </c>
      <c r="L34" s="208">
        <f>'[5]Sithe Positions '!$BD33</f>
        <v>2349.0732467602929</v>
      </c>
      <c r="M34" s="208">
        <f t="shared" si="1"/>
        <v>6761.1144031177018</v>
      </c>
      <c r="O34" s="171"/>
    </row>
    <row r="35" spans="1:15">
      <c r="A35" s="156">
        <v>37742</v>
      </c>
      <c r="C35" s="171">
        <f>'[5]Sithe Positions '!$I34</f>
        <v>-5009.168438237024</v>
      </c>
      <c r="D35" s="171">
        <f>'[5]Sithe Positions '!$U34</f>
        <v>212.50497405437335</v>
      </c>
      <c r="E35" s="171">
        <f>'[5]Sithe Positions '!$V34</f>
        <v>82.551095862146155</v>
      </c>
      <c r="F35" s="191">
        <f t="shared" si="2"/>
        <v>295.0560699165195</v>
      </c>
      <c r="G35" s="208">
        <f>'[5]Sithe Positions '!$AC34</f>
        <v>2388.496698160769</v>
      </c>
      <c r="H35" s="208">
        <f>'[5]Sithe Positions '!$AO34</f>
        <v>-101.32768245466482</v>
      </c>
      <c r="I35" s="208">
        <f>'[5]Sithe Positions '!$AP34</f>
        <v>-39.362425585689472</v>
      </c>
      <c r="J35" s="209">
        <f t="shared" si="3"/>
        <v>-140.69010804035429</v>
      </c>
      <c r="K35" s="208">
        <f>'[5]Sithe Positions '!$BB34</f>
        <v>3831.6747851207629</v>
      </c>
      <c r="L35" s="208">
        <f>'[5]Sithe Positions '!$BD34</f>
        <v>2400.0411583651739</v>
      </c>
      <c r="M35" s="208">
        <f t="shared" si="1"/>
        <v>6231.7159434859368</v>
      </c>
      <c r="O35" s="171"/>
    </row>
    <row r="36" spans="1:15">
      <c r="A36" s="156">
        <v>37773</v>
      </c>
      <c r="C36" s="171">
        <f>'[5]Sithe Positions '!$I35</f>
        <v>-4826.2339935176587</v>
      </c>
      <c r="D36" s="171">
        <f>'[5]Sithe Positions '!$U35</f>
        <v>174.77481220342648</v>
      </c>
      <c r="E36" s="171">
        <f>'[5]Sithe Positions '!$V35</f>
        <v>79.536336213171026</v>
      </c>
      <c r="F36" s="191">
        <f t="shared" si="2"/>
        <v>254.31114841659752</v>
      </c>
      <c r="G36" s="208">
        <f>'[5]Sithe Positions '!$AC35</f>
        <v>2311.4484175749376</v>
      </c>
      <c r="H36" s="208">
        <f>'[5]Sithe Positions '!$AO35</f>
        <v>-83.705631273198847</v>
      </c>
      <c r="I36" s="208">
        <f>'[5]Sithe Positions '!$AP35</f>
        <v>-38.092669921634979</v>
      </c>
      <c r="J36" s="209">
        <f t="shared" si="3"/>
        <v>-121.79830119483383</v>
      </c>
      <c r="K36" s="208">
        <f>'[5]Sithe Positions '!$BB35</f>
        <v>2862.990674351634</v>
      </c>
      <c r="L36" s="208">
        <f>'[5]Sithe Positions '!$BD35</f>
        <v>2444.6162830571361</v>
      </c>
      <c r="M36" s="208">
        <f t="shared" si="1"/>
        <v>5307.6069574087705</v>
      </c>
      <c r="O36" s="171"/>
    </row>
    <row r="37" spans="1:15">
      <c r="A37" s="156">
        <v>37803</v>
      </c>
      <c r="C37" s="171">
        <f>'[5]Sithe Positions '!$I36</f>
        <v>-4964.4631685893255</v>
      </c>
      <c r="D37" s="171">
        <f>'[5]Sithe Positions '!$U36</f>
        <v>166.57147588612071</v>
      </c>
      <c r="E37" s="171">
        <f>'[5]Sithe Positions '!$V36</f>
        <v>81.814353018352094</v>
      </c>
      <c r="F37" s="191">
        <f t="shared" si="2"/>
        <v>248.38582890447282</v>
      </c>
      <c r="G37" s="208">
        <f>'[5]Sithe Positions '!$AC36</f>
        <v>2388.496698160769</v>
      </c>
      <c r="H37" s="208">
        <f>'[5]Sithe Positions '!$AO36</f>
        <v>-80.140673150530787</v>
      </c>
      <c r="I37" s="208">
        <f>'[5]Sithe Positions '!$AP36</f>
        <v>-39.362425585689479</v>
      </c>
      <c r="J37" s="209">
        <f t="shared" si="3"/>
        <v>-119.50309873622027</v>
      </c>
      <c r="K37" s="208">
        <f>'[5]Sithe Positions '!$BB36</f>
        <v>1194.6050947827825</v>
      </c>
      <c r="L37" s="208">
        <f>'[5]Sithe Positions '!$BD36</f>
        <v>2477.0034006306764</v>
      </c>
      <c r="M37" s="208">
        <f t="shared" si="1"/>
        <v>3671.608495413459</v>
      </c>
      <c r="O37" s="171"/>
    </row>
    <row r="38" spans="1:15">
      <c r="A38" s="156">
        <v>37834</v>
      </c>
      <c r="C38" s="171">
        <f>'[5]Sithe Positions '!$I37</f>
        <v>-4941.7723689929408</v>
      </c>
      <c r="D38" s="171">
        <f>'[5]Sithe Positions '!$U37</f>
        <v>166.1228763599197</v>
      </c>
      <c r="E38" s="171">
        <f>'[5]Sithe Positions '!$V37</f>
        <v>81.440408641003685</v>
      </c>
      <c r="F38" s="191">
        <f t="shared" si="2"/>
        <v>247.56328500092337</v>
      </c>
      <c r="G38" s="208">
        <f>'[5]Sithe Positions '!$AC37</f>
        <v>2388.496698160769</v>
      </c>
      <c r="H38" s="208">
        <f>'[5]Sithe Positions '!$AO37</f>
        <v>-80.291828932520517</v>
      </c>
      <c r="I38" s="208">
        <f>'[5]Sithe Positions '!$AP37</f>
        <v>-39.362425585689479</v>
      </c>
      <c r="J38" s="209">
        <f t="shared" si="3"/>
        <v>-119.65425451821</v>
      </c>
      <c r="K38" s="208">
        <f>'[5]Sithe Positions '!$BB37</f>
        <v>1272.5499590001621</v>
      </c>
      <c r="L38" s="208">
        <f>'[5]Sithe Positions '!$BD37</f>
        <v>2510.3003336815791</v>
      </c>
      <c r="M38" s="208">
        <f t="shared" si="1"/>
        <v>3782.8502926817409</v>
      </c>
      <c r="O38" s="171"/>
    </row>
    <row r="39" spans="1:15">
      <c r="A39" s="156">
        <v>37865</v>
      </c>
      <c r="C39" s="171">
        <f>'[5]Sithe Positions '!$I38</f>
        <v>-4760.9830263225285</v>
      </c>
      <c r="D39" s="171">
        <f>'[5]Sithe Positions '!$U38</f>
        <v>188.16359467513163</v>
      </c>
      <c r="E39" s="171">
        <f>'[5]Sithe Positions '!$V38</f>
        <v>78.461000273795278</v>
      </c>
      <c r="F39" s="191">
        <f t="shared" si="2"/>
        <v>266.62459494892693</v>
      </c>
      <c r="G39" s="208">
        <f>'[5]Sithe Positions '!$AC38</f>
        <v>2311.4484175749376</v>
      </c>
      <c r="H39" s="208">
        <f>'[5]Sithe Positions '!$AO38</f>
        <v>-91.353075772881581</v>
      </c>
      <c r="I39" s="208">
        <f>'[5]Sithe Positions '!$AP38</f>
        <v>-38.092669921634979</v>
      </c>
      <c r="J39" s="209">
        <f t="shared" si="3"/>
        <v>-129.44574569451657</v>
      </c>
      <c r="K39" s="208">
        <f>'[5]Sithe Positions '!$BB38</f>
        <v>4340.9104709877101</v>
      </c>
      <c r="L39" s="208">
        <f>'[5]Sithe Positions '!$BD38</f>
        <v>2566.8083965959954</v>
      </c>
      <c r="M39" s="208">
        <f t="shared" si="1"/>
        <v>6907.718867583706</v>
      </c>
      <c r="O39" s="171"/>
    </row>
    <row r="40" spans="1:15">
      <c r="A40" s="156">
        <v>37895</v>
      </c>
      <c r="C40" s="171">
        <f>'[5]Sithe Positions '!$I39</f>
        <v>-4897.0422877472547</v>
      </c>
      <c r="D40" s="171">
        <f>'[5]Sithe Positions '!$U39</f>
        <v>218.32197426194202</v>
      </c>
      <c r="E40" s="171">
        <f>'[5]Sithe Positions '!$V39</f>
        <v>80.70325690207477</v>
      </c>
      <c r="F40" s="191">
        <f t="shared" si="2"/>
        <v>299.02523116401676</v>
      </c>
      <c r="G40" s="208">
        <f>'[5]Sithe Positions '!$AC39</f>
        <v>2388.496698160769</v>
      </c>
      <c r="H40" s="208">
        <f>'[5]Sithe Positions '!$AO39</f>
        <v>-106.4849523487518</v>
      </c>
      <c r="I40" s="208">
        <f>'[5]Sithe Positions '!$AP39</f>
        <v>-39.362425585689472</v>
      </c>
      <c r="J40" s="209">
        <f t="shared" si="3"/>
        <v>-145.84737793444128</v>
      </c>
      <c r="K40" s="208">
        <f>'[5]Sithe Positions '!$BB39</f>
        <v>4156.7882103910179</v>
      </c>
      <c r="L40" s="208">
        <f>'[5]Sithe Positions '!$BD39</f>
        <v>2622.2197417950829</v>
      </c>
      <c r="M40" s="208">
        <f t="shared" si="1"/>
        <v>6779.0079521861007</v>
      </c>
      <c r="O40" s="171"/>
    </row>
    <row r="41" spans="1:15">
      <c r="A41" s="156">
        <v>37926</v>
      </c>
      <c r="C41" s="171">
        <f>'[5]Sithe Positions '!$I40</f>
        <v>-4717.7774785349657</v>
      </c>
      <c r="D41" s="171">
        <f>'[5]Sithe Positions '!$U40</f>
        <v>188.98991909180475</v>
      </c>
      <c r="E41" s="171">
        <f>'[5]Sithe Positions '!$V40</f>
        <v>77.748972846256223</v>
      </c>
      <c r="F41" s="191">
        <f t="shared" si="2"/>
        <v>266.73889193806099</v>
      </c>
      <c r="G41" s="208">
        <f>'[5]Sithe Positions '!$AC40</f>
        <v>2311.4484175749376</v>
      </c>
      <c r="H41" s="208">
        <f>'[5]Sithe Positions '!$AO40</f>
        <v>-92.594542962213197</v>
      </c>
      <c r="I41" s="208">
        <f>'[5]Sithe Positions '!$AP40</f>
        <v>-38.092669921634972</v>
      </c>
      <c r="J41" s="209">
        <f t="shared" si="3"/>
        <v>-130.68721288384816</v>
      </c>
      <c r="K41" s="208">
        <f>'[5]Sithe Positions '!$BB40</f>
        <v>4745.6085147030108</v>
      </c>
      <c r="L41" s="208">
        <f>'[5]Sithe Positions '!$BD40</f>
        <v>2682.599305014272</v>
      </c>
      <c r="M41" s="208">
        <f t="shared" si="1"/>
        <v>7428.2078197172832</v>
      </c>
      <c r="O41" s="171"/>
    </row>
    <row r="42" spans="1:15">
      <c r="A42" s="156">
        <v>37956</v>
      </c>
      <c r="C42" s="171">
        <f>'[5]Sithe Positions '!$I41</f>
        <v>-4852.413291314484</v>
      </c>
      <c r="D42" s="171">
        <f>'[5]Sithe Positions '!$U41</f>
        <v>188.59427015411785</v>
      </c>
      <c r="E42" s="171">
        <f>'[5]Sithe Positions '!$V41</f>
        <v>79.967771040862701</v>
      </c>
      <c r="F42" s="191">
        <f t="shared" si="2"/>
        <v>268.56204119498057</v>
      </c>
      <c r="G42" s="208">
        <f>'[5]Sithe Positions '!$AC41</f>
        <v>2388.496698160769</v>
      </c>
      <c r="H42" s="208">
        <f>'[5]Sithe Positions '!$AO41</f>
        <v>-92.831497342042155</v>
      </c>
      <c r="I42" s="208">
        <f>'[5]Sithe Positions '!$AP41</f>
        <v>-39.362425585689472</v>
      </c>
      <c r="J42" s="209">
        <f t="shared" si="3"/>
        <v>-132.19392292773162</v>
      </c>
      <c r="K42" s="208">
        <f>'[5]Sithe Positions '!$BB41</f>
        <v>5323.1023725516015</v>
      </c>
      <c r="L42" s="208">
        <f>'[5]Sithe Positions '!$BD41</f>
        <v>2747.8000295679899</v>
      </c>
      <c r="M42" s="208">
        <f t="shared" si="1"/>
        <v>8070.902402119591</v>
      </c>
      <c r="O42" s="171"/>
    </row>
    <row r="43" spans="1:15">
      <c r="A43" s="156">
        <v>37987</v>
      </c>
      <c r="C43" s="171">
        <f>'[5]Sithe Positions '!$I42</f>
        <v>-4829.6207534531586</v>
      </c>
      <c r="D43" s="171">
        <f>'[5]Sithe Positions '!$U42</f>
        <v>174.62026912254834</v>
      </c>
      <c r="E43" s="171">
        <f>'[5]Sithe Positions '!$V42</f>
        <v>79.592150016908064</v>
      </c>
      <c r="F43" s="191">
        <f t="shared" si="2"/>
        <v>254.21241913945641</v>
      </c>
      <c r="G43" s="208">
        <f>'[5]Sithe Positions '!$AC42</f>
        <v>2388.496698160769</v>
      </c>
      <c r="H43" s="208">
        <f>'[5]Sithe Positions '!$AO42</f>
        <v>-86.358734468527615</v>
      </c>
      <c r="I43" s="208">
        <f>'[5]Sithe Positions '!$AP42</f>
        <v>-39.362425585689479</v>
      </c>
      <c r="J43" s="209">
        <f t="shared" si="3"/>
        <v>-125.72116005421709</v>
      </c>
      <c r="K43" s="208">
        <f>'[5]Sithe Positions '!$BB42</f>
        <v>4256.1014926286871</v>
      </c>
      <c r="L43" s="208">
        <f>'[5]Sithe Positions '!$BD42</f>
        <v>2806.0209523063545</v>
      </c>
      <c r="M43" s="208">
        <f t="shared" si="1"/>
        <v>7062.1224449350411</v>
      </c>
      <c r="O43" s="171"/>
    </row>
    <row r="44" spans="1:15">
      <c r="A44" s="156">
        <v>38018</v>
      </c>
      <c r="C44" s="171">
        <f>'[5]Sithe Positions '!$I43</f>
        <v>-4497.8400514075638</v>
      </c>
      <c r="D44" s="171">
        <f>'[5]Sithe Positions '!$U43</f>
        <v>165.51962182813213</v>
      </c>
      <c r="E44" s="171">
        <f>'[5]Sithe Positions '!$V43</f>
        <v>74.124404047196649</v>
      </c>
      <c r="F44" s="191">
        <f t="shared" si="2"/>
        <v>239.64402587532879</v>
      </c>
      <c r="G44" s="208">
        <f>'[5]Sithe Positions '!$AC43</f>
        <v>2234.4001369891066</v>
      </c>
      <c r="H44" s="208">
        <f>'[5]Sithe Positions '!$AO43</f>
        <v>-82.225481889118285</v>
      </c>
      <c r="I44" s="208">
        <f>'[5]Sithe Positions '!$AP43</f>
        <v>-36.822914257580472</v>
      </c>
      <c r="J44" s="209">
        <f t="shared" si="3"/>
        <v>-119.04839614669876</v>
      </c>
      <c r="K44" s="208">
        <f>'[5]Sithe Positions '!$BB43</f>
        <v>3461.1560257587225</v>
      </c>
      <c r="L44" s="208">
        <f>'[5]Sithe Positions '!$BD43</f>
        <v>2859.0492925949416</v>
      </c>
      <c r="M44" s="208">
        <f t="shared" si="1"/>
        <v>6320.2053183536646</v>
      </c>
      <c r="O44" s="171"/>
    </row>
    <row r="45" spans="1:15">
      <c r="A45" s="156">
        <v>38047</v>
      </c>
      <c r="C45" s="171">
        <f>'[5]Sithe Positions '!$I44</f>
        <v>-4785.2781199855308</v>
      </c>
      <c r="D45" s="171">
        <f>'[5]Sithe Positions '!$U44</f>
        <v>187.26099975152803</v>
      </c>
      <c r="E45" s="171">
        <f>'[5]Sithe Positions '!$V44</f>
        <v>78.861383417361566</v>
      </c>
      <c r="F45" s="191">
        <f t="shared" si="2"/>
        <v>266.1223831688896</v>
      </c>
      <c r="G45" s="208">
        <f>'[5]Sithe Positions '!$AC44</f>
        <v>2388.496698160769</v>
      </c>
      <c r="H45" s="208">
        <f>'[5]Sithe Positions '!$AO44</f>
        <v>-93.468397945940438</v>
      </c>
      <c r="I45" s="208">
        <f>'[5]Sithe Positions '!$AP44</f>
        <v>-39.362425585689479</v>
      </c>
      <c r="J45" s="209">
        <f t="shared" si="3"/>
        <v>-132.8308235316299</v>
      </c>
      <c r="K45" s="208">
        <f>'[5]Sithe Positions '!$BB44</f>
        <v>4851.4598729775589</v>
      </c>
      <c r="L45" s="208">
        <f>'[5]Sithe Positions '!$BD44</f>
        <v>2922.7575699854447</v>
      </c>
      <c r="M45" s="208">
        <f t="shared" si="1"/>
        <v>7774.2174429630031</v>
      </c>
      <c r="O45" s="171"/>
    </row>
    <row r="46" spans="1:15">
      <c r="A46" s="156">
        <v>38078</v>
      </c>
      <c r="C46" s="171">
        <f>'[5]Sithe Positions '!$I45</f>
        <v>-4609.5367281442723</v>
      </c>
      <c r="D46" s="171">
        <f>'[5]Sithe Positions '!$U45</f>
        <v>187.165840089082</v>
      </c>
      <c r="E46" s="171">
        <f>'[5]Sithe Positions '!$V45</f>
        <v>75.965165279817612</v>
      </c>
      <c r="F46" s="191">
        <f t="shared" si="2"/>
        <v>263.13100536889959</v>
      </c>
      <c r="G46" s="208">
        <f>'[5]Sithe Positions '!$AC45</f>
        <v>2311.4484175749376</v>
      </c>
      <c r="H46" s="208">
        <f>'[5]Sithe Positions '!$AO45</f>
        <v>-93.854157242426425</v>
      </c>
      <c r="I46" s="208">
        <f>'[5]Sithe Positions '!$AP45</f>
        <v>-38.092669921634979</v>
      </c>
      <c r="J46" s="209">
        <f t="shared" si="3"/>
        <v>-131.9468271640614</v>
      </c>
      <c r="K46" s="208">
        <f>'[5]Sithe Positions '!$BB45</f>
        <v>4274.630150622831</v>
      </c>
      <c r="L46" s="208">
        <f>'[5]Sithe Positions '!$BD45</f>
        <v>2982.7126348724883</v>
      </c>
      <c r="M46" s="208">
        <f t="shared" si="1"/>
        <v>7257.3427854953188</v>
      </c>
      <c r="O46" s="171"/>
    </row>
    <row r="47" spans="1:15">
      <c r="A47" s="156">
        <v>38108</v>
      </c>
      <c r="C47" s="171">
        <f>'[5]Sithe Positions '!$I46</f>
        <v>-4740.7414584478447</v>
      </c>
      <c r="D47" s="171">
        <f>'[5]Sithe Positions '!$U46</f>
        <v>204.2738943993032</v>
      </c>
      <c r="E47" s="171">
        <f>'[5]Sithe Positions '!$V46</f>
        <v>78.127419235220472</v>
      </c>
      <c r="F47" s="191">
        <f t="shared" si="2"/>
        <v>282.40131363452366</v>
      </c>
      <c r="G47" s="208">
        <f>'[5]Sithe Positions '!$AC46</f>
        <v>2388.496698160769</v>
      </c>
      <c r="H47" s="208">
        <f>'[5]Sithe Positions '!$AO46</f>
        <v>-102.91797740282637</v>
      </c>
      <c r="I47" s="208">
        <f>'[5]Sithe Positions '!$AP46</f>
        <v>-39.362425585689479</v>
      </c>
      <c r="J47" s="209">
        <f t="shared" si="3"/>
        <v>-142.28040298851585</v>
      </c>
      <c r="K47" s="208">
        <f>'[5]Sithe Positions '!$BB46</f>
        <v>3910.1773693247596</v>
      </c>
      <c r="L47" s="208">
        <f>'[5]Sithe Positions '!$BD46</f>
        <v>3039.8507242980386</v>
      </c>
      <c r="M47" s="208">
        <f t="shared" si="1"/>
        <v>6950.0280936227982</v>
      </c>
      <c r="O47" s="171"/>
    </row>
    <row r="48" spans="1:15">
      <c r="A48" s="156">
        <v>38139</v>
      </c>
      <c r="C48" s="171">
        <f>'[5]Sithe Positions '!$I47</f>
        <v>-4566.6323396077842</v>
      </c>
      <c r="D48" s="171">
        <f>'[5]Sithe Positions '!$U47</f>
        <v>166.97252752370281</v>
      </c>
      <c r="E48" s="171">
        <f>'[5]Sithe Positions '!$V47</f>
        <v>75.258100956736271</v>
      </c>
      <c r="F48" s="191">
        <f t="shared" si="2"/>
        <v>242.23062848043907</v>
      </c>
      <c r="G48" s="208">
        <f>'[5]Sithe Positions '!$AC47</f>
        <v>2311.4484175749376</v>
      </c>
      <c r="H48" s="208">
        <f>'[5]Sithe Positions '!$AO47</f>
        <v>-84.514880073813586</v>
      </c>
      <c r="I48" s="208">
        <f>'[5]Sithe Positions '!$AP47</f>
        <v>-38.092669921634972</v>
      </c>
      <c r="J48" s="209">
        <f t="shared" si="3"/>
        <v>-122.60754999544855</v>
      </c>
      <c r="K48" s="208">
        <f>'[5]Sithe Positions '!$BB47</f>
        <v>3021.6520320089262</v>
      </c>
      <c r="L48" s="208">
        <f>'[5]Sithe Positions '!$BD47</f>
        <v>3091.0386774844696</v>
      </c>
      <c r="M48" s="208">
        <f t="shared" si="1"/>
        <v>6112.6907094933958</v>
      </c>
      <c r="O48" s="171"/>
    </row>
    <row r="49" spans="1:15">
      <c r="A49" s="156">
        <v>38169</v>
      </c>
      <c r="C49" s="171">
        <f>'[5]Sithe Positions '!$I48</f>
        <v>-4696.4362349039056</v>
      </c>
      <c r="D49" s="171">
        <f>'[5]Sithe Positions '!$U48</f>
        <v>158.34628892827044</v>
      </c>
      <c r="E49" s="171">
        <f>'[5]Sithe Positions '!$V48</f>
        <v>77.397269151216378</v>
      </c>
      <c r="F49" s="191">
        <f t="shared" si="2"/>
        <v>235.74355807948683</v>
      </c>
      <c r="G49" s="208">
        <f>'[5]Sithe Positions '!$AC48</f>
        <v>2388.496698160769</v>
      </c>
      <c r="H49" s="208">
        <f>'[5]Sithe Positions '!$AO48</f>
        <v>-80.531187767510218</v>
      </c>
      <c r="I49" s="208">
        <f>'[5]Sithe Positions '!$AP48</f>
        <v>-39.362425585689472</v>
      </c>
      <c r="J49" s="209">
        <f t="shared" si="3"/>
        <v>-119.8936133531997</v>
      </c>
      <c r="K49" s="208">
        <f>'[5]Sithe Positions '!$BB48</f>
        <v>1460.8884660158615</v>
      </c>
      <c r="L49" s="208">
        <f>'[5]Sithe Positions '!$BD48</f>
        <v>3130.631018094823</v>
      </c>
      <c r="M49" s="208">
        <f t="shared" si="1"/>
        <v>4591.5194841106841</v>
      </c>
      <c r="O49" s="171"/>
    </row>
    <row r="50" spans="1:15">
      <c r="A50" s="156">
        <v>38200</v>
      </c>
      <c r="C50" s="171">
        <f>'[5]Sithe Positions '!$I49</f>
        <v>-4673.9952889510851</v>
      </c>
      <c r="D50" s="171">
        <f>'[5]Sithe Positions '!$U49</f>
        <v>157.89305512485711</v>
      </c>
      <c r="E50" s="171">
        <f>'[5]Sithe Positions '!$V49</f>
        <v>77.027442361913899</v>
      </c>
      <c r="F50" s="191">
        <f t="shared" si="2"/>
        <v>234.92049748677101</v>
      </c>
      <c r="G50" s="208">
        <f>'[5]Sithe Positions '!$AC49</f>
        <v>2388.496698160769</v>
      </c>
      <c r="H50" s="208">
        <f>'[5]Sithe Positions '!$AO49</f>
        <v>-80.686226132861705</v>
      </c>
      <c r="I50" s="208">
        <f>'[5]Sithe Positions '!$AP49</f>
        <v>-39.362425585689472</v>
      </c>
      <c r="J50" s="209">
        <f t="shared" si="3"/>
        <v>-120.04865171855118</v>
      </c>
      <c r="K50" s="208">
        <f>'[5]Sithe Positions '!$BB49</f>
        <v>1562.6216116938001</v>
      </c>
      <c r="L50" s="208">
        <f>'[5]Sithe Positions '!$BD49</f>
        <v>3171.4438086768346</v>
      </c>
      <c r="M50" s="208">
        <f t="shared" si="1"/>
        <v>4734.0654203706345</v>
      </c>
      <c r="O50" s="171"/>
    </row>
    <row r="51" spans="1:15">
      <c r="A51" s="156">
        <v>38231</v>
      </c>
      <c r="C51" s="171">
        <f>'[5]Sithe Positions '!$I50</f>
        <v>-4502.121612951616</v>
      </c>
      <c r="D51" s="171">
        <f>'[5]Sithe Positions '!$U50</f>
        <v>180.38399053260261</v>
      </c>
      <c r="E51" s="171">
        <f>'[5]Sithe Positions '!$V50</f>
        <v>74.194964181442614</v>
      </c>
      <c r="F51" s="191">
        <f t="shared" si="2"/>
        <v>254.57895471404521</v>
      </c>
      <c r="G51" s="208">
        <f>'[5]Sithe Positions '!$AC50</f>
        <v>2311.4484175749376</v>
      </c>
      <c r="H51" s="208">
        <f>'[5]Sithe Positions '!$AO50</f>
        <v>-92.611511930945653</v>
      </c>
      <c r="I51" s="208">
        <f>'[5]Sithe Positions '!$AP50</f>
        <v>-38.092669921634972</v>
      </c>
      <c r="J51" s="209">
        <f t="shared" si="3"/>
        <v>-130.70418185258063</v>
      </c>
      <c r="K51" s="208">
        <f>'[5]Sithe Positions '!$BB50</f>
        <v>4589.8922839224497</v>
      </c>
      <c r="L51" s="208">
        <f>'[5]Sithe Positions '!$BD50</f>
        <v>3235.7296676916035</v>
      </c>
      <c r="M51" s="208">
        <f t="shared" si="1"/>
        <v>7825.6219516140536</v>
      </c>
      <c r="O51" s="171"/>
    </row>
    <row r="52" spans="1:15">
      <c r="A52" s="156">
        <v>38261</v>
      </c>
      <c r="C52" s="171">
        <f>'[5]Sithe Positions '!$I51</f>
        <v>-4629.8829924575221</v>
      </c>
      <c r="D52" s="171">
        <f>'[5]Sithe Positions '!$U51</f>
        <v>210.07727671988775</v>
      </c>
      <c r="E52" s="171">
        <f>'[5]Sithe Positions '!$V51</f>
        <v>76.300471715699985</v>
      </c>
      <c r="F52" s="191">
        <f t="shared" si="2"/>
        <v>286.3777484355877</v>
      </c>
      <c r="G52" s="208">
        <f>'[5]Sithe Positions '!$AC51</f>
        <v>2388.496698160769</v>
      </c>
      <c r="H52" s="208">
        <f>'[5]Sithe Positions '!$AO51</f>
        <v>-108.37614743644339</v>
      </c>
      <c r="I52" s="208">
        <f>'[5]Sithe Positions '!$AP51</f>
        <v>-39.362425585689479</v>
      </c>
      <c r="J52" s="209">
        <f t="shared" si="3"/>
        <v>-147.73857302213287</v>
      </c>
      <c r="K52" s="208">
        <f>'[5]Sithe Positions '!$BB51</f>
        <v>4470.1213580734138</v>
      </c>
      <c r="L52" s="208">
        <f>'[5]Sithe Positions '!$BD51</f>
        <v>3299.4655069890223</v>
      </c>
      <c r="M52" s="208">
        <f t="shared" si="1"/>
        <v>7769.5868650624361</v>
      </c>
      <c r="O52" s="171"/>
    </row>
    <row r="53" spans="1:15">
      <c r="A53" s="156">
        <v>38292</v>
      </c>
      <c r="C53" s="171">
        <f>'[5]Sithe Positions '!$I52</f>
        <v>-4459.5516778124756</v>
      </c>
      <c r="D53" s="171">
        <f>'[5]Sithe Positions '!$U52</f>
        <v>181.25846761739177</v>
      </c>
      <c r="E53" s="171">
        <f>'[5]Sithe Positions '!$V52</f>
        <v>73.4934116503496</v>
      </c>
      <c r="F53" s="191">
        <f t="shared" si="2"/>
        <v>254.75187926774137</v>
      </c>
      <c r="G53" s="208">
        <f>'[5]Sithe Positions '!$AC52</f>
        <v>2311.4484175749376</v>
      </c>
      <c r="H53" s="208">
        <f>'[5]Sithe Positions '!$AO52</f>
        <v>-93.948815579550285</v>
      </c>
      <c r="I53" s="208">
        <f>'[5]Sithe Positions '!$AP52</f>
        <v>-38.092669921634979</v>
      </c>
      <c r="J53" s="209">
        <f t="shared" si="3"/>
        <v>-132.04148550118526</v>
      </c>
      <c r="K53" s="208">
        <f>'[5]Sithe Positions '!$BB52</f>
        <v>5069.6439888686245</v>
      </c>
      <c r="L53" s="208">
        <f>'[5]Sithe Positions '!$BD52</f>
        <v>3368.4755444020589</v>
      </c>
      <c r="M53" s="208">
        <f t="shared" si="1"/>
        <v>8438.119533270683</v>
      </c>
      <c r="O53" s="171"/>
    </row>
    <row r="54" spans="1:15">
      <c r="A54" s="156">
        <v>38322</v>
      </c>
      <c r="C54" s="171">
        <f>'[5]Sithe Positions '!$I53</f>
        <v>-4585.9580525523925</v>
      </c>
      <c r="D54" s="171">
        <f>'[5]Sithe Positions '!$U53</f>
        <v>180.67606371065818</v>
      </c>
      <c r="E54" s="171">
        <f>'[5]Sithe Positions '!$V53</f>
        <v>75.576588706063433</v>
      </c>
      <c r="F54" s="191">
        <f t="shared" si="2"/>
        <v>256.25265241672162</v>
      </c>
      <c r="G54" s="208">
        <f>'[5]Sithe Positions '!$AC53</f>
        <v>2388.496698160769</v>
      </c>
      <c r="H54" s="208">
        <f>'[5]Sithe Positions '!$AO53</f>
        <v>-94.10120560727951</v>
      </c>
      <c r="I54" s="208">
        <f>'[5]Sithe Positions '!$AP53</f>
        <v>-39.362425585689479</v>
      </c>
      <c r="J54" s="209">
        <f t="shared" si="3"/>
        <v>-133.46363119296899</v>
      </c>
      <c r="K54" s="208">
        <f>'[5]Sithe Positions '!$BB53</f>
        <v>5658.8858330726453</v>
      </c>
      <c r="L54" s="208">
        <f>'[5]Sithe Positions '!$BD53</f>
        <v>3442.5459664436667</v>
      </c>
      <c r="M54" s="208">
        <f t="shared" si="1"/>
        <v>9101.431799516311</v>
      </c>
      <c r="O54" s="171"/>
    </row>
    <row r="55" spans="1:15">
      <c r="A55" s="156">
        <v>38353</v>
      </c>
      <c r="C55" s="171">
        <f>'[5]Sithe Positions '!$I54</f>
        <v>-4563.5781492588494</v>
      </c>
      <c r="D55" s="171">
        <f>'[5]Sithe Positions '!$U54</f>
        <v>166.29726650170588</v>
      </c>
      <c r="E55" s="171">
        <f>'[5]Sithe Positions '!$V54</f>
        <v>75.20776789978585</v>
      </c>
      <c r="F55" s="191">
        <f t="shared" si="2"/>
        <v>241.50503440149174</v>
      </c>
      <c r="G55" s="208">
        <f>'[5]Sithe Positions '!$AC54</f>
        <v>2388.496698160769</v>
      </c>
      <c r="H55" s="208">
        <f>'[5]Sithe Positions '!$AO54</f>
        <v>-87.037070246511163</v>
      </c>
      <c r="I55" s="208">
        <f>'[5]Sithe Positions '!$AP54</f>
        <v>-39.362425585689472</v>
      </c>
      <c r="J55" s="209">
        <f t="shared" si="3"/>
        <v>-126.39949583220064</v>
      </c>
      <c r="K55" s="208">
        <f>'[5]Sithe Positions '!$BB54</f>
        <v>4459.6579616728704</v>
      </c>
      <c r="L55" s="208">
        <f>'[5]Sithe Positions '!$BD54</f>
        <v>3508.5082726585824</v>
      </c>
      <c r="M55" s="208">
        <f t="shared" si="1"/>
        <v>7968.1662343314529</v>
      </c>
      <c r="O55" s="171"/>
    </row>
    <row r="56" spans="1:15">
      <c r="A56" s="156">
        <v>38384</v>
      </c>
      <c r="C56" s="171">
        <f>'[5]Sithe Positions '!$I55</f>
        <v>-4103.4151781136625</v>
      </c>
      <c r="D56" s="171">
        <f>'[5]Sithe Positions '!$U55</f>
        <v>152.25388098302795</v>
      </c>
      <c r="E56" s="171">
        <f>'[5]Sithe Positions '!$V55</f>
        <v>67.624282135313152</v>
      </c>
      <c r="F56" s="191">
        <f t="shared" si="2"/>
        <v>219.87816311834109</v>
      </c>
      <c r="G56" s="208">
        <f>'[5]Sithe Positions '!$AC55</f>
        <v>2157.3518564032752</v>
      </c>
      <c r="H56" s="208">
        <f>'[5]Sithe Positions '!$AO55</f>
        <v>-80.046785062176909</v>
      </c>
      <c r="I56" s="208">
        <f>'[5]Sithe Positions '!$AP55</f>
        <v>-35.553158593525978</v>
      </c>
      <c r="J56" s="209">
        <f t="shared" si="3"/>
        <v>-115.59994365570289</v>
      </c>
      <c r="K56" s="208">
        <f>'[5]Sithe Positions '!$BB55</f>
        <v>3525.0644448924991</v>
      </c>
      <c r="L56" s="208">
        <f>'[5]Sithe Positions '!$BD55</f>
        <v>3568.1055252888568</v>
      </c>
      <c r="M56" s="208">
        <f t="shared" si="1"/>
        <v>7093.1699701813559</v>
      </c>
      <c r="O56" s="171"/>
    </row>
    <row r="57" spans="1:15">
      <c r="A57" s="156">
        <v>38412</v>
      </c>
      <c r="C57" s="171">
        <f>'[5]Sithe Positions '!$I56</f>
        <v>-4520.8910905385965</v>
      </c>
      <c r="D57" s="171">
        <f>'[5]Sithe Positions '!$U56</f>
        <v>179.06983849736332</v>
      </c>
      <c r="E57" s="171">
        <f>'[5]Sithe Positions '!$V56</f>
        <v>74.504285172076052</v>
      </c>
      <c r="F57" s="191">
        <f t="shared" si="2"/>
        <v>253.57412366943936</v>
      </c>
      <c r="G57" s="208">
        <f>'[5]Sithe Positions '!$AC56</f>
        <v>2388.496698160769</v>
      </c>
      <c r="H57" s="208">
        <f>'[5]Sithe Positions '!$AO56</f>
        <v>-94.606950140039643</v>
      </c>
      <c r="I57" s="208">
        <f>'[5]Sithe Positions '!$AP56</f>
        <v>-39.362425585689465</v>
      </c>
      <c r="J57" s="209">
        <f t="shared" si="3"/>
        <v>-133.96937572572909</v>
      </c>
      <c r="K57" s="208">
        <f>'[5]Sithe Positions '!$BB56</f>
        <v>5050.1317254096357</v>
      </c>
      <c r="L57" s="208">
        <f>'[5]Sithe Positions '!$BD56</f>
        <v>3639.4886533356971</v>
      </c>
      <c r="M57" s="208">
        <f t="shared" si="1"/>
        <v>8689.6203787453323</v>
      </c>
      <c r="O57" s="171"/>
    </row>
    <row r="58" spans="1:15">
      <c r="A58" s="156">
        <v>38443</v>
      </c>
      <c r="C58" s="171">
        <f>'[5]Sithe Positions '!$I57</f>
        <v>-4354.1731363863373</v>
      </c>
      <c r="D58" s="171">
        <f>'[5]Sithe Positions '!$U57</f>
        <v>179.1096812923202</v>
      </c>
      <c r="E58" s="171">
        <f>'[5]Sithe Positions '!$V57</f>
        <v>71.756773287646837</v>
      </c>
      <c r="F58" s="191">
        <f t="shared" si="2"/>
        <v>250.86645457996704</v>
      </c>
      <c r="G58" s="208">
        <f>'[5]Sithe Positions '!$AC57</f>
        <v>2311.4484175749376</v>
      </c>
      <c r="H58" s="208">
        <f>'[5]Sithe Positions '!$AO57</f>
        <v>-95.081839060510731</v>
      </c>
      <c r="I58" s="208">
        <f>'[5]Sithe Positions '!$AP57</f>
        <v>-38.092669921634979</v>
      </c>
      <c r="J58" s="209">
        <f t="shared" si="3"/>
        <v>-133.17450898214571</v>
      </c>
      <c r="K58" s="208">
        <f>'[5]Sithe Positions '!$BB57</f>
        <v>4454.1814209761069</v>
      </c>
      <c r="L58" s="208">
        <f>'[5]Sithe Positions '!$BD57</f>
        <v>3707.1339955421072</v>
      </c>
      <c r="M58" s="208">
        <f t="shared" si="1"/>
        <v>8161.3154165182141</v>
      </c>
      <c r="O58" s="171"/>
    </row>
    <row r="59" spans="1:15">
      <c r="A59" s="156">
        <v>38473</v>
      </c>
      <c r="C59" s="171">
        <f>'[5]Sithe Positions '!$I58</f>
        <v>-4477.3755790986997</v>
      </c>
      <c r="D59" s="171">
        <f>'[5]Sithe Positions '!$U58</f>
        <v>195.72320678370659</v>
      </c>
      <c r="E59" s="171">
        <f>'[5]Sithe Positions '!$V58</f>
        <v>73.787149543546576</v>
      </c>
      <c r="F59" s="191">
        <f t="shared" si="2"/>
        <v>269.51035632725313</v>
      </c>
      <c r="G59" s="208">
        <f>'[5]Sithe Positions '!$AC58</f>
        <v>2388.496698160769</v>
      </c>
      <c r="H59" s="208">
        <f>'[5]Sithe Positions '!$AO58</f>
        <v>-104.41032361426909</v>
      </c>
      <c r="I59" s="208">
        <f>'[5]Sithe Positions '!$AP58</f>
        <v>-39.362425585689479</v>
      </c>
      <c r="J59" s="209">
        <f t="shared" si="3"/>
        <v>-143.77274919995858</v>
      </c>
      <c r="K59" s="208">
        <f>'[5]Sithe Positions '!$BB58</f>
        <v>4102.2859327807382</v>
      </c>
      <c r="L59" s="208">
        <f>'[5]Sithe Positions '!$BD58</f>
        <v>3772.1755028994385</v>
      </c>
      <c r="M59" s="208">
        <f t="shared" si="1"/>
        <v>7874.4614356801767</v>
      </c>
      <c r="O59" s="171"/>
    </row>
    <row r="60" spans="1:15">
      <c r="A60" s="156">
        <v>38504</v>
      </c>
      <c r="C60" s="171">
        <f>'[5]Sithe Positions '!$I59</f>
        <v>-4312.2711052019795</v>
      </c>
      <c r="D60" s="171">
        <f>'[5]Sithe Positions '!$U59</f>
        <v>159.12085698741106</v>
      </c>
      <c r="E60" s="171">
        <f>'[5]Sithe Positions '!$V59</f>
        <v>71.066227813728631</v>
      </c>
      <c r="F60" s="191">
        <f t="shared" si="2"/>
        <v>230.18708480113969</v>
      </c>
      <c r="G60" s="208">
        <f>'[5]Sithe Positions '!$AC59</f>
        <v>2311.4484175749376</v>
      </c>
      <c r="H60" s="208">
        <f>'[5]Sithe Positions '!$AO59</f>
        <v>-85.291403094539945</v>
      </c>
      <c r="I60" s="208">
        <f>'[5]Sithe Positions '!$AP59</f>
        <v>-38.092669921634972</v>
      </c>
      <c r="J60" s="209">
        <f t="shared" si="3"/>
        <v>-123.38407301617491</v>
      </c>
      <c r="K60" s="208">
        <f>'[5]Sithe Positions '!$BB59</f>
        <v>3236.5212275536501</v>
      </c>
      <c r="L60" s="208">
        <f>'[5]Sithe Positions '!$BD59</f>
        <v>3831.3652470931297</v>
      </c>
      <c r="M60" s="208">
        <f t="shared" si="1"/>
        <v>7067.8864746467798</v>
      </c>
      <c r="O60" s="171"/>
    </row>
    <row r="61" spans="1:15">
      <c r="A61" s="156">
        <v>38534</v>
      </c>
      <c r="C61" s="171">
        <f>'[5]Sithe Positions '!$I60</f>
        <v>-4434.2332330964491</v>
      </c>
      <c r="D61" s="171">
        <f>'[5]Sithe Positions '!$U60</f>
        <v>150.16686183879693</v>
      </c>
      <c r="E61" s="171">
        <f>'[5]Sithe Positions '!$V60</f>
        <v>73.076163681429463</v>
      </c>
      <c r="F61" s="191">
        <f t="shared" si="2"/>
        <v>223.24302552022641</v>
      </c>
      <c r="G61" s="208">
        <f>'[5]Sithe Positions '!$AC60</f>
        <v>2388.496698160769</v>
      </c>
      <c r="H61" s="208">
        <f>'[5]Sithe Positions '!$AO60</f>
        <v>-80.887277421054264</v>
      </c>
      <c r="I61" s="208">
        <f>'[5]Sithe Positions '!$AP60</f>
        <v>-39.362425585689472</v>
      </c>
      <c r="J61" s="209">
        <f t="shared" si="3"/>
        <v>-120.24970300674374</v>
      </c>
      <c r="K61" s="208">
        <f>'[5]Sithe Positions '!$BB60</f>
        <v>1680.9475592115248</v>
      </c>
      <c r="L61" s="208">
        <f>'[5]Sithe Positions '!$BD60</f>
        <v>3878.7021253397165</v>
      </c>
      <c r="M61" s="208">
        <f t="shared" si="1"/>
        <v>5559.6496845512411</v>
      </c>
      <c r="O61" s="171"/>
    </row>
    <row r="62" spans="1:15">
      <c r="A62" s="156">
        <v>38565</v>
      </c>
      <c r="C62" s="171">
        <f>'[5]Sithe Positions '!$I61</f>
        <v>-4412.5305748123392</v>
      </c>
      <c r="D62" s="171">
        <f>'[5]Sithe Positions '!$U61</f>
        <v>149.72485342712005</v>
      </c>
      <c r="E62" s="171">
        <f>'[5]Sithe Positions '!$V61</f>
        <v>72.718503872907348</v>
      </c>
      <c r="F62" s="191">
        <f t="shared" si="2"/>
        <v>222.4433573000274</v>
      </c>
      <c r="G62" s="208">
        <f>'[5]Sithe Positions '!$AC61</f>
        <v>2388.496698160769</v>
      </c>
      <c r="H62" s="208">
        <f>'[5]Sithe Positions '!$AO61</f>
        <v>-81.0458561091082</v>
      </c>
      <c r="I62" s="208">
        <f>'[5]Sithe Positions '!$AP61</f>
        <v>-39.362425585689472</v>
      </c>
      <c r="J62" s="209">
        <f t="shared" si="3"/>
        <v>-120.40828169479767</v>
      </c>
      <c r="K62" s="208">
        <f>'[5]Sithe Positions '!$BB61</f>
        <v>1782.5840193684169</v>
      </c>
      <c r="L62" s="208">
        <f>'[5]Sithe Positions '!$BD61</f>
        <v>3927.1768131063227</v>
      </c>
      <c r="M62" s="208">
        <f t="shared" si="1"/>
        <v>5709.7608324747398</v>
      </c>
      <c r="O62" s="171"/>
    </row>
    <row r="63" spans="1:15">
      <c r="A63" s="156">
        <v>38596</v>
      </c>
      <c r="C63" s="171">
        <f>'[5]Sithe Positions '!$I62</f>
        <v>-4249.8201023887896</v>
      </c>
      <c r="D63" s="171">
        <f>'[5]Sithe Positions '!$U62</f>
        <v>172.42832050968534</v>
      </c>
      <c r="E63" s="171">
        <f>'[5]Sithe Positions '!$V62</f>
        <v>70.03703528736726</v>
      </c>
      <c r="F63" s="191">
        <f t="shared" si="2"/>
        <v>242.46535579705261</v>
      </c>
      <c r="G63" s="208">
        <f>'[5]Sithe Positions '!$AC62</f>
        <v>2311.4484175749376</v>
      </c>
      <c r="H63" s="208">
        <f>'[5]Sithe Positions '!$AO62</f>
        <v>-93.78259761235293</v>
      </c>
      <c r="I63" s="208">
        <f>'[5]Sithe Positions '!$AP62</f>
        <v>-38.092669921634979</v>
      </c>
      <c r="J63" s="209">
        <f t="shared" si="3"/>
        <v>-131.87526753398791</v>
      </c>
      <c r="K63" s="208">
        <f>'[5]Sithe Positions '!$BB62</f>
        <v>4774.4473840451765</v>
      </c>
      <c r="L63" s="208">
        <f>'[5]Sithe Positions '!$BD62</f>
        <v>3999.2991623544185</v>
      </c>
      <c r="M63" s="208">
        <f t="shared" si="1"/>
        <v>8773.7465463995941</v>
      </c>
      <c r="O63" s="171"/>
    </row>
    <row r="64" spans="1:15">
      <c r="A64" s="156">
        <v>38626</v>
      </c>
      <c r="C64" s="171">
        <f>'[5]Sithe Positions '!$I63</f>
        <v>-4369.8987704039791</v>
      </c>
      <c r="D64" s="171">
        <f>'[5]Sithe Positions '!$U63</f>
        <v>201.50568440346763</v>
      </c>
      <c r="E64" s="171">
        <f>'[5]Sithe Positions '!$V63</f>
        <v>72.015931736257585</v>
      </c>
      <c r="F64" s="191">
        <f t="shared" si="2"/>
        <v>273.52161613972521</v>
      </c>
      <c r="G64" s="208">
        <f>'[5]Sithe Positions '!$AC63</f>
        <v>2388.496698160769</v>
      </c>
      <c r="H64" s="208">
        <f>'[5]Sithe Positions '!$AO63</f>
        <v>-110.1388583914072</v>
      </c>
      <c r="I64" s="208">
        <f>'[5]Sithe Positions '!$AP63</f>
        <v>-39.362425585689479</v>
      </c>
      <c r="J64" s="209">
        <f t="shared" si="3"/>
        <v>-149.50128397709668</v>
      </c>
      <c r="K64" s="208">
        <f>'[5]Sithe Positions '!$BB63</f>
        <v>4657.1678183960394</v>
      </c>
      <c r="L64" s="208">
        <f>'[5]Sithe Positions '!$BD63</f>
        <v>4071.0757545717679</v>
      </c>
      <c r="M64" s="208">
        <f t="shared" si="1"/>
        <v>8728.2435729678073</v>
      </c>
      <c r="O64" s="171"/>
    </row>
    <row r="65" spans="1:15">
      <c r="A65" s="156">
        <v>38657</v>
      </c>
      <c r="C65" s="171">
        <f>'[5]Sithe Positions '!$I64</f>
        <v>-4208.609497643758</v>
      </c>
      <c r="D65" s="171">
        <f>'[5]Sithe Positions '!$U64</f>
        <v>173.35721575784231</v>
      </c>
      <c r="E65" s="171">
        <f>'[5]Sithe Positions '!$V64</f>
        <v>69.35788452116914</v>
      </c>
      <c r="F65" s="191">
        <f t="shared" si="2"/>
        <v>242.71510027901144</v>
      </c>
      <c r="G65" s="208">
        <f>'[5]Sithe Positions '!$AC64</f>
        <v>2311.4484175749376</v>
      </c>
      <c r="H65" s="208">
        <f>'[5]Sithe Positions '!$AO64</f>
        <v>-95.211081537263567</v>
      </c>
      <c r="I65" s="208">
        <f>'[5]Sithe Positions '!$AP64</f>
        <v>-38.092669921634979</v>
      </c>
      <c r="J65" s="209">
        <f t="shared" si="3"/>
        <v>-133.30375145889855</v>
      </c>
      <c r="K65" s="208">
        <f>'[5]Sithe Positions '!$BB64</f>
        <v>5231.0161924752956</v>
      </c>
      <c r="L65" s="208">
        <f>'[5]Sithe Positions '!$BD64</f>
        <v>4148.1808127161557</v>
      </c>
      <c r="M65" s="208">
        <f t="shared" si="1"/>
        <v>9379.1970051914504</v>
      </c>
      <c r="O65" s="171"/>
    </row>
    <row r="66" spans="1:15">
      <c r="A66" s="156">
        <v>38687</v>
      </c>
      <c r="C66" s="171">
        <f>'[5]Sithe Positions '!$I65</f>
        <v>-4327.36867589127</v>
      </c>
      <c r="D66" s="171">
        <f>'[5]Sithe Positions '!$U65</f>
        <v>172.63235917198483</v>
      </c>
      <c r="E66" s="171">
        <f>'[5]Sithe Positions '!$V65</f>
        <v>71.315035778688127</v>
      </c>
      <c r="F66" s="191">
        <f t="shared" si="2"/>
        <v>243.94739495067296</v>
      </c>
      <c r="G66" s="208">
        <f>'[5]Sithe Positions '!$AC65</f>
        <v>2388.496698160769</v>
      </c>
      <c r="H66" s="208">
        <f>'[5]Sithe Positions '!$AO65</f>
        <v>-95.28465235125023</v>
      </c>
      <c r="I66" s="208">
        <f>'[5]Sithe Positions '!$AP65</f>
        <v>-39.362425585689479</v>
      </c>
      <c r="J66" s="209">
        <f t="shared" si="3"/>
        <v>-134.6470779369397</v>
      </c>
      <c r="K66" s="208">
        <f>'[5]Sithe Positions '!$BB65</f>
        <v>5826.5839140161133</v>
      </c>
      <c r="L66" s="208">
        <f>'[5]Sithe Positions '!$BD65</f>
        <v>4230.5228823548314</v>
      </c>
      <c r="M66" s="208">
        <f t="shared" si="1"/>
        <v>10057.106796370945</v>
      </c>
      <c r="O66" s="171"/>
    </row>
    <row r="67" spans="1:15">
      <c r="A67" s="156">
        <v>38718</v>
      </c>
      <c r="C67" s="171">
        <f>'[5]Sithe Positions '!$I66</f>
        <v>-4305.7956450731008</v>
      </c>
      <c r="D67" s="171">
        <f>'[5]Sithe Positions '!$U66</f>
        <v>166.97478251992709</v>
      </c>
      <c r="E67" s="171">
        <f>'[5]Sithe Positions '!$V66</f>
        <v>74.901707354738292</v>
      </c>
      <c r="F67" s="191">
        <f t="shared" si="2"/>
        <v>241.87648987466537</v>
      </c>
      <c r="G67" s="208">
        <f>'[5]Sithe Positions '!$AC66</f>
        <v>2388.496698160769</v>
      </c>
      <c r="H67" s="208">
        <f>'[5]Sithe Positions '!$AO66</f>
        <v>-92.623698289375625</v>
      </c>
      <c r="I67" s="208">
        <f>'[5]Sithe Positions '!$AP66</f>
        <v>-41.54922700711667</v>
      </c>
      <c r="J67" s="209">
        <f t="shared" si="3"/>
        <v>-134.17292529649228</v>
      </c>
      <c r="K67" s="208">
        <f>'[5]Sithe Positions '!$BB66</f>
        <v>4304.3910727021339</v>
      </c>
      <c r="L67" s="208">
        <f>'[5]Sithe Positions '!$BD66</f>
        <v>4302.0104440370433</v>
      </c>
      <c r="M67" s="208">
        <f t="shared" si="1"/>
        <v>8606.4015167391772</v>
      </c>
      <c r="O67" s="171"/>
    </row>
    <row r="68" spans="1:15">
      <c r="A68" s="156">
        <v>38749</v>
      </c>
      <c r="C68" s="171">
        <f>'[5]Sithe Positions '!$I67</f>
        <v>-3871.3235036724163</v>
      </c>
      <c r="D68" s="171">
        <f>'[5]Sithe Positions '!$U67</f>
        <v>152.92744498370257</v>
      </c>
      <c r="E68" s="171">
        <f>'[5]Sithe Positions '!$V67</f>
        <v>67.343823081661498</v>
      </c>
      <c r="F68" s="191">
        <f t="shared" si="2"/>
        <v>220.27126806536407</v>
      </c>
      <c r="G68" s="208">
        <f>'[5]Sithe Positions '!$AC67</f>
        <v>2157.3518564032752</v>
      </c>
      <c r="H68" s="208">
        <f>'[5]Sithe Positions '!$AO67</f>
        <v>-85.221063808703448</v>
      </c>
      <c r="I68" s="208">
        <f>'[5]Sithe Positions '!$AP67</f>
        <v>-37.528334070944091</v>
      </c>
      <c r="J68" s="209">
        <f t="shared" si="3"/>
        <v>-122.74939787964755</v>
      </c>
      <c r="K68" s="208">
        <f>'[5]Sithe Positions '!$BB67</f>
        <v>3370.6284259909312</v>
      </c>
      <c r="L68" s="208">
        <f>'[5]Sithe Positions '!$BD67</f>
        <v>4366.940974211082</v>
      </c>
      <c r="M68" s="208">
        <f t="shared" si="1"/>
        <v>7737.5694002020136</v>
      </c>
      <c r="O68" s="171"/>
    </row>
    <row r="69" spans="1:15">
      <c r="A69" s="156">
        <v>38777</v>
      </c>
      <c r="C69" s="171">
        <f>'[5]Sithe Positions '!$I68</f>
        <v>-4264.8159170757099</v>
      </c>
      <c r="D69" s="171">
        <f>'[5]Sithe Positions '!$U68</f>
        <v>179.86531032783671</v>
      </c>
      <c r="E69" s="171">
        <f>'[5]Sithe Positions '!$V68</f>
        <v>74.188842219708135</v>
      </c>
      <c r="F69" s="191">
        <f t="shared" si="2"/>
        <v>254.05415254754485</v>
      </c>
      <c r="G69" s="208">
        <f>'[5]Sithe Positions '!$AC68</f>
        <v>2388.496698160769</v>
      </c>
      <c r="H69" s="208">
        <f>'[5]Sithe Positions '!$AO68</f>
        <v>-100.73299954439125</v>
      </c>
      <c r="I69" s="208">
        <f>'[5]Sithe Positions '!$AP68</f>
        <v>-41.54922700711667</v>
      </c>
      <c r="J69" s="209">
        <f t="shared" si="3"/>
        <v>-142.2822265515079</v>
      </c>
      <c r="K69" s="208">
        <f>'[5]Sithe Positions '!$BB68</f>
        <v>4922.7410184837154</v>
      </c>
      <c r="L69" s="208">
        <f>'[5]Sithe Positions '!$BD68</f>
        <v>4444.1103086323592</v>
      </c>
      <c r="M69" s="208">
        <f t="shared" si="1"/>
        <v>9366.8513271160737</v>
      </c>
      <c r="O69" s="171"/>
    </row>
    <row r="70" spans="1:15">
      <c r="A70" s="156">
        <v>38808</v>
      </c>
      <c r="C70" s="171">
        <f>'[5]Sithe Positions '!$I69</f>
        <v>-4107.1835153624133</v>
      </c>
      <c r="D70" s="171">
        <f>'[5]Sithe Positions '!$U69</f>
        <v>180.00349550113341</v>
      </c>
      <c r="E70" s="171">
        <f>'[5]Sithe Positions '!$V69</f>
        <v>71.446739018348836</v>
      </c>
      <c r="F70" s="191">
        <f t="shared" si="2"/>
        <v>251.45023451948225</v>
      </c>
      <c r="G70" s="208">
        <f>'[5]Sithe Positions '!$AC69</f>
        <v>2311.4484175749376</v>
      </c>
      <c r="H70" s="208">
        <f>'[5]Sithe Positions '!$AO69</f>
        <v>-101.30270373305655</v>
      </c>
      <c r="I70" s="208">
        <f>'[5]Sithe Positions '!$AP69</f>
        <v>-40.208929361725808</v>
      </c>
      <c r="J70" s="209">
        <f t="shared" si="3"/>
        <v>-141.51163309478235</v>
      </c>
      <c r="K70" s="208">
        <f>'[5]Sithe Positions '!$BB69</f>
        <v>4334.0671002750387</v>
      </c>
      <c r="L70" s="208">
        <f>'[5]Sithe Positions '!$BD69</f>
        <v>4517.6339127730207</v>
      </c>
      <c r="M70" s="208">
        <f t="shared" si="1"/>
        <v>8851.7010130480594</v>
      </c>
      <c r="O70" s="171"/>
    </row>
    <row r="71" spans="1:15">
      <c r="A71" s="156">
        <v>38838</v>
      </c>
      <c r="C71" s="171">
        <f>'[5]Sithe Positions '!$I70</f>
        <v>-4223.1556584838218</v>
      </c>
      <c r="D71" s="171">
        <f>'[5]Sithe Positions '!$U70</f>
        <v>197.86920464165655</v>
      </c>
      <c r="E71" s="171">
        <f>'[5]Sithe Positions '!$V70</f>
        <v>73.464138876914134</v>
      </c>
      <c r="F71" s="191">
        <f t="shared" si="2"/>
        <v>271.3333435185707</v>
      </c>
      <c r="G71" s="208">
        <f>'[5]Sithe Positions '!$AC70</f>
        <v>2388.496698160769</v>
      </c>
      <c r="H71" s="208">
        <f>'[5]Sithe Positions '!$AO70</f>
        <v>-111.90919307103367</v>
      </c>
      <c r="I71" s="208">
        <f>'[5]Sithe Positions '!$AP70</f>
        <v>-41.54922700711667</v>
      </c>
      <c r="J71" s="209">
        <f t="shared" si="3"/>
        <v>-153.45842007815034</v>
      </c>
      <c r="K71" s="208">
        <f>'[5]Sithe Positions '!$BB70</f>
        <v>3987.9427179732202</v>
      </c>
      <c r="L71" s="208">
        <f>'[5]Sithe Positions '!$BD70</f>
        <v>4588.3285520466789</v>
      </c>
      <c r="M71" s="208">
        <f t="shared" si="1"/>
        <v>8576.271270019899</v>
      </c>
      <c r="O71" s="171"/>
    </row>
    <row r="72" spans="1:15">
      <c r="A72" s="156">
        <v>38869</v>
      </c>
      <c r="C72" s="171">
        <f>'[5]Sithe Positions '!$I71</f>
        <v>-4067.2370397851287</v>
      </c>
      <c r="D72" s="171">
        <f>'[5]Sithe Positions '!$U71</f>
        <v>159.22684485448423</v>
      </c>
      <c r="E72" s="171">
        <f>'[5]Sithe Positions '!$V71</f>
        <v>70.751847883195524</v>
      </c>
      <c r="F72" s="191">
        <f t="shared" si="2"/>
        <v>229.97869273767975</v>
      </c>
      <c r="G72" s="208">
        <f>'[5]Sithe Positions '!$AC71</f>
        <v>2311.4484175749376</v>
      </c>
      <c r="H72" s="208">
        <f>'[5]Sithe Positions '!$AO71</f>
        <v>-90.490088228000459</v>
      </c>
      <c r="I72" s="208">
        <f>'[5]Sithe Positions '!$AP71</f>
        <v>-40.208929361725801</v>
      </c>
      <c r="J72" s="209">
        <f t="shared" si="3"/>
        <v>-130.69901758972625</v>
      </c>
      <c r="K72" s="208">
        <f>'[5]Sithe Positions '!$BB71</f>
        <v>3036.6802305598371</v>
      </c>
      <c r="L72" s="208">
        <f>'[5]Sithe Positions '!$BD71</f>
        <v>4652.4056659068992</v>
      </c>
      <c r="M72" s="208">
        <f t="shared" si="1"/>
        <v>7689.0858964667368</v>
      </c>
      <c r="O72" s="171"/>
    </row>
    <row r="73" spans="1:15">
      <c r="A73" s="156">
        <v>38899</v>
      </c>
      <c r="C73" s="171">
        <f>'[5]Sithe Positions '!$I72</f>
        <v>-4181.9599937758885</v>
      </c>
      <c r="D73" s="171">
        <f>'[5]Sithe Positions '!$U72</f>
        <v>150.54788288358677</v>
      </c>
      <c r="E73" s="171">
        <f>'[5]Sithe Positions '!$V72</f>
        <v>72.747517402839222</v>
      </c>
      <c r="F73" s="191">
        <f t="shared" si="2"/>
        <v>223.295400286426</v>
      </c>
      <c r="G73" s="208">
        <f>'[5]Sithe Positions '!$AC72</f>
        <v>2388.496698160769</v>
      </c>
      <c r="H73" s="208">
        <f>'[5]Sithe Positions '!$AO72</f>
        <v>-85.984352245769301</v>
      </c>
      <c r="I73" s="208">
        <f>'[5]Sithe Positions '!$AP72</f>
        <v>-41.549227007116663</v>
      </c>
      <c r="J73" s="209">
        <f t="shared" si="3"/>
        <v>-127.53357925288597</v>
      </c>
      <c r="K73" s="208">
        <f>'[5]Sithe Positions '!$BB72</f>
        <v>1496.939808296818</v>
      </c>
      <c r="L73" s="208">
        <f>'[5]Sithe Positions '!$BD72</f>
        <v>4704.8986451033379</v>
      </c>
      <c r="M73" s="208">
        <f t="shared" si="1"/>
        <v>6201.8384534001561</v>
      </c>
      <c r="O73" s="171"/>
    </row>
    <row r="74" spans="1:15">
      <c r="A74" s="156">
        <v>38930</v>
      </c>
      <c r="C74" s="171">
        <f>'[5]Sithe Positions '!$I73</f>
        <v>-4161.0862856760168</v>
      </c>
      <c r="D74" s="171">
        <f>'[5]Sithe Positions '!$U73</f>
        <v>150.09850672561308</v>
      </c>
      <c r="E74" s="171">
        <f>'[5]Sithe Positions '!$V73</f>
        <v>72.384407653937458</v>
      </c>
      <c r="F74" s="191">
        <f t="shared" si="2"/>
        <v>222.48291437955055</v>
      </c>
      <c r="G74" s="208">
        <f>'[5]Sithe Positions '!$AC73</f>
        <v>2388.496698160769</v>
      </c>
      <c r="H74" s="208">
        <f>'[5]Sithe Positions '!$AO73</f>
        <v>-86.157739373757011</v>
      </c>
      <c r="I74" s="208">
        <f>'[5]Sithe Positions '!$AP73</f>
        <v>-41.549227007116663</v>
      </c>
      <c r="J74" s="209">
        <f t="shared" si="3"/>
        <v>-127.70696638087367</v>
      </c>
      <c r="K74" s="208">
        <f>'[5]Sithe Positions '!$BB73</f>
        <v>1597.7513569951147</v>
      </c>
      <c r="L74" s="208">
        <f>'[5]Sithe Positions '!$BD73</f>
        <v>4758.830986662374</v>
      </c>
      <c r="M74" s="208">
        <f t="shared" ref="M74:M137" si="4">SUM(K74:L74)</f>
        <v>6356.5823436574883</v>
      </c>
      <c r="O74" s="171"/>
    </row>
    <row r="75" spans="1:15">
      <c r="A75" s="156">
        <v>38961</v>
      </c>
      <c r="C75" s="171">
        <f>'[5]Sithe Positions '!$I74</f>
        <v>-4007.2840662214949</v>
      </c>
      <c r="D75" s="171">
        <f>'[5]Sithe Positions '!$U74</f>
        <v>173.19980837285959</v>
      </c>
      <c r="E75" s="171">
        <f>'[5]Sithe Positions '!$V74</f>
        <v>69.708932600848584</v>
      </c>
      <c r="F75" s="191">
        <f t="shared" ref="F75:F138" si="5">SUM(D75:E75)</f>
        <v>242.90874097370818</v>
      </c>
      <c r="G75" s="208">
        <f>'[5]Sithe Positions '!$AC74</f>
        <v>2311.4484175749376</v>
      </c>
      <c r="H75" s="208">
        <f>'[5]Sithe Positions '!$AO74</f>
        <v>-99.903679492633373</v>
      </c>
      <c r="I75" s="208">
        <f>'[5]Sithe Positions '!$AP74</f>
        <v>-40.208929361725808</v>
      </c>
      <c r="J75" s="209">
        <f t="shared" ref="J75:J138" si="6">SUM(H75:I75)</f>
        <v>-140.11260885435917</v>
      </c>
      <c r="K75" s="208">
        <f>'[5]Sithe Positions '!$BB74</f>
        <v>4654.0361253824422</v>
      </c>
      <c r="L75" s="208">
        <f>'[5]Sithe Positions '!$BD74</f>
        <v>4837.2545573072384</v>
      </c>
      <c r="M75" s="208">
        <f t="shared" si="4"/>
        <v>9491.2906826896797</v>
      </c>
      <c r="O75" s="171"/>
    </row>
    <row r="76" spans="1:15">
      <c r="A76" s="156">
        <v>38991</v>
      </c>
      <c r="C76" s="171">
        <f>'[5]Sithe Positions '!$I75</f>
        <v>-4120.1358219973845</v>
      </c>
      <c r="D76" s="171">
        <f>'[5]Sithe Positions '!$U75</f>
        <v>202.90608865913569</v>
      </c>
      <c r="E76" s="171">
        <f>'[5]Sithe Positions '!$V75</f>
        <v>71.67205158799004</v>
      </c>
      <c r="F76" s="191">
        <f t="shared" si="5"/>
        <v>274.5781402471257</v>
      </c>
      <c r="G76" s="208">
        <f>'[5]Sithe Positions '!$AC75</f>
        <v>2388.496698160769</v>
      </c>
      <c r="H76" s="208">
        <f>'[5]Sithe Positions '!$AO75</f>
        <v>-117.62731709269596</v>
      </c>
      <c r="I76" s="208">
        <f>'[5]Sithe Positions '!$AP75</f>
        <v>-41.549227007116663</v>
      </c>
      <c r="J76" s="209">
        <f t="shared" si="6"/>
        <v>-159.17654409981262</v>
      </c>
      <c r="K76" s="208">
        <f>'[5]Sithe Positions '!$BB75</f>
        <v>4509.1430035684634</v>
      </c>
      <c r="L76" s="208">
        <f>'[5]Sithe Positions '!$BD75</f>
        <v>4915.1459004691451</v>
      </c>
      <c r="M76" s="208">
        <f t="shared" si="4"/>
        <v>9424.2889040376085</v>
      </c>
      <c r="O76" s="171"/>
    </row>
    <row r="77" spans="1:15">
      <c r="A77" s="156">
        <v>39022</v>
      </c>
      <c r="C77" s="171">
        <f>'[5]Sithe Positions '!$I76</f>
        <v>-3967.7322175691306</v>
      </c>
      <c r="D77" s="171">
        <f>'[5]Sithe Positions '!$U76</f>
        <v>174.19852613959904</v>
      </c>
      <c r="E77" s="171">
        <f>'[5]Sithe Positions '!$V76</f>
        <v>69.020906220291451</v>
      </c>
      <c r="F77" s="191">
        <f t="shared" si="5"/>
        <v>243.2194323598905</v>
      </c>
      <c r="G77" s="208">
        <f>'[5]Sithe Positions '!$AC76</f>
        <v>2311.4484175749376</v>
      </c>
      <c r="H77" s="208">
        <f>'[5]Sithe Positions '!$AO76</f>
        <v>-101.48137160222738</v>
      </c>
      <c r="I77" s="208">
        <f>'[5]Sithe Positions '!$AP76</f>
        <v>-40.208929361725801</v>
      </c>
      <c r="J77" s="209">
        <f t="shared" si="6"/>
        <v>-141.69030096395318</v>
      </c>
      <c r="K77" s="208">
        <f>'[5]Sithe Positions '!$BB76</f>
        <v>5128.9633093356306</v>
      </c>
      <c r="L77" s="208">
        <f>'[5]Sithe Positions '!$BD76</f>
        <v>4998.8120364746283</v>
      </c>
      <c r="M77" s="208">
        <f t="shared" si="4"/>
        <v>10127.77534581026</v>
      </c>
      <c r="O77" s="171"/>
    </row>
    <row r="78" spans="1:15">
      <c r="A78" s="156">
        <v>39052</v>
      </c>
      <c r="C78" s="171">
        <f>'[5]Sithe Positions '!$I77</f>
        <v>-4079.35189719666</v>
      </c>
      <c r="D78" s="171">
        <f>'[5]Sithe Positions '!$U77</f>
        <v>173.34970136845754</v>
      </c>
      <c r="E78" s="171">
        <f>'[5]Sithe Positions '!$V77</f>
        <v>70.962592558345449</v>
      </c>
      <c r="F78" s="191">
        <f t="shared" si="5"/>
        <v>244.31229392680299</v>
      </c>
      <c r="G78" s="208">
        <f>'[5]Sithe Positions '!$AC77</f>
        <v>2388.496698160769</v>
      </c>
      <c r="H78" s="208">
        <f>'[5]Sithe Positions '!$AO77</f>
        <v>-101.49778684948679</v>
      </c>
      <c r="I78" s="208">
        <f>'[5]Sithe Positions '!$AP77</f>
        <v>-41.549227007116663</v>
      </c>
      <c r="J78" s="209">
        <f t="shared" si="6"/>
        <v>-143.04701385660346</v>
      </c>
      <c r="K78" s="208">
        <f>'[5]Sithe Positions '!$BB77</f>
        <v>5729.2073067180563</v>
      </c>
      <c r="L78" s="208">
        <f>'[5]Sithe Positions '!$BD77</f>
        <v>5087.852101627218</v>
      </c>
      <c r="M78" s="208">
        <f t="shared" si="4"/>
        <v>10817.059408345274</v>
      </c>
      <c r="O78" s="171"/>
    </row>
    <row r="79" spans="1:15">
      <c r="A79" s="156">
        <v>39083</v>
      </c>
      <c r="C79" s="171">
        <f>'[5]Sithe Positions '!$I78</f>
        <v>-4058.6904544092436</v>
      </c>
      <c r="D79" s="171">
        <f>'[5]Sithe Positions '!$U78</f>
        <v>158.18792877639655</v>
      </c>
      <c r="E79" s="171">
        <f>'[5]Sithe Positions '!$V78</f>
        <v>70.603175282479015</v>
      </c>
      <c r="F79" s="191">
        <f t="shared" si="5"/>
        <v>228.79110405887556</v>
      </c>
      <c r="G79" s="208">
        <f>'[5]Sithe Positions '!$AC78</f>
        <v>2388.496698160769</v>
      </c>
      <c r="H79" s="208">
        <f>'[5]Sithe Positions '!$AO78</f>
        <v>-93.091934409742692</v>
      </c>
      <c r="I79" s="208">
        <f>'[5]Sithe Positions '!$AP78</f>
        <v>-41.54922700711667</v>
      </c>
      <c r="J79" s="209">
        <f t="shared" si="6"/>
        <v>-134.64116141685935</v>
      </c>
      <c r="K79" s="208">
        <f>'[5]Sithe Positions '!$BB78</f>
        <v>4514.9604236386594</v>
      </c>
      <c r="L79" s="208">
        <f>'[5]Sithe Positions '!$BD78</f>
        <v>5168.3501053957125</v>
      </c>
      <c r="M79" s="208">
        <f t="shared" si="4"/>
        <v>9683.3105290343719</v>
      </c>
      <c r="O79" s="171"/>
    </row>
    <row r="80" spans="1:15">
      <c r="A80" s="156">
        <v>39114</v>
      </c>
      <c r="C80" s="171">
        <f>'[5]Sithe Positions '!$I79</f>
        <v>-3648.9052569433552</v>
      </c>
      <c r="D80" s="171">
        <f>'[5]Sithe Positions '!$U79</f>
        <v>144.90800473699895</v>
      </c>
      <c r="E80" s="171">
        <f>'[5]Sithe Positions '!$V79</f>
        <v>63.474734114116856</v>
      </c>
      <c r="F80" s="191">
        <f t="shared" si="5"/>
        <v>208.38273885111579</v>
      </c>
      <c r="G80" s="208">
        <f>'[5]Sithe Positions '!$AC79</f>
        <v>2157.3518564032752</v>
      </c>
      <c r="H80" s="208">
        <f>'[5]Sithe Positions '!$AO79</f>
        <v>-85.674340936145697</v>
      </c>
      <c r="I80" s="208">
        <f>'[5]Sithe Positions '!$AP79</f>
        <v>-37.528334070944091</v>
      </c>
      <c r="J80" s="209">
        <f t="shared" si="6"/>
        <v>-123.20267500708979</v>
      </c>
      <c r="K80" s="208">
        <f>'[5]Sithe Positions '!$BB79</f>
        <v>3560.1880005348944</v>
      </c>
      <c r="L80" s="208">
        <f>'[5]Sithe Positions '!$BD79</f>
        <v>5242.1030397095956</v>
      </c>
      <c r="M80" s="208">
        <f t="shared" si="4"/>
        <v>8802.2910402444904</v>
      </c>
      <c r="O80" s="171"/>
    </row>
    <row r="81" spans="1:15">
      <c r="A81" s="156">
        <v>39142</v>
      </c>
      <c r="C81" s="171">
        <f>'[5]Sithe Positions '!$I80</f>
        <v>-4019.4895279138059</v>
      </c>
      <c r="D81" s="171">
        <f>'[5]Sithe Positions '!$U80</f>
        <v>170.75790269339555</v>
      </c>
      <c r="E81" s="171">
        <f>'[5]Sithe Positions '!$V80</f>
        <v>69.921253387798387</v>
      </c>
      <c r="F81" s="191">
        <f t="shared" si="5"/>
        <v>240.67915608119392</v>
      </c>
      <c r="G81" s="208">
        <f>'[5]Sithe Positions '!$AC80</f>
        <v>2388.496698160769</v>
      </c>
      <c r="H81" s="208">
        <f>'[5]Sithe Positions '!$AO80</f>
        <v>-101.4692746269494</v>
      </c>
      <c r="I81" s="208">
        <f>'[5]Sithe Positions '!$AP80</f>
        <v>-41.54922700711667</v>
      </c>
      <c r="J81" s="209">
        <f t="shared" si="6"/>
        <v>-143.01850163406607</v>
      </c>
      <c r="K81" s="208">
        <f>'[5]Sithe Positions '!$BB80</f>
        <v>5128.1543852185705</v>
      </c>
      <c r="L81" s="208">
        <f>'[5]Sithe Positions '!$BD80</f>
        <v>5328.4447386463835</v>
      </c>
      <c r="M81" s="208">
        <f t="shared" si="4"/>
        <v>10456.599123864955</v>
      </c>
      <c r="O81" s="171"/>
    </row>
    <row r="82" spans="1:15">
      <c r="A82" s="156">
        <v>39173</v>
      </c>
      <c r="C82" s="171">
        <f>'[5]Sithe Positions '!$I81</f>
        <v>-3870.5311896007565</v>
      </c>
      <c r="D82" s="171">
        <f>'[5]Sithe Positions '!$U81</f>
        <v>170.96204784757717</v>
      </c>
      <c r="E82" s="171">
        <f>'[5]Sithe Positions '!$V81</f>
        <v>67.330040338210495</v>
      </c>
      <c r="F82" s="191">
        <f t="shared" si="5"/>
        <v>238.29208818578766</v>
      </c>
      <c r="G82" s="208">
        <f>'[5]Sithe Positions '!$AC81</f>
        <v>2311.4484175749376</v>
      </c>
      <c r="H82" s="208">
        <f>'[5]Sithe Positions '!$AO81</f>
        <v>-102.09708580165572</v>
      </c>
      <c r="I82" s="208">
        <f>'[5]Sithe Positions '!$AP81</f>
        <v>-40.208929361725801</v>
      </c>
      <c r="J82" s="209">
        <f t="shared" si="6"/>
        <v>-142.30601516338152</v>
      </c>
      <c r="K82" s="208">
        <f>'[5]Sithe Positions '!$BB81</f>
        <v>4531.6355160068942</v>
      </c>
      <c r="L82" s="208">
        <f>'[5]Sithe Positions '!$BD81</f>
        <v>5411.4017333317943</v>
      </c>
      <c r="M82" s="208">
        <f t="shared" si="4"/>
        <v>9943.0372493386894</v>
      </c>
      <c r="O82" s="171"/>
    </row>
    <row r="83" spans="1:15">
      <c r="A83" s="156">
        <v>39203</v>
      </c>
      <c r="C83" s="171">
        <f>'[5]Sithe Positions '!$I82</f>
        <v>-3979.1310029107385</v>
      </c>
      <c r="D83" s="171">
        <f>'[5]Sithe Positions '!$U82</f>
        <v>188.21925138074667</v>
      </c>
      <c r="E83" s="171">
        <f>'[5]Sithe Positions '!$V82</f>
        <v>69.219194423967267</v>
      </c>
      <c r="F83" s="191">
        <f t="shared" si="5"/>
        <v>257.43844580471392</v>
      </c>
      <c r="G83" s="208">
        <f>'[5]Sithe Positions '!$AC82</f>
        <v>2388.496698160769</v>
      </c>
      <c r="H83" s="208">
        <f>'[5]Sithe Positions '!$AO82</f>
        <v>-112.97970841481489</v>
      </c>
      <c r="I83" s="208">
        <f>'[5]Sithe Positions '!$AP82</f>
        <v>-41.54922700711667</v>
      </c>
      <c r="J83" s="209">
        <f t="shared" si="6"/>
        <v>-154.52893542193158</v>
      </c>
      <c r="K83" s="208">
        <f>'[5]Sithe Positions '!$BB82</f>
        <v>4202.336946548774</v>
      </c>
      <c r="L83" s="208">
        <f>'[5]Sithe Positions '!$BD82</f>
        <v>5492.3914721764768</v>
      </c>
      <c r="M83" s="208">
        <f t="shared" si="4"/>
        <v>9694.7284187252517</v>
      </c>
      <c r="O83" s="171"/>
    </row>
    <row r="84" spans="1:15">
      <c r="A84" s="156">
        <v>39234</v>
      </c>
      <c r="C84" s="171">
        <f>'[5]Sithe Positions '!$I83</f>
        <v>-3831.557311752244</v>
      </c>
      <c r="D84" s="171">
        <f>'[5]Sithe Positions '!$U83</f>
        <v>150.67501047654244</v>
      </c>
      <c r="E84" s="171">
        <f>'[5]Sithe Positions '!$V83</f>
        <v>66.65206808088125</v>
      </c>
      <c r="F84" s="191">
        <f t="shared" si="5"/>
        <v>217.3270785574237</v>
      </c>
      <c r="G84" s="208">
        <f>'[5]Sithe Positions '!$AC83</f>
        <v>2311.4484175749376</v>
      </c>
      <c r="H84" s="208">
        <f>'[5]Sithe Positions '!$AO83</f>
        <v>-90.89711733290433</v>
      </c>
      <c r="I84" s="208">
        <f>'[5]Sithe Positions '!$AP83</f>
        <v>-40.208929361725808</v>
      </c>
      <c r="J84" s="209">
        <f t="shared" si="6"/>
        <v>-131.10604669463015</v>
      </c>
      <c r="K84" s="208">
        <f>'[5]Sithe Positions '!$BB83</f>
        <v>3247.9506429133639</v>
      </c>
      <c r="L84" s="208">
        <f>'[5]Sithe Positions '!$BD83</f>
        <v>5566.784803428035</v>
      </c>
      <c r="M84" s="208">
        <f t="shared" si="4"/>
        <v>8814.7354463413994</v>
      </c>
      <c r="O84" s="171"/>
    </row>
    <row r="85" spans="1:15">
      <c r="A85" s="156">
        <v>39264</v>
      </c>
      <c r="C85" s="171">
        <f>'[5]Sithe Positions '!$I84</f>
        <v>-3938.9494814770724</v>
      </c>
      <c r="D85" s="171">
        <f>'[5]Sithe Positions '!$U84</f>
        <v>142.9681570521999</v>
      </c>
      <c r="E85" s="171">
        <f>'[5]Sithe Positions '!$V84</f>
        <v>68.520214535561152</v>
      </c>
      <c r="F85" s="191">
        <f t="shared" si="5"/>
        <v>211.48837158776104</v>
      </c>
      <c r="G85" s="208">
        <f>'[5]Sithe Positions '!$AC84</f>
        <v>2388.496698160769</v>
      </c>
      <c r="H85" s="208">
        <f>'[5]Sithe Positions '!$AO84</f>
        <v>-86.692904457677386</v>
      </c>
      <c r="I85" s="208">
        <f>'[5]Sithe Positions '!$AP84</f>
        <v>-41.54922700711667</v>
      </c>
      <c r="J85" s="209">
        <f t="shared" si="6"/>
        <v>-128.24213146479406</v>
      </c>
      <c r="K85" s="208">
        <f>'[5]Sithe Positions '!$BB84</f>
        <v>1905.7862292937159</v>
      </c>
      <c r="L85" s="208">
        <f>'[5]Sithe Positions '!$BD84</f>
        <v>5631.0987146881789</v>
      </c>
      <c r="M85" s="208">
        <f t="shared" si="4"/>
        <v>7536.884943981895</v>
      </c>
      <c r="O85" s="171"/>
    </row>
    <row r="86" spans="1:15">
      <c r="A86" s="156">
        <v>39295</v>
      </c>
      <c r="C86" s="171">
        <f>'[5]Sithe Positions '!$I85</f>
        <v>-3918.5981205739249</v>
      </c>
      <c r="D86" s="171">
        <f>'[5]Sithe Positions '!$U85</f>
        <v>142.52550238174382</v>
      </c>
      <c r="E86" s="171">
        <f>'[5]Sithe Positions '!$V85</f>
        <v>68.1661913063393</v>
      </c>
      <c r="F86" s="191">
        <f t="shared" si="5"/>
        <v>210.69169368808312</v>
      </c>
      <c r="G86" s="208">
        <f>'[5]Sithe Positions '!$AC85</f>
        <v>2388.496698160769</v>
      </c>
      <c r="H86" s="208">
        <f>'[5]Sithe Positions '!$AO85</f>
        <v>-86.873336169681295</v>
      </c>
      <c r="I86" s="208">
        <f>'[5]Sithe Positions '!$AP85</f>
        <v>-41.54922700711667</v>
      </c>
      <c r="J86" s="209">
        <f t="shared" si="6"/>
        <v>-128.42256317679795</v>
      </c>
      <c r="K86" s="208">
        <f>'[5]Sithe Positions '!$BB85</f>
        <v>2006.4957210531309</v>
      </c>
      <c r="L86" s="208">
        <f>'[5]Sithe Positions '!$BD85</f>
        <v>5697.0050715272364</v>
      </c>
      <c r="M86" s="208">
        <f t="shared" si="4"/>
        <v>7703.5007925803675</v>
      </c>
      <c r="O86" s="171"/>
    </row>
    <row r="87" spans="1:15">
      <c r="A87" s="156">
        <v>39326</v>
      </c>
      <c r="C87" s="171">
        <f>'[5]Sithe Positions '!$I86</f>
        <v>-3773.1045769103662</v>
      </c>
      <c r="D87" s="171">
        <f>'[5]Sithe Positions '!$U86</f>
        <v>164.35338024015709</v>
      </c>
      <c r="E87" s="171">
        <f>'[5]Sithe Positions '!$V86</f>
        <v>65.635250284565203</v>
      </c>
      <c r="F87" s="191">
        <f t="shared" si="5"/>
        <v>229.98863052472228</v>
      </c>
      <c r="G87" s="208">
        <f>'[5]Sithe Positions '!$AC86</f>
        <v>2311.4484175749376</v>
      </c>
      <c r="H87" s="208">
        <f>'[5]Sithe Positions '!$AO86</f>
        <v>-100.68482146081473</v>
      </c>
      <c r="I87" s="208">
        <f>'[5]Sithe Positions '!$AP86</f>
        <v>-40.208929361725801</v>
      </c>
      <c r="J87" s="209">
        <f t="shared" si="6"/>
        <v>-140.89375082254054</v>
      </c>
      <c r="K87" s="208">
        <f>'[5]Sithe Positions '!$BB86</f>
        <v>4856.8863614264956</v>
      </c>
      <c r="L87" s="208">
        <f>'[5]Sithe Positions '!$BD86</f>
        <v>5786.1613464597203</v>
      </c>
      <c r="M87" s="208">
        <f t="shared" si="4"/>
        <v>10643.047707886217</v>
      </c>
      <c r="O87" s="171"/>
    </row>
    <row r="88" spans="1:15">
      <c r="A88" s="156">
        <v>39356</v>
      </c>
      <c r="C88" s="171">
        <f>'[5]Sithe Positions '!$I87</f>
        <v>-3878.6889726660675</v>
      </c>
      <c r="D88" s="171">
        <f>'[5]Sithe Positions '!$U87</f>
        <v>192.92130211431359</v>
      </c>
      <c r="E88" s="171">
        <f>'[5]Sithe Positions '!$V87</f>
        <v>67.471949506733296</v>
      </c>
      <c r="F88" s="191">
        <f t="shared" si="5"/>
        <v>260.39325162104689</v>
      </c>
      <c r="G88" s="208">
        <f>'[5]Sithe Positions '!$AC87</f>
        <v>2388.496698160769</v>
      </c>
      <c r="H88" s="208">
        <f>'[5]Sithe Positions '!$AO87</f>
        <v>-118.80093927412358</v>
      </c>
      <c r="I88" s="208">
        <f>'[5]Sithe Positions '!$AP87</f>
        <v>-41.54922700711667</v>
      </c>
      <c r="J88" s="209">
        <f t="shared" si="6"/>
        <v>-160.35016628124026</v>
      </c>
      <c r="K88" s="208">
        <f>'[5]Sithe Positions '!$BB87</f>
        <v>4714.891077872524</v>
      </c>
      <c r="L88" s="208">
        <f>'[5]Sithe Positions '!$BD87</f>
        <v>5874.8771964289854</v>
      </c>
      <c r="M88" s="208">
        <f t="shared" si="4"/>
        <v>10589.76827430151</v>
      </c>
      <c r="O88" s="171"/>
    </row>
    <row r="89" spans="1:15">
      <c r="A89" s="156">
        <v>39387</v>
      </c>
      <c r="C89" s="171">
        <f>'[5]Sithe Positions '!$I88</f>
        <v>-3734.5690599443133</v>
      </c>
      <c r="D89" s="171">
        <f>'[5]Sithe Positions '!$U88</f>
        <v>165.31963526804765</v>
      </c>
      <c r="E89" s="171">
        <f>'[5]Sithe Positions '!$V88</f>
        <v>64.964903558320188</v>
      </c>
      <c r="F89" s="191">
        <f t="shared" si="5"/>
        <v>230.28453882636785</v>
      </c>
      <c r="G89" s="208">
        <f>'[5]Sithe Positions '!$AC88</f>
        <v>2311.4484175749376</v>
      </c>
      <c r="H89" s="208">
        <f>'[5]Sithe Positions '!$AO88</f>
        <v>-102.32179488470688</v>
      </c>
      <c r="I89" s="208">
        <f>'[5]Sithe Positions '!$AP88</f>
        <v>-40.208929361725808</v>
      </c>
      <c r="J89" s="209">
        <f t="shared" si="6"/>
        <v>-142.53072424643267</v>
      </c>
      <c r="K89" s="208">
        <f>'[5]Sithe Positions '!$BB88</f>
        <v>5331.741332353804</v>
      </c>
      <c r="L89" s="208">
        <f>'[5]Sithe Positions '!$BD88</f>
        <v>5969.5373071833928</v>
      </c>
      <c r="M89" s="208">
        <f t="shared" si="4"/>
        <v>11301.278639537197</v>
      </c>
      <c r="O89" s="171"/>
    </row>
    <row r="90" spans="1:15">
      <c r="A90" s="156">
        <v>39417</v>
      </c>
      <c r="C90" s="171">
        <f>'[5]Sithe Positions '!$I89</f>
        <v>-3838.9639225256437</v>
      </c>
      <c r="D90" s="171">
        <f>'[5]Sithe Positions '!$U89</f>
        <v>164.40099532274994</v>
      </c>
      <c r="E90" s="171">
        <f>'[5]Sithe Positions '!$V89</f>
        <v>66.780910190068326</v>
      </c>
      <c r="F90" s="191">
        <f t="shared" si="5"/>
        <v>231.18190551281828</v>
      </c>
      <c r="G90" s="208">
        <f>'[5]Sithe Positions '!$AC89</f>
        <v>2388.496698160769</v>
      </c>
      <c r="H90" s="208">
        <f>'[5]Sithe Positions '!$AO89</f>
        <v>-102.28573188684592</v>
      </c>
      <c r="I90" s="208">
        <f>'[5]Sithe Positions '!$AP89</f>
        <v>-41.54922700711667</v>
      </c>
      <c r="J90" s="209">
        <f t="shared" si="6"/>
        <v>-143.83495889396261</v>
      </c>
      <c r="K90" s="208">
        <f>'[5]Sithe Positions '!$BB89</f>
        <v>5939.7440012691459</v>
      </c>
      <c r="L90" s="208">
        <f>'[5]Sithe Positions '!$BD89</f>
        <v>6069.7706439048106</v>
      </c>
      <c r="M90" s="208">
        <f t="shared" si="4"/>
        <v>12009.514645173957</v>
      </c>
      <c r="O90" s="171"/>
    </row>
    <row r="91" spans="1:15">
      <c r="A91" s="156">
        <v>39448</v>
      </c>
      <c r="C91" s="171">
        <f>'[5]Sithe Positions '!$I90</f>
        <v>-3818.8472084216414</v>
      </c>
      <c r="D91" s="171">
        <f>'[5]Sithe Positions '!$U90</f>
        <v>149.53229337580572</v>
      </c>
      <c r="E91" s="171">
        <f>'[5]Sithe Positions '!$V90</f>
        <v>66.430968772276898</v>
      </c>
      <c r="F91" s="191">
        <f t="shared" si="5"/>
        <v>215.96326214808261</v>
      </c>
      <c r="G91" s="208">
        <f>'[5]Sithe Positions '!$AC90</f>
        <v>2388.496698160769</v>
      </c>
      <c r="H91" s="208">
        <f>'[5]Sithe Positions '!$AO90</f>
        <v>-93.52492244489018</v>
      </c>
      <c r="I91" s="208">
        <f>'[5]Sithe Positions '!$AP90</f>
        <v>-41.54922700711667</v>
      </c>
      <c r="J91" s="209">
        <f t="shared" si="6"/>
        <v>-135.07414945200685</v>
      </c>
      <c r="K91" s="208">
        <f>'[5]Sithe Positions '!$BB90</f>
        <v>4728.0180241840562</v>
      </c>
      <c r="L91" s="208">
        <f>'[5]Sithe Positions '!$BD90</f>
        <v>6161.5168734227991</v>
      </c>
      <c r="M91" s="208">
        <f t="shared" si="4"/>
        <v>10889.534897606856</v>
      </c>
      <c r="O91" s="171"/>
    </row>
    <row r="92" spans="1:15">
      <c r="A92" s="156">
        <v>39479</v>
      </c>
      <c r="C92" s="171">
        <f>'[5]Sithe Positions '!$I91</f>
        <v>-3554.7646726357248</v>
      </c>
      <c r="D92" s="171">
        <f>'[5]Sithe Positions '!$U91</f>
        <v>141.86008529762529</v>
      </c>
      <c r="E92" s="171">
        <f>'[5]Sithe Positions '!$V91</f>
        <v>61.837106349761015</v>
      </c>
      <c r="F92" s="191">
        <f t="shared" si="5"/>
        <v>203.69719164738632</v>
      </c>
      <c r="G92" s="208">
        <f>'[5]Sithe Positions '!$AC91</f>
        <v>2234.4001369891066</v>
      </c>
      <c r="H92" s="208">
        <f>'[5]Sithe Positions '!$AO91</f>
        <v>-89.168263784752099</v>
      </c>
      <c r="I92" s="208">
        <f>'[5]Sithe Positions '!$AP91</f>
        <v>-38.868631716334953</v>
      </c>
      <c r="J92" s="209">
        <f t="shared" si="6"/>
        <v>-128.03689550108706</v>
      </c>
      <c r="K92" s="208">
        <f>'[5]Sithe Positions '!$BB91</f>
        <v>3885.9948487077245</v>
      </c>
      <c r="L92" s="208">
        <f>'[5]Sithe Positions '!$BD91</f>
        <v>6247.4465577895298</v>
      </c>
      <c r="M92" s="208">
        <f t="shared" si="4"/>
        <v>10133.441406497255</v>
      </c>
      <c r="O92" s="171"/>
    </row>
    <row r="93" spans="1:15">
      <c r="A93" s="156">
        <v>39508</v>
      </c>
      <c r="C93" s="171">
        <f>'[5]Sithe Positions '!$I92</f>
        <v>-3780.0500045180765</v>
      </c>
      <c r="D93" s="171">
        <f>'[5]Sithe Positions '!$U92</f>
        <v>161.64910159705295</v>
      </c>
      <c r="E93" s="171">
        <f>'[5]Sithe Positions '!$V92</f>
        <v>65.756069856372235</v>
      </c>
      <c r="F93" s="191">
        <f t="shared" si="5"/>
        <v>227.40517145342517</v>
      </c>
      <c r="G93" s="208">
        <f>'[5]Sithe Positions '!$AC92</f>
        <v>2388.496698160769</v>
      </c>
      <c r="H93" s="208">
        <f>'[5]Sithe Positions '!$AO92</f>
        <v>-102.14106823024417</v>
      </c>
      <c r="I93" s="208">
        <f>'[5]Sithe Positions '!$AP92</f>
        <v>-41.54922700711667</v>
      </c>
      <c r="J93" s="209">
        <f t="shared" si="6"/>
        <v>-143.69029523736083</v>
      </c>
      <c r="K93" s="208">
        <f>'[5]Sithe Positions '!$BB92</f>
        <v>5336.0560015623023</v>
      </c>
      <c r="L93" s="208">
        <f>'[5]Sithe Positions '!$BD92</f>
        <v>6345.3938509397294</v>
      </c>
      <c r="M93" s="208">
        <f t="shared" si="4"/>
        <v>11681.449852502032</v>
      </c>
      <c r="O93" s="171"/>
    </row>
    <row r="94" spans="1:15">
      <c r="A94" s="156">
        <v>39539</v>
      </c>
      <c r="C94" s="171">
        <f>'[5]Sithe Positions '!$I93</f>
        <v>-3639.5081233363767</v>
      </c>
      <c r="D94" s="171">
        <f>'[5]Sithe Positions '!$U93</f>
        <v>161.89912848920264</v>
      </c>
      <c r="E94" s="171">
        <f>'[5]Sithe Positions '!$V93</f>
        <v>63.311265754393695</v>
      </c>
      <c r="F94" s="191">
        <f t="shared" si="5"/>
        <v>225.21039424359634</v>
      </c>
      <c r="G94" s="208">
        <f>'[5]Sithe Positions '!$AC93</f>
        <v>2311.4484175749376</v>
      </c>
      <c r="H94" s="208">
        <f>'[5]Sithe Positions '!$AO93</f>
        <v>-102.82199453097415</v>
      </c>
      <c r="I94" s="208">
        <f>'[5]Sithe Positions '!$AP93</f>
        <v>-40.208929361725815</v>
      </c>
      <c r="J94" s="209">
        <f t="shared" si="6"/>
        <v>-143.03092389269997</v>
      </c>
      <c r="K94" s="208">
        <f>'[5]Sithe Positions '!$BB93</f>
        <v>4731.611915231204</v>
      </c>
      <c r="L94" s="208">
        <f>'[5]Sithe Positions '!$BD93</f>
        <v>6439.3895690990421</v>
      </c>
      <c r="M94" s="208">
        <f t="shared" si="4"/>
        <v>11171.001484330245</v>
      </c>
      <c r="O94" s="171"/>
    </row>
    <row r="95" spans="1:15">
      <c r="A95" s="156">
        <v>39569</v>
      </c>
      <c r="C95" s="171">
        <f>'[5]Sithe Positions '!$I94</f>
        <v>-3741.7602081262185</v>
      </c>
      <c r="D95" s="171">
        <f>'[5]Sithe Positions '!$U94</f>
        <v>178.58858542597534</v>
      </c>
      <c r="E95" s="171">
        <f>'[5]Sithe Positions '!$V94</f>
        <v>65.089997576026747</v>
      </c>
      <c r="F95" s="191">
        <f t="shared" si="5"/>
        <v>243.67858300200209</v>
      </c>
      <c r="G95" s="208">
        <f>'[5]Sithe Positions '!$AC94</f>
        <v>2388.496698160769</v>
      </c>
      <c r="H95" s="208">
        <f>'[5]Sithe Positions '!$AO94</f>
        <v>-113.9993540186677</v>
      </c>
      <c r="I95" s="208">
        <f>'[5]Sithe Positions '!$AP94</f>
        <v>-41.549227007116663</v>
      </c>
      <c r="J95" s="209">
        <f t="shared" si="6"/>
        <v>-155.54858102578436</v>
      </c>
      <c r="K95" s="208">
        <f>'[5]Sithe Positions '!$BB94</f>
        <v>4421.4213068573863</v>
      </c>
      <c r="L95" s="208">
        <f>'[5]Sithe Positions '!$BD94</f>
        <v>6530.0653868019272</v>
      </c>
      <c r="M95" s="208">
        <f t="shared" si="4"/>
        <v>10951.486693659313</v>
      </c>
      <c r="O95" s="171"/>
    </row>
    <row r="96" spans="1:15">
      <c r="A96" s="156">
        <v>39600</v>
      </c>
      <c r="C96" s="171">
        <f>'[5]Sithe Positions '!$I95</f>
        <v>-3603.161648469264</v>
      </c>
      <c r="D96" s="171">
        <f>'[5]Sithe Positions '!$U95</f>
        <v>142.65044720854971</v>
      </c>
      <c r="E96" s="171">
        <f>'[5]Sithe Positions '!$V95</f>
        <v>62.678998631594219</v>
      </c>
      <c r="F96" s="191">
        <f t="shared" si="5"/>
        <v>205.32944584014393</v>
      </c>
      <c r="G96" s="208">
        <f>'[5]Sithe Positions '!$AC95</f>
        <v>2311.4484175749376</v>
      </c>
      <c r="H96" s="208">
        <f>'[5]Sithe Positions '!$AO95</f>
        <v>-91.511062404496514</v>
      </c>
      <c r="I96" s="208">
        <f>'[5]Sithe Positions '!$AP95</f>
        <v>-40.208929361725808</v>
      </c>
      <c r="J96" s="209">
        <f t="shared" si="6"/>
        <v>-131.71999176622234</v>
      </c>
      <c r="K96" s="208">
        <f>'[5]Sithe Positions '!$BB95</f>
        <v>3504.1439429003799</v>
      </c>
      <c r="L96" s="208">
        <f>'[5]Sithe Positions '!$BD95</f>
        <v>6614.3723824924691</v>
      </c>
      <c r="M96" s="208">
        <f t="shared" si="4"/>
        <v>10118.516325392849</v>
      </c>
      <c r="O96" s="171"/>
    </row>
    <row r="97" spans="1:15">
      <c r="A97" s="156">
        <v>39630</v>
      </c>
      <c r="C97" s="171">
        <f>'[5]Sithe Positions '!$I96</f>
        <v>-3704.3215006505507</v>
      </c>
      <c r="D97" s="171">
        <f>'[5]Sithe Positions '!$U96</f>
        <v>135.39239303715678</v>
      </c>
      <c r="E97" s="171">
        <f>'[5]Sithe Positions '!$V96</f>
        <v>64.438730460205576</v>
      </c>
      <c r="F97" s="191">
        <f t="shared" si="5"/>
        <v>199.83112349736234</v>
      </c>
      <c r="G97" s="208">
        <f>'[5]Sithe Positions '!$AC96</f>
        <v>2388.496698160769</v>
      </c>
      <c r="H97" s="208">
        <f>'[5]Sithe Positions '!$AO96</f>
        <v>-87.29919464834289</v>
      </c>
      <c r="I97" s="208">
        <f>'[5]Sithe Positions '!$AP96</f>
        <v>-41.54922700711667</v>
      </c>
      <c r="J97" s="209">
        <f t="shared" si="6"/>
        <v>-128.84842165545956</v>
      </c>
      <c r="K97" s="208">
        <f>'[5]Sithe Positions '!$BB96</f>
        <v>2214.2922357365333</v>
      </c>
      <c r="L97" s="208">
        <f>'[5]Sithe Positions '!$BD96</f>
        <v>6689.0015868432192</v>
      </c>
      <c r="M97" s="208">
        <f t="shared" si="4"/>
        <v>8903.2938225797516</v>
      </c>
      <c r="O97" s="171"/>
    </row>
    <row r="98" spans="1:15">
      <c r="A98" s="156">
        <v>39661</v>
      </c>
      <c r="C98" s="171">
        <f>'[5]Sithe Positions '!$I97</f>
        <v>-3685.3848704873321</v>
      </c>
      <c r="D98" s="171">
        <f>'[5]Sithe Positions '!$U97</f>
        <v>134.9879640786688</v>
      </c>
      <c r="E98" s="171">
        <f>'[5]Sithe Positions '!$V97</f>
        <v>64.1093172581663</v>
      </c>
      <c r="F98" s="191">
        <f t="shared" si="5"/>
        <v>199.0972813368351</v>
      </c>
      <c r="G98" s="208">
        <f>'[5]Sithe Positions '!$AC97</f>
        <v>2388.496698160769</v>
      </c>
      <c r="H98" s="208">
        <f>'[5]Sithe Positions '!$AO97</f>
        <v>-87.485654232555206</v>
      </c>
      <c r="I98" s="208">
        <f>'[5]Sithe Positions '!$AP97</f>
        <v>-41.54922700711667</v>
      </c>
      <c r="J98" s="209">
        <f t="shared" si="6"/>
        <v>-129.03488123967188</v>
      </c>
      <c r="K98" s="208">
        <f>'[5]Sithe Positions '!$BB97</f>
        <v>2314.899670557063</v>
      </c>
      <c r="L98" s="208">
        <f>'[5]Sithe Positions '!$BD97</f>
        <v>6765.2554472568645</v>
      </c>
      <c r="M98" s="208">
        <f t="shared" si="4"/>
        <v>9080.1551178139271</v>
      </c>
      <c r="O98" s="171"/>
    </row>
    <row r="99" spans="1:15">
      <c r="A99" s="156">
        <v>39692</v>
      </c>
      <c r="C99" s="171">
        <f>'[5]Sithe Positions '!$I98</f>
        <v>-3548.7718232339953</v>
      </c>
      <c r="D99" s="171">
        <f>'[5]Sithe Positions '!$U98</f>
        <v>155.68657957669146</v>
      </c>
      <c r="E99" s="171">
        <f>'[5]Sithe Positions '!$V98</f>
        <v>61.732857405057153</v>
      </c>
      <c r="F99" s="191">
        <f t="shared" si="5"/>
        <v>217.41943698174862</v>
      </c>
      <c r="G99" s="208">
        <f>'[5]Sithe Positions '!$AC98</f>
        <v>2311.4484175749376</v>
      </c>
      <c r="H99" s="208">
        <f>'[5]Sithe Positions '!$AO98</f>
        <v>-101.40451849965838</v>
      </c>
      <c r="I99" s="208">
        <f>'[5]Sithe Positions '!$AP98</f>
        <v>-40.208929361725801</v>
      </c>
      <c r="J99" s="209">
        <f t="shared" si="6"/>
        <v>-141.61344786138417</v>
      </c>
      <c r="K99" s="208">
        <f>'[5]Sithe Positions '!$BB98</f>
        <v>5066.1654738991801</v>
      </c>
      <c r="L99" s="208">
        <f>'[5]Sithe Positions '!$BD98</f>
        <v>6864.2447953566034</v>
      </c>
      <c r="M99" s="208">
        <f t="shared" si="4"/>
        <v>11930.410269255783</v>
      </c>
      <c r="O99" s="171"/>
    </row>
    <row r="100" spans="1:15">
      <c r="A100" s="156">
        <v>39722</v>
      </c>
      <c r="C100" s="171">
        <f>'[5]Sithe Positions '!$I99</f>
        <v>-3648.2990980503396</v>
      </c>
      <c r="D100" s="171">
        <f>'[5]Sithe Positions '!$U99</f>
        <v>183.11314281079248</v>
      </c>
      <c r="E100" s="171">
        <f>'[5]Sithe Positions '!$V99</f>
        <v>63.46418964341791</v>
      </c>
      <c r="F100" s="191">
        <f t="shared" si="5"/>
        <v>246.57733245421039</v>
      </c>
      <c r="G100" s="208">
        <f>'[5]Sithe Positions '!$AC99</f>
        <v>2388.496698160769</v>
      </c>
      <c r="H100" s="208">
        <f>'[5]Sithe Positions '!$AO99</f>
        <v>-119.88192997310672</v>
      </c>
      <c r="I100" s="208">
        <f>'[5]Sithe Positions '!$AP99</f>
        <v>-41.54922700711667</v>
      </c>
      <c r="J100" s="209">
        <f t="shared" si="6"/>
        <v>-161.43115698022339</v>
      </c>
      <c r="K100" s="208">
        <f>'[5]Sithe Positions '!$BB99</f>
        <v>4927.2823244861711</v>
      </c>
      <c r="L100" s="208">
        <f>'[5]Sithe Positions '!$BD99</f>
        <v>6962.8925789281784</v>
      </c>
      <c r="M100" s="208">
        <f t="shared" si="4"/>
        <v>11890.17490341435</v>
      </c>
      <c r="O100" s="171"/>
    </row>
    <row r="101" spans="1:15">
      <c r="A101" s="156">
        <v>39753</v>
      </c>
      <c r="C101" s="171">
        <f>'[5]Sithe Positions '!$I100</f>
        <v>-3512.993386709993</v>
      </c>
      <c r="D101" s="171">
        <f>'[5]Sithe Positions '!$U100</f>
        <v>156.68753873585169</v>
      </c>
      <c r="E101" s="171">
        <f>'[5]Sithe Positions '!$V100</f>
        <v>61.110471624812945</v>
      </c>
      <c r="F101" s="191">
        <f t="shared" si="5"/>
        <v>217.79801036066465</v>
      </c>
      <c r="G101" s="208">
        <f>'[5]Sithe Positions '!$AC100</f>
        <v>2311.4484175749376</v>
      </c>
      <c r="H101" s="208">
        <f>'[5]Sithe Positions '!$AO100</f>
        <v>-103.09588535943199</v>
      </c>
      <c r="I101" s="208">
        <f>'[5]Sithe Positions '!$AP100</f>
        <v>-40.208929361725808</v>
      </c>
      <c r="J101" s="209">
        <f t="shared" si="6"/>
        <v>-143.30481472115781</v>
      </c>
      <c r="K101" s="208">
        <f>'[5]Sithe Positions '!$BB100</f>
        <v>5540.9482318006058</v>
      </c>
      <c r="L101" s="208">
        <f>'[5]Sithe Positions '!$BD100</f>
        <v>7067.5087753077014</v>
      </c>
      <c r="M101" s="208">
        <f t="shared" si="4"/>
        <v>12608.457007108307</v>
      </c>
      <c r="O101" s="171"/>
    </row>
    <row r="102" spans="1:15">
      <c r="A102" s="156">
        <v>39783</v>
      </c>
      <c r="C102" s="171">
        <f>'[5]Sithe Positions '!$I101</f>
        <v>-3611.4479549866155</v>
      </c>
      <c r="D102" s="171">
        <f>'[5]Sithe Positions '!$U101</f>
        <v>155.75513298600598</v>
      </c>
      <c r="E102" s="171">
        <f>'[5]Sithe Positions '!$V101</f>
        <v>62.82314353696718</v>
      </c>
      <c r="F102" s="191">
        <f t="shared" si="5"/>
        <v>218.57827652297317</v>
      </c>
      <c r="G102" s="208">
        <f>'[5]Sithe Positions '!$AC101</f>
        <v>2388.496698160769</v>
      </c>
      <c r="H102" s="208">
        <f>'[5]Sithe Positions '!$AO101</f>
        <v>-103.01148611182064</v>
      </c>
      <c r="I102" s="208">
        <f>'[5]Sithe Positions '!$AP101</f>
        <v>-41.54922700711667</v>
      </c>
      <c r="J102" s="209">
        <f t="shared" si="6"/>
        <v>-144.56071311893731</v>
      </c>
      <c r="K102" s="208">
        <f>'[5]Sithe Positions '!$BB101</f>
        <v>6156.9238681298166</v>
      </c>
      <c r="L102" s="208">
        <f>'[5]Sithe Positions '!$BD101</f>
        <v>7177.8875446019129</v>
      </c>
      <c r="M102" s="208">
        <f t="shared" si="4"/>
        <v>13334.811412731729</v>
      </c>
      <c r="O102" s="171"/>
    </row>
    <row r="103" spans="1:15">
      <c r="A103" s="156">
        <v>39814</v>
      </c>
      <c r="C103" s="171">
        <f>'[5]Sithe Positions '!$I102</f>
        <v>-3592.8103891107512</v>
      </c>
      <c r="D103" s="171">
        <f>'[5]Sithe Positions '!$U102</f>
        <v>141.67282095194477</v>
      </c>
      <c r="E103" s="171">
        <f>'[5]Sithe Positions '!$V102</f>
        <v>62.498932724353253</v>
      </c>
      <c r="F103" s="191">
        <f t="shared" si="5"/>
        <v>204.17175367629801</v>
      </c>
      <c r="G103" s="208">
        <f>'[5]Sithe Positions '!$AC102</f>
        <v>2388.496698160769</v>
      </c>
      <c r="H103" s="208">
        <f>'[5]Sithe Positions '!$AO102</f>
        <v>-94.183947499270843</v>
      </c>
      <c r="I103" s="208">
        <f>'[5]Sithe Positions '!$AP102</f>
        <v>-41.54922700711667</v>
      </c>
      <c r="J103" s="209">
        <f t="shared" si="6"/>
        <v>-135.73317450638751</v>
      </c>
      <c r="K103" s="208">
        <f>'[5]Sithe Positions '!$BB102</f>
        <v>4983.863303861348</v>
      </c>
      <c r="L103" s="208">
        <f>'[5]Sithe Positions '!$BD102</f>
        <v>7280.0092867014255</v>
      </c>
      <c r="M103" s="208">
        <f t="shared" si="4"/>
        <v>12263.872590562773</v>
      </c>
      <c r="O103" s="171"/>
    </row>
    <row r="104" spans="1:15">
      <c r="A104" s="156">
        <v>39845</v>
      </c>
      <c r="C104" s="171">
        <f>'[5]Sithe Positions '!$I103</f>
        <v>-3229.8152553017949</v>
      </c>
      <c r="D104" s="171">
        <f>'[5]Sithe Positions '!$U103</f>
        <v>129.84743960579516</v>
      </c>
      <c r="E104" s="171">
        <f>'[5]Sithe Positions '!$V103</f>
        <v>56.184430707783221</v>
      </c>
      <c r="F104" s="191">
        <f t="shared" si="5"/>
        <v>186.03187031357839</v>
      </c>
      <c r="G104" s="208">
        <f>'[5]Sithe Positions '!$AC103</f>
        <v>2157.3518564032752</v>
      </c>
      <c r="H104" s="208">
        <f>'[5]Sithe Positions '!$AO103</f>
        <v>-86.73146689208987</v>
      </c>
      <c r="I104" s="208">
        <f>'[5]Sithe Positions '!$AP103</f>
        <v>-37.528334070944091</v>
      </c>
      <c r="J104" s="209">
        <f t="shared" si="6"/>
        <v>-124.25980096303397</v>
      </c>
      <c r="K104" s="208">
        <f>'[5]Sithe Positions '!$BB103</f>
        <v>3982.448988132187</v>
      </c>
      <c r="L104" s="208">
        <f>'[5]Sithe Positions '!$BD103</f>
        <v>7375.0282667085221</v>
      </c>
      <c r="M104" s="208">
        <f t="shared" si="4"/>
        <v>11357.477254840709</v>
      </c>
      <c r="O104" s="171"/>
    </row>
    <row r="105" spans="1:15">
      <c r="A105" s="156">
        <v>39873</v>
      </c>
      <c r="C105" s="171">
        <f>'[5]Sithe Positions '!$I104</f>
        <v>-3557.5068329178116</v>
      </c>
      <c r="D105" s="171">
        <f>'[5]Sithe Positions '!$U104</f>
        <v>153.77122350494852</v>
      </c>
      <c r="E105" s="171">
        <f>'[5]Sithe Positions '!$V104</f>
        <v>61.884807751290303</v>
      </c>
      <c r="F105" s="191">
        <f t="shared" si="5"/>
        <v>215.65603125623883</v>
      </c>
      <c r="G105" s="208">
        <f>'[5]Sithe Positions '!$AC104</f>
        <v>2388.496698160769</v>
      </c>
      <c r="H105" s="208">
        <f>'[5]Sithe Positions '!$AO104</f>
        <v>-103.24142070936576</v>
      </c>
      <c r="I105" s="208">
        <f>'[5]Sithe Positions '!$AP104</f>
        <v>-41.549227007116677</v>
      </c>
      <c r="J105" s="209">
        <f t="shared" si="6"/>
        <v>-144.79064771648243</v>
      </c>
      <c r="K105" s="208">
        <f>'[5]Sithe Positions '!$BB104</f>
        <v>5586.7452970379218</v>
      </c>
      <c r="L105" s="208">
        <f>'[5]Sithe Positions '!$BD104</f>
        <v>7483.3690236030143</v>
      </c>
      <c r="M105" s="208">
        <f t="shared" si="4"/>
        <v>13070.114320640936</v>
      </c>
      <c r="O105" s="171"/>
    </row>
    <row r="106" spans="1:15">
      <c r="A106" s="156">
        <v>39904</v>
      </c>
      <c r="C106" s="171">
        <f>'[5]Sithe Positions '!$I105</f>
        <v>-3425.4057246128914</v>
      </c>
      <c r="D106" s="171">
        <f>'[5]Sithe Positions '!$U105</f>
        <v>154.13153374093022</v>
      </c>
      <c r="E106" s="171">
        <f>'[5]Sithe Positions '!$V105</f>
        <v>59.586835582821585</v>
      </c>
      <c r="F106" s="191">
        <f t="shared" si="5"/>
        <v>213.7183693237518</v>
      </c>
      <c r="G106" s="208">
        <f>'[5]Sithe Positions '!$AC105</f>
        <v>2311.4484175749376</v>
      </c>
      <c r="H106" s="208">
        <f>'[5]Sithe Positions '!$AO105</f>
        <v>-104.00726757824678</v>
      </c>
      <c r="I106" s="208">
        <f>'[5]Sithe Positions '!$AP105</f>
        <v>-40.208929361725801</v>
      </c>
      <c r="J106" s="209">
        <f t="shared" si="6"/>
        <v>-144.21619693997258</v>
      </c>
      <c r="K106" s="208">
        <f>'[5]Sithe Positions '!$BB105</f>
        <v>4972.9957458734816</v>
      </c>
      <c r="L106" s="208">
        <f>'[5]Sithe Positions '!$BD105</f>
        <v>7588.2194104637647</v>
      </c>
      <c r="M106" s="208">
        <f t="shared" si="4"/>
        <v>12561.215156337246</v>
      </c>
      <c r="O106" s="171"/>
    </row>
    <row r="107" spans="1:15">
      <c r="A107" s="156">
        <v>39934</v>
      </c>
      <c r="C107" s="171">
        <f>'[5]Sithe Positions '!$I106</f>
        <v>-3521.2383844977153</v>
      </c>
      <c r="D107" s="171">
        <f>'[5]Sithe Positions '!$U106</f>
        <v>170.41658165639481</v>
      </c>
      <c r="E107" s="171">
        <f>'[5]Sithe Positions '!$V106</f>
        <v>61.253897941884716</v>
      </c>
      <c r="F107" s="191">
        <f t="shared" si="5"/>
        <v>231.67047959827954</v>
      </c>
      <c r="G107" s="208">
        <f>'[5]Sithe Positions '!$AC106</f>
        <v>2388.496698160769</v>
      </c>
      <c r="H107" s="208">
        <f>'[5]Sithe Positions '!$AO106</f>
        <v>-115.59553718093584</v>
      </c>
      <c r="I107" s="208">
        <f>'[5]Sithe Positions '!$AP106</f>
        <v>-41.54922700711667</v>
      </c>
      <c r="J107" s="209">
        <f t="shared" si="6"/>
        <v>-157.14476418805251</v>
      </c>
      <c r="K107" s="208">
        <f>'[5]Sithe Positions '!$BB106</f>
        <v>4685.495228422089</v>
      </c>
      <c r="L107" s="208">
        <f>'[5]Sithe Positions '!$BD106</f>
        <v>7691.5701726587049</v>
      </c>
      <c r="M107" s="208">
        <f t="shared" si="4"/>
        <v>12377.065401080794</v>
      </c>
      <c r="O107" s="171"/>
    </row>
    <row r="108" spans="1:15">
      <c r="A108" s="156">
        <v>39965</v>
      </c>
      <c r="C108" s="171">
        <f>'[5]Sithe Positions '!$I107</f>
        <v>-3390.4190138804197</v>
      </c>
      <c r="D108" s="171">
        <f>'[5]Sithe Positions '!$U107</f>
        <v>134.88936151966089</v>
      </c>
      <c r="E108" s="171">
        <f>'[5]Sithe Positions '!$V107</f>
        <v>58.978222312568732</v>
      </c>
      <c r="F108" s="191">
        <f t="shared" si="5"/>
        <v>193.86758383222963</v>
      </c>
      <c r="G108" s="208">
        <f>'[5]Sithe Positions '!$AC107</f>
        <v>2311.4484175749376</v>
      </c>
      <c r="H108" s="208">
        <f>'[5]Sithe Positions '!$AO107</f>
        <v>-91.962025919463727</v>
      </c>
      <c r="I108" s="208">
        <f>'[5]Sithe Positions '!$AP107</f>
        <v>-40.208929361725808</v>
      </c>
      <c r="J108" s="209">
        <f t="shared" si="6"/>
        <v>-132.17095528118955</v>
      </c>
      <c r="K108" s="208">
        <f>'[5]Sithe Positions '!$BB107</f>
        <v>3727.2669651357523</v>
      </c>
      <c r="L108" s="208">
        <f>'[5]Sithe Positions '!$BD107</f>
        <v>7788.3119378814054</v>
      </c>
      <c r="M108" s="208">
        <f t="shared" si="4"/>
        <v>11515.578903017158</v>
      </c>
      <c r="O108" s="171"/>
    </row>
    <row r="109" spans="1:15">
      <c r="A109" s="156">
        <v>39995</v>
      </c>
      <c r="C109" s="171">
        <f>'[5]Sithe Positions '!$I108</f>
        <v>-3485.2060109427971</v>
      </c>
      <c r="D109" s="171">
        <f>'[5]Sithe Positions '!$U108</f>
        <v>127.22140505495264</v>
      </c>
      <c r="E109" s="171">
        <f>'[5]Sithe Positions '!$V108</f>
        <v>60.627094785911588</v>
      </c>
      <c r="F109" s="191">
        <f t="shared" si="5"/>
        <v>187.84849984086424</v>
      </c>
      <c r="G109" s="208">
        <f>'[5]Sithe Positions '!$AC108</f>
        <v>2388.496698160769</v>
      </c>
      <c r="H109" s="208">
        <f>'[5]Sithe Positions '!$AO108</f>
        <v>-87.187932350354131</v>
      </c>
      <c r="I109" s="208">
        <f>'[5]Sithe Positions '!$AP108</f>
        <v>-41.54922700711667</v>
      </c>
      <c r="J109" s="209">
        <f t="shared" si="6"/>
        <v>-128.7371593574708</v>
      </c>
      <c r="K109" s="208">
        <f>'[5]Sithe Positions '!$BB108</f>
        <v>2290.9841050158784</v>
      </c>
      <c r="L109" s="208">
        <f>'[5]Sithe Positions '!$BD108</f>
        <v>7874.2161833045202</v>
      </c>
      <c r="M109" s="208">
        <f t="shared" si="4"/>
        <v>10165.200288320399</v>
      </c>
      <c r="O109" s="171"/>
    </row>
    <row r="110" spans="1:15">
      <c r="A110" s="156">
        <v>40026</v>
      </c>
      <c r="C110" s="171">
        <f>'[5]Sithe Positions '!$I109</f>
        <v>-3466.9850598219728</v>
      </c>
      <c r="D110" s="171">
        <f>'[5]Sithe Positions '!$U109</f>
        <v>126.8253276303046</v>
      </c>
      <c r="E110" s="171">
        <f>'[5]Sithe Positions '!$V109</f>
        <v>60.310131218414234</v>
      </c>
      <c r="F110" s="191">
        <f t="shared" si="5"/>
        <v>187.13545884871883</v>
      </c>
      <c r="G110" s="208">
        <f>'[5]Sithe Positions '!$AC109</f>
        <v>2388.496698160769</v>
      </c>
      <c r="H110" s="208">
        <f>'[5]Sithe Positions '!$AO109</f>
        <v>-87.373285740001165</v>
      </c>
      <c r="I110" s="208">
        <f>'[5]Sithe Positions '!$AP109</f>
        <v>-41.54922700711667</v>
      </c>
      <c r="J110" s="209">
        <f t="shared" si="6"/>
        <v>-128.92251274711782</v>
      </c>
      <c r="K110" s="208">
        <f>'[5]Sithe Positions '!$BB109</f>
        <v>2391.4894828975275</v>
      </c>
      <c r="L110" s="208">
        <f>'[5]Sithe Positions '!$BD109</f>
        <v>7961.8805986659299</v>
      </c>
      <c r="M110" s="208">
        <f t="shared" si="4"/>
        <v>10353.370081563458</v>
      </c>
      <c r="O110" s="171"/>
    </row>
    <row r="111" spans="1:15">
      <c r="A111" s="156">
        <v>40057</v>
      </c>
      <c r="C111" s="171">
        <f>'[5]Sithe Positions '!$I110</f>
        <v>-3338.084742563165</v>
      </c>
      <c r="D111" s="171">
        <f>'[5]Sithe Positions '!$U110</f>
        <v>148.09841842240974</v>
      </c>
      <c r="E111" s="171">
        <f>'[5]Sithe Positions '!$V110</f>
        <v>58.067838588409906</v>
      </c>
      <c r="F111" s="191">
        <f t="shared" si="5"/>
        <v>206.16625701081963</v>
      </c>
      <c r="G111" s="208">
        <f>'[5]Sithe Positions '!$AC110</f>
        <v>2311.4484175749376</v>
      </c>
      <c r="H111" s="208">
        <f>'[5]Sithe Positions '!$AO110</f>
        <v>-102.55037882740403</v>
      </c>
      <c r="I111" s="208">
        <f>'[5]Sithe Positions '!$AP110</f>
        <v>-40.208929361725801</v>
      </c>
      <c r="J111" s="209">
        <f t="shared" si="6"/>
        <v>-142.75930818912983</v>
      </c>
      <c r="K111" s="208">
        <f>'[5]Sithe Positions '!$BB110</f>
        <v>5312.8311248536575</v>
      </c>
      <c r="L111" s="208">
        <f>'[5]Sithe Positions '!$BD110</f>
        <v>8073.9240604251336</v>
      </c>
      <c r="M111" s="208">
        <f t="shared" si="4"/>
        <v>13386.755185278791</v>
      </c>
      <c r="O111" s="171"/>
    </row>
    <row r="112" spans="1:15">
      <c r="A112" s="156">
        <v>40087</v>
      </c>
      <c r="C112" s="171">
        <f>'[5]Sithe Positions '!$I111</f>
        <v>-3431.3093772392499</v>
      </c>
      <c r="D112" s="171">
        <f>'[5]Sithe Positions '!$U111</f>
        <v>174.71055629953761</v>
      </c>
      <c r="E112" s="171">
        <f>'[5]Sithe Positions '!$V111</f>
        <v>59.689532900064101</v>
      </c>
      <c r="F112" s="191">
        <f t="shared" si="5"/>
        <v>234.40008919960172</v>
      </c>
      <c r="G112" s="208">
        <f>'[5]Sithe Positions '!$AC111</f>
        <v>2388.496698160769</v>
      </c>
      <c r="H112" s="208">
        <f>'[5]Sithe Positions '!$AO111</f>
        <v>-121.61409566368593</v>
      </c>
      <c r="I112" s="208">
        <f>'[5]Sithe Positions '!$AP111</f>
        <v>-41.54922700711667</v>
      </c>
      <c r="J112" s="209">
        <f t="shared" si="6"/>
        <v>-163.16332267080259</v>
      </c>
      <c r="K112" s="208">
        <f>'[5]Sithe Positions '!$BB111</f>
        <v>5178.3063275310051</v>
      </c>
      <c r="L112" s="208">
        <f>'[5]Sithe Positions '!$BD111</f>
        <v>8185.755184157415</v>
      </c>
      <c r="M112" s="208">
        <f t="shared" si="4"/>
        <v>13364.06151168842</v>
      </c>
      <c r="O112" s="171"/>
    </row>
    <row r="113" spans="1:15">
      <c r="A113" s="156">
        <v>40118</v>
      </c>
      <c r="C113" s="171">
        <f>'[5]Sithe Positions '!$I112</f>
        <v>-3303.6721160081538</v>
      </c>
      <c r="D113" s="171">
        <f>'[5]Sithe Positions '!$U112</f>
        <v>149.12418112444766</v>
      </c>
      <c r="E113" s="171">
        <f>'[5]Sithe Positions '!$V112</f>
        <v>57.469211831359615</v>
      </c>
      <c r="F113" s="191">
        <f t="shared" si="5"/>
        <v>206.59339295580727</v>
      </c>
      <c r="G113" s="208">
        <f>'[5]Sithe Positions '!$AC112</f>
        <v>2311.4484175749376</v>
      </c>
      <c r="H113" s="208">
        <f>'[5]Sithe Positions '!$AO112</f>
        <v>-104.3362780501224</v>
      </c>
      <c r="I113" s="208">
        <f>'[5]Sithe Positions '!$AP112</f>
        <v>-40.208929361725808</v>
      </c>
      <c r="J113" s="209">
        <f t="shared" si="6"/>
        <v>-144.5452074118482</v>
      </c>
      <c r="K113" s="208">
        <f>'[5]Sithe Positions '!$BB112</f>
        <v>5788.6973939379877</v>
      </c>
      <c r="L113" s="208">
        <f>'[5]Sithe Positions '!$BD112</f>
        <v>8303.7145963307521</v>
      </c>
      <c r="M113" s="208">
        <f t="shared" si="4"/>
        <v>14092.41199026874</v>
      </c>
      <c r="O113" s="171"/>
    </row>
    <row r="114" spans="1:15">
      <c r="A114" s="156">
        <v>40148</v>
      </c>
      <c r="C114" s="171">
        <f>'[5]Sithe Positions '!$I113</f>
        <v>-3395.8705777358277</v>
      </c>
      <c r="D114" s="171">
        <f>'[5]Sithe Positions '!$U113</f>
        <v>148.11109702839374</v>
      </c>
      <c r="E114" s="171">
        <f>'[5]Sithe Positions '!$V113</f>
        <v>59.073055294480135</v>
      </c>
      <c r="F114" s="191">
        <f t="shared" si="5"/>
        <v>207.18415232287387</v>
      </c>
      <c r="G114" s="208">
        <f>'[5]Sithe Positions '!$AC113</f>
        <v>2388.496698160769</v>
      </c>
      <c r="H114" s="208">
        <f>'[5]Sithe Positions '!$AO113</f>
        <v>-104.17442541321954</v>
      </c>
      <c r="I114" s="208">
        <f>'[5]Sithe Positions '!$AP113</f>
        <v>-41.54922700711667</v>
      </c>
      <c r="J114" s="209">
        <f t="shared" si="6"/>
        <v>-145.72365242033621</v>
      </c>
      <c r="K114" s="208">
        <f>'[5]Sithe Positions '!$BB113</f>
        <v>6413.9307397707526</v>
      </c>
      <c r="L114" s="208">
        <f>'[5]Sithe Positions '!$BD113</f>
        <v>8427.652550622417</v>
      </c>
      <c r="M114" s="208">
        <f t="shared" si="4"/>
        <v>14841.58329039317</v>
      </c>
      <c r="O114" s="171"/>
    </row>
    <row r="115" spans="1:15">
      <c r="A115" s="156">
        <v>40179</v>
      </c>
      <c r="C115" s="171">
        <f>'[5]Sithe Positions '!$I114</f>
        <v>-3377.951563993146</v>
      </c>
      <c r="D115" s="171">
        <f>'[5]Sithe Positions '!$U114</f>
        <v>133.49679109227614</v>
      </c>
      <c r="E115" s="171">
        <f>'[5]Sithe Positions '!$V114</f>
        <v>58.761344095418551</v>
      </c>
      <c r="F115" s="191">
        <f t="shared" si="5"/>
        <v>192.25813518769468</v>
      </c>
      <c r="G115" s="208">
        <f>'[5]Sithe Positions '!$AC114</f>
        <v>2388.496698160769</v>
      </c>
      <c r="H115" s="208">
        <f>'[5]Sithe Positions '!$AO114</f>
        <v>-94.393492238838533</v>
      </c>
      <c r="I115" s="208">
        <f>'[5]Sithe Positions '!$AP114</f>
        <v>-41.54922700711667</v>
      </c>
      <c r="J115" s="209">
        <f t="shared" si="6"/>
        <v>-135.9427192459552</v>
      </c>
      <c r="K115" s="208">
        <f>'[5]Sithe Positions '!$BB114</f>
        <v>5187.7276801362214</v>
      </c>
      <c r="L115" s="208">
        <f>'[5]Sithe Positions '!$BD114</f>
        <v>8542.9893254177186</v>
      </c>
      <c r="M115" s="208">
        <f t="shared" si="4"/>
        <v>13730.717005553939</v>
      </c>
      <c r="O115" s="171"/>
    </row>
    <row r="116" spans="1:15">
      <c r="A116" s="156">
        <v>40210</v>
      </c>
      <c r="C116" s="171">
        <f>'[5]Sithe Positions '!$I115</f>
        <v>-3036.3274686291743</v>
      </c>
      <c r="D116" s="171">
        <f>'[5]Sithe Positions '!$U115</f>
        <v>122.35419756599691</v>
      </c>
      <c r="E116" s="171">
        <f>'[5]Sithe Positions '!$V115</f>
        <v>52.81860316539818</v>
      </c>
      <c r="F116" s="191">
        <f t="shared" si="5"/>
        <v>175.17280073139509</v>
      </c>
      <c r="G116" s="208">
        <f>'[5]Sithe Positions '!$AC115</f>
        <v>2157.3518564032752</v>
      </c>
      <c r="H116" s="208">
        <f>'[5]Sithe Positions '!$AO115</f>
        <v>-86.934317192377264</v>
      </c>
      <c r="I116" s="208">
        <f>'[5]Sithe Positions '!$AP115</f>
        <v>-37.528334070944091</v>
      </c>
      <c r="J116" s="209">
        <f t="shared" si="6"/>
        <v>-124.46265126332136</v>
      </c>
      <c r="K116" s="208">
        <f>'[5]Sithe Positions '!$BB115</f>
        <v>4165.9524565301481</v>
      </c>
      <c r="L116" s="208">
        <f>'[5]Sithe Positions '!$BD115</f>
        <v>8651.1270446327853</v>
      </c>
      <c r="M116" s="208">
        <f t="shared" si="4"/>
        <v>12817.079501162934</v>
      </c>
      <c r="O116" s="171"/>
    </row>
    <row r="117" spans="1:15">
      <c r="A117" s="156">
        <v>40238</v>
      </c>
      <c r="C117" s="171">
        <f>'[5]Sithe Positions '!$I116</f>
        <v>-3344.0169619784888</v>
      </c>
      <c r="D117" s="171">
        <f>'[5]Sithe Positions '!$U116</f>
        <v>144.89379240649475</v>
      </c>
      <c r="E117" s="171">
        <f>'[5]Sithe Positions '!$V116</f>
        <v>58.171032840816906</v>
      </c>
      <c r="F117" s="191">
        <f t="shared" si="5"/>
        <v>203.06482524731166</v>
      </c>
      <c r="G117" s="208">
        <f>'[5]Sithe Positions '!$AC116</f>
        <v>2388.496698160769</v>
      </c>
      <c r="H117" s="208">
        <f>'[5]Sithe Positions '!$AO116</f>
        <v>-103.49180302666504</v>
      </c>
      <c r="I117" s="208">
        <f>'[5]Sithe Positions '!$AP116</f>
        <v>-41.54922700711667</v>
      </c>
      <c r="J117" s="209">
        <f t="shared" si="6"/>
        <v>-145.04103003378171</v>
      </c>
      <c r="K117" s="208">
        <f>'[5]Sithe Positions '!$BB116</f>
        <v>5785.4536891111284</v>
      </c>
      <c r="L117" s="208">
        <f>'[5]Sithe Positions '!$BD116</f>
        <v>8772.8566839558825</v>
      </c>
      <c r="M117" s="208">
        <f t="shared" si="4"/>
        <v>14558.310373067012</v>
      </c>
      <c r="O117" s="171"/>
    </row>
    <row r="118" spans="1:15">
      <c r="A118" s="156">
        <v>40269</v>
      </c>
      <c r="C118" s="171">
        <f>'[5]Sithe Positions '!$I117</f>
        <v>-3219.4740054822087</v>
      </c>
      <c r="D118" s="171">
        <f>'[5]Sithe Positions '!$U117</f>
        <v>145.24397546019523</v>
      </c>
      <c r="E118" s="171">
        <f>'[5]Sithe Positions '!$V117</f>
        <v>56.004538922032729</v>
      </c>
      <c r="F118" s="191">
        <f t="shared" si="5"/>
        <v>201.24851438222797</v>
      </c>
      <c r="G118" s="208">
        <f>'[5]Sithe Positions '!$AC117</f>
        <v>2311.4484175749376</v>
      </c>
      <c r="H118" s="208">
        <f>'[5]Sithe Positions '!$AO117</f>
        <v>-104.27913276146394</v>
      </c>
      <c r="I118" s="208">
        <f>'[5]Sithe Positions '!$AP117</f>
        <v>-40.208929361725801</v>
      </c>
      <c r="J118" s="209">
        <f t="shared" si="6"/>
        <v>-144.48806212318974</v>
      </c>
      <c r="K118" s="208">
        <f>'[5]Sithe Positions '!$BB117</f>
        <v>5164.0754764488993</v>
      </c>
      <c r="L118" s="208">
        <f>'[5]Sithe Positions '!$BD117</f>
        <v>8891.2007708605179</v>
      </c>
      <c r="M118" s="208">
        <f t="shared" si="4"/>
        <v>14055.276247309417</v>
      </c>
      <c r="O118" s="171"/>
    </row>
    <row r="119" spans="1:15">
      <c r="A119" s="156">
        <v>40299</v>
      </c>
      <c r="C119" s="171">
        <f>'[5]Sithe Positions '!$I118</f>
        <v>-3309.165635793167</v>
      </c>
      <c r="D119" s="171">
        <f>'[5]Sithe Positions '!$U118</f>
        <v>160.59066542045286</v>
      </c>
      <c r="E119" s="171">
        <f>'[5]Sithe Positions '!$V118</f>
        <v>57.564774659975356</v>
      </c>
      <c r="F119" s="191">
        <f t="shared" si="5"/>
        <v>218.15544008042821</v>
      </c>
      <c r="G119" s="208">
        <f>'[5]Sithe Positions '!$AC118</f>
        <v>2388.496698160769</v>
      </c>
      <c r="H119" s="208">
        <f>'[5]Sithe Positions '!$AO118</f>
        <v>-115.9114762837356</v>
      </c>
      <c r="I119" s="208">
        <f>'[5]Sithe Positions '!$AP118</f>
        <v>-41.549227007116663</v>
      </c>
      <c r="J119" s="209">
        <f t="shared" si="6"/>
        <v>-157.46070329085225</v>
      </c>
      <c r="K119" s="208">
        <f>'[5]Sithe Positions '!$BB118</f>
        <v>4886.0811528680779</v>
      </c>
      <c r="L119" s="208">
        <f>'[5]Sithe Positions '!$BD118</f>
        <v>9008.2106424722333</v>
      </c>
      <c r="M119" s="208">
        <f t="shared" si="4"/>
        <v>13894.291795340312</v>
      </c>
      <c r="O119" s="171"/>
    </row>
    <row r="120" spans="1:15">
      <c r="A120" s="156">
        <v>40330</v>
      </c>
      <c r="C120" s="171">
        <f>'[5]Sithe Positions '!$I119</f>
        <v>-3185.8595992261157</v>
      </c>
      <c r="D120" s="171">
        <f>'[5]Sithe Positions '!$U119</f>
        <v>126.94217701161473</v>
      </c>
      <c r="E120" s="171">
        <f>'[5]Sithe Positions '!$V119</f>
        <v>55.419797650537845</v>
      </c>
      <c r="F120" s="191">
        <f t="shared" si="5"/>
        <v>182.36197466215259</v>
      </c>
      <c r="G120" s="208">
        <f>'[5]Sithe Positions '!$AC119</f>
        <v>2311.4484175749376</v>
      </c>
      <c r="H120" s="208">
        <f>'[5]Sithe Positions '!$AO119</f>
        <v>-92.100823981160346</v>
      </c>
      <c r="I120" s="208">
        <f>'[5]Sithe Positions '!$AP119</f>
        <v>-40.208929361725801</v>
      </c>
      <c r="J120" s="209">
        <f t="shared" si="6"/>
        <v>-132.30975334288615</v>
      </c>
      <c r="K120" s="208">
        <f>'[5]Sithe Positions '!$BB119</f>
        <v>3919.7451991233524</v>
      </c>
      <c r="L120" s="208">
        <f>'[5]Sithe Positions '!$BD119</f>
        <v>9118.6460735406945</v>
      </c>
      <c r="M120" s="208">
        <f t="shared" si="4"/>
        <v>13038.391272664046</v>
      </c>
      <c r="O120" s="171"/>
    </row>
    <row r="121" spans="1:15">
      <c r="A121" s="156">
        <v>40360</v>
      </c>
      <c r="C121" s="171">
        <f>'[5]Sithe Positions '!$I120</f>
        <v>-3274.5519959296053</v>
      </c>
      <c r="D121" s="171">
        <f>'[5]Sithe Positions '!$U120</f>
        <v>119.1390803506673</v>
      </c>
      <c r="E121" s="171">
        <f>'[5]Sithe Positions '!$V120</f>
        <v>56.96265116474877</v>
      </c>
      <c r="F121" s="191">
        <f t="shared" si="5"/>
        <v>176.10173151541608</v>
      </c>
      <c r="G121" s="208">
        <f>'[5]Sithe Positions '!$AC120</f>
        <v>2388.496698160769</v>
      </c>
      <c r="H121" s="208">
        <f>'[5]Sithe Positions '!$AO120</f>
        <v>-86.901444958944808</v>
      </c>
      <c r="I121" s="208">
        <f>'[5]Sithe Positions '!$AP120</f>
        <v>-41.549227007116663</v>
      </c>
      <c r="J121" s="209">
        <f t="shared" si="6"/>
        <v>-128.45067196606146</v>
      </c>
      <c r="K121" s="208">
        <f>'[5]Sithe Positions '!$BB120</f>
        <v>2329.4040467332907</v>
      </c>
      <c r="L121" s="208">
        <f>'[5]Sithe Positions '!$BD120</f>
        <v>9217.0152057146806</v>
      </c>
      <c r="M121" s="208">
        <f t="shared" si="4"/>
        <v>11546.419252447971</v>
      </c>
      <c r="O121" s="171"/>
    </row>
    <row r="122" spans="1:15">
      <c r="A122" s="156">
        <v>40391</v>
      </c>
      <c r="C122" s="171">
        <f>'[5]Sithe Positions '!$I121</f>
        <v>-3257.0526000879399</v>
      </c>
      <c r="D122" s="171">
        <f>'[5]Sithe Positions '!$U121</f>
        <v>118.75126563083876</v>
      </c>
      <c r="E122" s="171">
        <f>'[5]Sithe Positions '!$V121</f>
        <v>56.658239452196419</v>
      </c>
      <c r="F122" s="191">
        <f t="shared" si="5"/>
        <v>175.40950508303519</v>
      </c>
      <c r="G122" s="208">
        <f>'[5]Sithe Positions '!$AC121</f>
        <v>2388.496698160769</v>
      </c>
      <c r="H122" s="208">
        <f>'[5]Sithe Positions '!$AO121</f>
        <v>-87.083950027092797</v>
      </c>
      <c r="I122" s="208">
        <f>'[5]Sithe Positions '!$AP121</f>
        <v>-41.549227007116663</v>
      </c>
      <c r="J122" s="209">
        <f t="shared" si="6"/>
        <v>-128.63317703420947</v>
      </c>
      <c r="K122" s="208">
        <f>'[5]Sithe Positions '!$BB121</f>
        <v>2429.8073676760546</v>
      </c>
      <c r="L122" s="208">
        <f>'[5]Sithe Positions '!$BD121</f>
        <v>9317.2949723073962</v>
      </c>
      <c r="M122" s="208">
        <f t="shared" si="4"/>
        <v>11747.10233998345</v>
      </c>
      <c r="O122" s="171"/>
    </row>
    <row r="123" spans="1:15">
      <c r="A123" s="156">
        <v>40422</v>
      </c>
      <c r="C123" s="171">
        <f>'[5]Sithe Positions '!$I122</f>
        <v>-3135.597760753305</v>
      </c>
      <c r="D123" s="171">
        <f>'[5]Sithe Positions '!$U122</f>
        <v>139.53184042563959</v>
      </c>
      <c r="E123" s="171">
        <f>'[5]Sithe Positions '!$V122</f>
        <v>54.545465047059714</v>
      </c>
      <c r="F123" s="191">
        <f t="shared" si="5"/>
        <v>194.07730547269929</v>
      </c>
      <c r="G123" s="208">
        <f>'[5]Sithe Positions '!$AC122</f>
        <v>2311.4484175749376</v>
      </c>
      <c r="H123" s="208">
        <f>'[5]Sithe Positions '!$AO122</f>
        <v>-102.85778864559468</v>
      </c>
      <c r="I123" s="208">
        <f>'[5]Sithe Positions '!$AP122</f>
        <v>-40.208929361725801</v>
      </c>
      <c r="J123" s="209">
        <f t="shared" si="6"/>
        <v>-143.06671800732047</v>
      </c>
      <c r="K123" s="208">
        <f>'[5]Sithe Positions '!$BB122</f>
        <v>5509.1926757412712</v>
      </c>
      <c r="L123" s="208">
        <f>'[5]Sithe Positions '!$BD122</f>
        <v>9443.5319483312196</v>
      </c>
      <c r="M123" s="208">
        <f t="shared" si="4"/>
        <v>14952.724624072491</v>
      </c>
      <c r="O123" s="171"/>
    </row>
    <row r="124" spans="1:15">
      <c r="A124" s="156">
        <v>40452</v>
      </c>
      <c r="C124" s="171">
        <f>'[5]Sithe Positions '!$I123</f>
        <v>-3222.7977396016722</v>
      </c>
      <c r="D124" s="171">
        <f>'[5]Sithe Positions '!$U123</f>
        <v>164.70549022835991</v>
      </c>
      <c r="E124" s="171">
        <f>'[5]Sithe Positions '!$V123</f>
        <v>56.06235712355975</v>
      </c>
      <c r="F124" s="191">
        <f t="shared" si="5"/>
        <v>220.76784735191967</v>
      </c>
      <c r="G124" s="208">
        <f>'[5]Sithe Positions '!$AC123</f>
        <v>2388.496698160769</v>
      </c>
      <c r="H124" s="208">
        <f>'[5]Sithe Positions '!$AO123</f>
        <v>-122.06739341576281</v>
      </c>
      <c r="I124" s="208">
        <f>'[5]Sithe Positions '!$AP123</f>
        <v>-41.54922700711667</v>
      </c>
      <c r="J124" s="209">
        <f t="shared" si="6"/>
        <v>-163.61662042287946</v>
      </c>
      <c r="K124" s="208">
        <f>'[5]Sithe Positions '!$BB123</f>
        <v>5377.3494271734135</v>
      </c>
      <c r="L124" s="208">
        <f>'[5]Sithe Positions '!$BD123</f>
        <v>9569.6817230105244</v>
      </c>
      <c r="M124" s="208">
        <f t="shared" si="4"/>
        <v>14947.031150183939</v>
      </c>
      <c r="O124" s="171"/>
    </row>
    <row r="125" spans="1:15">
      <c r="A125" s="156">
        <v>40483</v>
      </c>
      <c r="C125" s="171">
        <f>'[5]Sithe Positions '!$I124</f>
        <v>-3102.5608006562575</v>
      </c>
      <c r="D125" s="171">
        <f>'[5]Sithe Positions '!$U124</f>
        <v>140.48193604486289</v>
      </c>
      <c r="E125" s="171">
        <f>'[5]Sithe Positions '!$V124</f>
        <v>53.970768772304858</v>
      </c>
      <c r="F125" s="191">
        <f t="shared" si="5"/>
        <v>194.45270481716776</v>
      </c>
      <c r="G125" s="208">
        <f>'[5]Sithe Positions '!$AC124</f>
        <v>2311.4484175749376</v>
      </c>
      <c r="H125" s="208">
        <f>'[5]Sithe Positions '!$AO124</f>
        <v>-104.66088164978991</v>
      </c>
      <c r="I125" s="208">
        <f>'[5]Sithe Positions '!$AP124</f>
        <v>-40.208929361725808</v>
      </c>
      <c r="J125" s="209">
        <f t="shared" si="6"/>
        <v>-144.86981101151571</v>
      </c>
      <c r="K125" s="208">
        <f>'[5]Sithe Positions '!$BB124</f>
        <v>5984.9867317997241</v>
      </c>
      <c r="L125" s="208">
        <f>'[5]Sithe Positions '!$BD124</f>
        <v>9702.1382310401295</v>
      </c>
      <c r="M125" s="208">
        <f t="shared" si="4"/>
        <v>15687.124962839855</v>
      </c>
      <c r="O125" s="171"/>
    </row>
    <row r="126" spans="1:15">
      <c r="A126" s="156">
        <v>40513</v>
      </c>
      <c r="C126" s="171">
        <f>'[5]Sithe Positions '!$I125</f>
        <v>-3188.7809226253971</v>
      </c>
      <c r="D126" s="171">
        <f>'[5]Sithe Positions '!$U125</f>
        <v>139.48517352869757</v>
      </c>
      <c r="E126" s="171">
        <f>'[5]Sithe Positions '!$V125</f>
        <v>55.470615694025803</v>
      </c>
      <c r="F126" s="191">
        <f t="shared" si="5"/>
        <v>194.95578922272338</v>
      </c>
      <c r="G126" s="208">
        <f>'[5]Sithe Positions '!$AC125</f>
        <v>2388.496698160769</v>
      </c>
      <c r="H126" s="208">
        <f>'[5]Sithe Positions '!$AO125</f>
        <v>-104.47875990846613</v>
      </c>
      <c r="I126" s="208">
        <f>'[5]Sithe Positions '!$AP125</f>
        <v>-41.54922700711667</v>
      </c>
      <c r="J126" s="209">
        <f t="shared" si="6"/>
        <v>-146.0279869155828</v>
      </c>
      <c r="K126" s="208">
        <f>'[5]Sithe Positions '!$BB125</f>
        <v>6617.7624596601909</v>
      </c>
      <c r="L126" s="208">
        <f>'[5]Sithe Positions '!$BD125</f>
        <v>9840.7855472501724</v>
      </c>
      <c r="M126" s="208">
        <f t="shared" si="4"/>
        <v>16458.548006910365</v>
      </c>
      <c r="O126" s="171"/>
    </row>
    <row r="127" spans="1:15">
      <c r="A127" s="156">
        <v>40544</v>
      </c>
      <c r="C127" s="171">
        <f>'[5]Sithe Positions '!$I126</f>
        <v>-3171.5849437270726</v>
      </c>
      <c r="D127" s="171">
        <f>'[5]Sithe Positions '!$U126</f>
        <v>132.23152428435185</v>
      </c>
      <c r="E127" s="171">
        <f>'[5]Sithe Positions '!$V126</f>
        <v>58.075244302913511</v>
      </c>
      <c r="F127" s="191">
        <f t="shared" si="5"/>
        <v>190.30676858726537</v>
      </c>
      <c r="G127" s="208">
        <f>'[5]Sithe Positions '!$AC126</f>
        <v>2388.496698160769</v>
      </c>
      <c r="H127" s="208">
        <f>'[5]Sithe Positions '!$AO126</f>
        <v>-99.582563528879831</v>
      </c>
      <c r="I127" s="208">
        <f>'[5]Sithe Positions '!$AP126</f>
        <v>-43.736028428543861</v>
      </c>
      <c r="J127" s="209">
        <f t="shared" si="6"/>
        <v>-143.31859195742368</v>
      </c>
      <c r="K127" s="208">
        <f>'[5]Sithe Positions '!$BB126</f>
        <v>5051.208159044927</v>
      </c>
      <c r="L127" s="208">
        <f>'[5]Sithe Positions '!$BD126</f>
        <v>9968.1564495856892</v>
      </c>
      <c r="M127" s="208">
        <f t="shared" si="4"/>
        <v>15019.364608630616</v>
      </c>
      <c r="O127" s="171"/>
    </row>
    <row r="128" spans="1:15">
      <c r="A128" s="156">
        <v>40575</v>
      </c>
      <c r="C128" s="171">
        <f>'[5]Sithe Positions '!$I127</f>
        <v>-2850.5152590625967</v>
      </c>
      <c r="D128" s="171">
        <f>'[5]Sithe Positions '!$U127</f>
        <v>121.19484363720838</v>
      </c>
      <c r="E128" s="171">
        <f>'[5]Sithe Positions '!$V127</f>
        <v>52.196101632612894</v>
      </c>
      <c r="F128" s="191">
        <f t="shared" si="5"/>
        <v>173.39094526982126</v>
      </c>
      <c r="G128" s="208">
        <f>'[5]Sithe Positions '!$AC127</f>
        <v>2157.3518564032752</v>
      </c>
      <c r="H128" s="208">
        <f>'[5]Sithe Positions '!$AO127</f>
        <v>-91.723740146972006</v>
      </c>
      <c r="I128" s="208">
        <f>'[5]Sithe Positions '!$AP127</f>
        <v>-39.503509548362203</v>
      </c>
      <c r="J128" s="209">
        <f t="shared" si="6"/>
        <v>-131.22724969533419</v>
      </c>
      <c r="K128" s="208">
        <f>'[5]Sithe Positions '!$BB127</f>
        <v>4028.2499344362263</v>
      </c>
      <c r="L128" s="208">
        <f>'[5]Sithe Positions '!$BD127</f>
        <v>10088.37609047697</v>
      </c>
      <c r="M128" s="208">
        <f t="shared" si="4"/>
        <v>14116.626024913196</v>
      </c>
      <c r="O128" s="171"/>
    </row>
    <row r="129" spans="1:15">
      <c r="A129" s="156">
        <v>40603</v>
      </c>
      <c r="C129" s="171">
        <f>'[5]Sithe Positions '!$I128</f>
        <v>-3139.027059307642</v>
      </c>
      <c r="D129" s="171">
        <f>'[5]Sithe Positions '!$U128</f>
        <v>143.51662116139056</v>
      </c>
      <c r="E129" s="171">
        <f>'[5]Sithe Positions '!$V128</f>
        <v>57.479073263766601</v>
      </c>
      <c r="F129" s="191">
        <f t="shared" si="5"/>
        <v>200.99569442515715</v>
      </c>
      <c r="G129" s="208">
        <f>'[5]Sithe Positions '!$AC128</f>
        <v>2388.496698160769</v>
      </c>
      <c r="H129" s="208">
        <f>'[5]Sithe Positions '!$AO128</f>
        <v>-109.20230036206772</v>
      </c>
      <c r="I129" s="208">
        <f>'[5]Sithe Positions '!$AP128</f>
        <v>-43.736028428543854</v>
      </c>
      <c r="J129" s="209">
        <f t="shared" si="6"/>
        <v>-152.93832879061156</v>
      </c>
      <c r="K129" s="208">
        <f>'[5]Sithe Positions '!$BB128</f>
        <v>5707.6507715179068</v>
      </c>
      <c r="L129" s="208">
        <f>'[5]Sithe Positions '!$BD128</f>
        <v>10222.807173248175</v>
      </c>
      <c r="M129" s="208">
        <f t="shared" si="4"/>
        <v>15930.457944766082</v>
      </c>
      <c r="O129" s="171"/>
    </row>
    <row r="130" spans="1:15">
      <c r="A130" s="156">
        <v>40634</v>
      </c>
      <c r="C130" s="171">
        <f>'[5]Sithe Positions '!$I129</f>
        <v>-3022.0039864619412</v>
      </c>
      <c r="D130" s="171">
        <f>'[5]Sithe Positions '!$U129</f>
        <v>143.88496119670188</v>
      </c>
      <c r="E130" s="171">
        <f>'[5]Sithe Positions '!$V129</f>
        <v>55.336250774325329</v>
      </c>
      <c r="F130" s="191">
        <f t="shared" si="5"/>
        <v>199.2212119710272</v>
      </c>
      <c r="G130" s="208">
        <f>'[5]Sithe Positions '!$AC129</f>
        <v>2311.4484175749376</v>
      </c>
      <c r="H130" s="208">
        <f>'[5]Sithe Positions '!$AO129</f>
        <v>-110.05368204703275</v>
      </c>
      <c r="I130" s="208">
        <f>'[5]Sithe Positions '!$AP129</f>
        <v>-42.325188801816644</v>
      </c>
      <c r="J130" s="209">
        <f t="shared" si="6"/>
        <v>-152.3788708488494</v>
      </c>
      <c r="K130" s="208">
        <f>'[5]Sithe Positions '!$BB129</f>
        <v>5080.0072400326017</v>
      </c>
      <c r="L130" s="208">
        <f>'[5]Sithe Positions '!$BD129</f>
        <v>10353.150005162919</v>
      </c>
      <c r="M130" s="208">
        <f t="shared" si="4"/>
        <v>15433.157245195522</v>
      </c>
      <c r="O130" s="171"/>
    </row>
    <row r="131" spans="1:15">
      <c r="A131" s="156">
        <v>40664</v>
      </c>
      <c r="C131" s="171">
        <f>'[5]Sithe Positions '!$I130</f>
        <v>-3106.5610309807957</v>
      </c>
      <c r="D131" s="171">
        <f>'[5]Sithe Positions '!$U130</f>
        <v>158.75376368037226</v>
      </c>
      <c r="E131" s="171">
        <f>'[5]Sithe Positions '!$V130</f>
        <v>56.884584211737241</v>
      </c>
      <c r="F131" s="191">
        <f t="shared" si="5"/>
        <v>215.63834789210949</v>
      </c>
      <c r="G131" s="208">
        <f>'[5]Sithe Positions '!$AC130</f>
        <v>2388.496698160769</v>
      </c>
      <c r="H131" s="208">
        <f>'[5]Sithe Positions '!$AO130</f>
        <v>-122.05871270182304</v>
      </c>
      <c r="I131" s="208">
        <f>'[5]Sithe Positions '!$AP130</f>
        <v>-43.736028428543861</v>
      </c>
      <c r="J131" s="209">
        <f t="shared" si="6"/>
        <v>-165.7947411303669</v>
      </c>
      <c r="K131" s="208">
        <f>'[5]Sithe Positions '!$BB130</f>
        <v>4746.6359300246986</v>
      </c>
      <c r="L131" s="208">
        <f>'[5]Sithe Positions '!$BD130</f>
        <v>10480.099526789125</v>
      </c>
      <c r="M131" s="208">
        <f t="shared" si="4"/>
        <v>15226.735456813823</v>
      </c>
      <c r="O131" s="171"/>
    </row>
    <row r="132" spans="1:15">
      <c r="A132" s="156">
        <v>40695</v>
      </c>
      <c r="C132" s="171">
        <f>'[5]Sithe Positions '!$I131</f>
        <v>-2991.1919577842523</v>
      </c>
      <c r="D132" s="171">
        <f>'[5]Sithe Positions '!$U131</f>
        <v>125.24225772323175</v>
      </c>
      <c r="E132" s="171">
        <f>'[5]Sithe Positions '!$V131</f>
        <v>54.772048293649419</v>
      </c>
      <c r="F132" s="191">
        <f t="shared" si="5"/>
        <v>180.01430601688116</v>
      </c>
      <c r="G132" s="208">
        <f>'[5]Sithe Positions '!$AC131</f>
        <v>2311.4484175749376</v>
      </c>
      <c r="H132" s="208">
        <f>'[5]Sithe Positions '!$AO131</f>
        <v>-96.781156981419244</v>
      </c>
      <c r="I132" s="208">
        <f>'[5]Sithe Positions '!$AP131</f>
        <v>-42.32518880181663</v>
      </c>
      <c r="J132" s="209">
        <f t="shared" si="6"/>
        <v>-139.10634578323587</v>
      </c>
      <c r="K132" s="208">
        <f>'[5]Sithe Positions '!$BB131</f>
        <v>3688.9063092608935</v>
      </c>
      <c r="L132" s="208">
        <f>'[5]Sithe Positions '!$BD131</f>
        <v>10599.661475658597</v>
      </c>
      <c r="M132" s="208">
        <f t="shared" si="4"/>
        <v>14288.567784919491</v>
      </c>
      <c r="O132" s="171"/>
    </row>
    <row r="133" spans="1:15">
      <c r="A133" s="156">
        <v>40725</v>
      </c>
      <c r="C133" s="171">
        <f>'[5]Sithe Positions '!$I132</f>
        <v>-3074.8515346651902</v>
      </c>
      <c r="D133" s="171">
        <f>'[5]Sithe Positions '!$U132</f>
        <v>117.39018748233335</v>
      </c>
      <c r="E133" s="171">
        <f>'[5]Sithe Positions '!$V132</f>
        <v>56.303948101424815</v>
      </c>
      <c r="F133" s="191">
        <f t="shared" si="5"/>
        <v>173.69413558375817</v>
      </c>
      <c r="G133" s="208">
        <f>'[5]Sithe Positions '!$AC132</f>
        <v>2388.496698160769</v>
      </c>
      <c r="H133" s="208">
        <f>'[5]Sithe Positions '!$AO132</f>
        <v>-91.186866109474494</v>
      </c>
      <c r="I133" s="208">
        <f>'[5]Sithe Positions '!$AP132</f>
        <v>-43.736028428543854</v>
      </c>
      <c r="J133" s="209">
        <f t="shared" si="6"/>
        <v>-134.92289453801834</v>
      </c>
      <c r="K133" s="208">
        <f>'[5]Sithe Positions '!$BB132</f>
        <v>1901.6705018951325</v>
      </c>
      <c r="L133" s="208">
        <f>'[5]Sithe Positions '!$BD132</f>
        <v>10705.557828307094</v>
      </c>
      <c r="M133" s="208">
        <f t="shared" si="4"/>
        <v>12607.228330202226</v>
      </c>
      <c r="O133" s="171"/>
    </row>
    <row r="134" spans="1:15">
      <c r="A134" s="156">
        <v>40756</v>
      </c>
      <c r="C134" s="171">
        <f>'[5]Sithe Positions '!$I133</f>
        <v>-3058.834181044529</v>
      </c>
      <c r="D134" s="171">
        <f>'[5]Sithe Positions '!$U133</f>
        <v>117.02104036407427</v>
      </c>
      <c r="E134" s="171">
        <f>'[5]Sithe Positions '!$V133</f>
        <v>56.010652559570929</v>
      </c>
      <c r="F134" s="191">
        <f t="shared" si="5"/>
        <v>173.03169292364521</v>
      </c>
      <c r="G134" s="208">
        <f>'[5]Sithe Positions '!$AC133</f>
        <v>2388.496698160769</v>
      </c>
      <c r="H134" s="208">
        <f>'[5]Sithe Positions '!$AO133</f>
        <v>-91.376109975822388</v>
      </c>
      <c r="I134" s="208">
        <f>'[5]Sithe Positions '!$AP133</f>
        <v>-43.736028428543854</v>
      </c>
      <c r="J134" s="209">
        <f t="shared" si="6"/>
        <v>-135.11213840436625</v>
      </c>
      <c r="K134" s="208">
        <f>'[5]Sithe Positions '!$BB133</f>
        <v>2001.2166828722879</v>
      </c>
      <c r="L134" s="208">
        <f>'[5]Sithe Positions '!$BD133</f>
        <v>10813.333819146303</v>
      </c>
      <c r="M134" s="208">
        <f t="shared" si="4"/>
        <v>12814.55050201859</v>
      </c>
      <c r="O134" s="171"/>
    </row>
    <row r="135" spans="1:15">
      <c r="A135" s="156">
        <v>40787</v>
      </c>
      <c r="C135" s="171">
        <f>'[5]Sithe Positions '!$I134</f>
        <v>-2945.1865124522906</v>
      </c>
      <c r="D135" s="171">
        <f>'[5]Sithe Positions '!$U134</f>
        <v>138.3698536387283</v>
      </c>
      <c r="E135" s="171">
        <f>'[5]Sithe Positions '!$V134</f>
        <v>53.929637472459731</v>
      </c>
      <c r="F135" s="191">
        <f t="shared" si="5"/>
        <v>192.29949111118805</v>
      </c>
      <c r="G135" s="208">
        <f>'[5]Sithe Positions '!$AC134</f>
        <v>2311.4484175749376</v>
      </c>
      <c r="H135" s="208">
        <f>'[5]Sithe Positions '!$AO134</f>
        <v>-108.5957639290579</v>
      </c>
      <c r="I135" s="208">
        <f>'[5]Sithe Positions '!$AP134</f>
        <v>-42.325188801816637</v>
      </c>
      <c r="J135" s="209">
        <f t="shared" si="6"/>
        <v>-150.92095273087455</v>
      </c>
      <c r="K135" s="208">
        <f>'[5]Sithe Positions '!$BB134</f>
        <v>5426.7070705638025</v>
      </c>
      <c r="L135" s="208">
        <f>'[5]Sithe Positions '!$BD134</f>
        <v>10950.071357311697</v>
      </c>
      <c r="M135" s="208">
        <f t="shared" si="4"/>
        <v>16376.778427875499</v>
      </c>
      <c r="O135" s="171"/>
    </row>
    <row r="136" spans="1:15">
      <c r="A136" s="156">
        <v>40817</v>
      </c>
      <c r="C136" s="171">
        <f>'[5]Sithe Positions '!$I135</f>
        <v>-3027.5069140118312</v>
      </c>
      <c r="D136" s="171">
        <f>'[5]Sithe Positions '!$U135</f>
        <v>163.47470605261699</v>
      </c>
      <c r="E136" s="171">
        <f>'[5]Sithe Positions '!$V135</f>
        <v>55.437015492127756</v>
      </c>
      <c r="F136" s="191">
        <f t="shared" si="5"/>
        <v>218.91172154474475</v>
      </c>
      <c r="G136" s="208">
        <f>'[5]Sithe Positions '!$AC135</f>
        <v>2388.496698160769</v>
      </c>
      <c r="H136" s="208">
        <f>'[5]Sithe Positions '!$AO135</f>
        <v>-128.97040592454681</v>
      </c>
      <c r="I136" s="208">
        <f>'[5]Sithe Positions '!$AP135</f>
        <v>-43.736028428543861</v>
      </c>
      <c r="J136" s="209">
        <f t="shared" si="6"/>
        <v>-172.70643435309069</v>
      </c>
      <c r="K136" s="208">
        <f>'[5]Sithe Positions '!$BB135</f>
        <v>5267.2942954569917</v>
      </c>
      <c r="L136" s="208">
        <f>'[5]Sithe Positions '!$BD135</f>
        <v>11086.589685449277</v>
      </c>
      <c r="M136" s="208">
        <f t="shared" si="4"/>
        <v>16353.883980906268</v>
      </c>
      <c r="O136" s="171"/>
    </row>
    <row r="137" spans="1:15">
      <c r="A137" s="156">
        <v>40848</v>
      </c>
      <c r="C137" s="171">
        <f>'[5]Sithe Positions '!$I136</f>
        <v>-2914.989684620286</v>
      </c>
      <c r="D137" s="171">
        <f>'[5]Sithe Positions '!$U136</f>
        <v>139.36766025068897</v>
      </c>
      <c r="E137" s="171">
        <f>'[5]Sithe Positions '!$V136</f>
        <v>53.376700002824791</v>
      </c>
      <c r="F137" s="191">
        <f t="shared" si="5"/>
        <v>192.74436025351378</v>
      </c>
      <c r="G137" s="208">
        <f>'[5]Sithe Positions '!$AC136</f>
        <v>2311.4484175749376</v>
      </c>
      <c r="H137" s="208">
        <f>'[5]Sithe Positions '!$AO136</f>
        <v>-110.51193746832746</v>
      </c>
      <c r="I137" s="208">
        <f>'[5]Sithe Positions '!$AP136</f>
        <v>-42.325188801816637</v>
      </c>
      <c r="J137" s="209">
        <f t="shared" si="6"/>
        <v>-152.8371262701441</v>
      </c>
      <c r="K137" s="208">
        <f>'[5]Sithe Positions '!$BB136</f>
        <v>5909.2794559440117</v>
      </c>
      <c r="L137" s="208">
        <f>'[5]Sithe Positions '!$BD136</f>
        <v>11229.704092121598</v>
      </c>
      <c r="M137" s="208">
        <f t="shared" si="4"/>
        <v>17138.983548065611</v>
      </c>
      <c r="O137" s="171"/>
    </row>
    <row r="138" spans="1:15">
      <c r="A138" s="156">
        <v>40878</v>
      </c>
      <c r="C138" s="171">
        <f>'[5]Sithe Positions '!$I137</f>
        <v>-2996.4316323167345</v>
      </c>
      <c r="D138" s="171">
        <f>'[5]Sithe Positions '!$U137</f>
        <v>138.37277991623955</v>
      </c>
      <c r="E138" s="171">
        <f>'[5]Sithe Positions '!$V137</f>
        <v>54.867992556199773</v>
      </c>
      <c r="F138" s="191">
        <f t="shared" si="5"/>
        <v>193.24077247243932</v>
      </c>
      <c r="G138" s="208">
        <f>'[5]Sithe Positions '!$AC137</f>
        <v>2388.496698160769</v>
      </c>
      <c r="H138" s="208">
        <f>'[5]Sithe Positions '!$AO137</f>
        <v>-110.29883825172803</v>
      </c>
      <c r="I138" s="208">
        <f>'[5]Sithe Positions '!$AP137</f>
        <v>-43.736028428543861</v>
      </c>
      <c r="J138" s="209">
        <f t="shared" si="6"/>
        <v>-154.03486668027188</v>
      </c>
      <c r="K138" s="208">
        <f>'[5]Sithe Positions '!$BB137</f>
        <v>6547.9252478499675</v>
      </c>
      <c r="L138" s="208">
        <f>'[5]Sithe Positions '!$BD137</f>
        <v>11379.183936490714</v>
      </c>
      <c r="M138" s="208">
        <f t="shared" ref="M138:M181" si="7">SUM(K138:L138)</f>
        <v>17927.109184340683</v>
      </c>
      <c r="O138" s="171"/>
    </row>
    <row r="139" spans="1:15">
      <c r="A139" s="156">
        <v>40909</v>
      </c>
      <c r="C139" s="171">
        <f>'[5]Sithe Positions '!$I138</f>
        <v>-2980.7354723217736</v>
      </c>
      <c r="D139" s="171">
        <f>'[5]Sithe Positions '!$U138</f>
        <v>124.58369780884161</v>
      </c>
      <c r="E139" s="171">
        <f>'[5]Sithe Positions '!$V138</f>
        <v>54.580578426514258</v>
      </c>
      <c r="F139" s="191">
        <f t="shared" ref="F139:F181" si="8">SUM(D139:E139)</f>
        <v>179.16427623535586</v>
      </c>
      <c r="G139" s="208">
        <f>'[5]Sithe Positions '!$AC138</f>
        <v>2388.496698160769</v>
      </c>
      <c r="H139" s="208">
        <f>'[5]Sithe Positions '!$AO138</f>
        <v>-99.83031155370989</v>
      </c>
      <c r="I139" s="208">
        <f>'[5]Sithe Positions '!$AP138</f>
        <v>-43.736028428543861</v>
      </c>
      <c r="J139" s="209">
        <f t="shared" ref="J139:J181" si="9">SUM(H139:I139)</f>
        <v>-143.56633998225374</v>
      </c>
      <c r="K139" s="208">
        <f>'[5]Sithe Positions '!$BB138</f>
        <v>5282.2323205139928</v>
      </c>
      <c r="L139" s="208">
        <f>'[5]Sithe Positions '!$BD138</f>
        <v>11519.76491217991</v>
      </c>
      <c r="M139" s="208">
        <f t="shared" si="7"/>
        <v>16801.997232693902</v>
      </c>
      <c r="O139" s="171"/>
    </row>
    <row r="140" spans="1:15">
      <c r="A140" s="156">
        <v>40940</v>
      </c>
      <c r="C140" s="171">
        <f>'[5]Sithe Positions '!$I139</f>
        <v>-2774.6795909279404</v>
      </c>
      <c r="D140" s="171">
        <f>'[5]Sithe Positions '!$U139</f>
        <v>118.2790136883857</v>
      </c>
      <c r="E140" s="171">
        <f>'[5]Sithe Positions '!$V139</f>
        <v>50.807466287213842</v>
      </c>
      <c r="F140" s="191">
        <f t="shared" si="8"/>
        <v>169.08647997559956</v>
      </c>
      <c r="G140" s="208">
        <f>'[5]Sithe Positions '!$AC139</f>
        <v>2234.4001369891066</v>
      </c>
      <c r="H140" s="208">
        <f>'[5]Sithe Positions '!$AO139</f>
        <v>-95.247986561172993</v>
      </c>
      <c r="I140" s="208">
        <f>'[5]Sithe Positions '!$AP139</f>
        <v>-40.91434917508942</v>
      </c>
      <c r="J140" s="209">
        <f t="shared" si="9"/>
        <v>-136.16233573626241</v>
      </c>
      <c r="K140" s="208">
        <f>'[5]Sithe Positions '!$BB139</f>
        <v>4387.5462517791229</v>
      </c>
      <c r="L140" s="208">
        <f>'[5]Sithe Positions '!$BD139</f>
        <v>11654.26974985085</v>
      </c>
      <c r="M140" s="208">
        <f t="shared" si="7"/>
        <v>16041.816001629973</v>
      </c>
      <c r="O140" s="171"/>
    </row>
    <row r="141" spans="1:15">
      <c r="A141" s="156">
        <v>40969</v>
      </c>
      <c r="C141" s="171">
        <f>'[5]Sithe Positions '!$I140</f>
        <v>-2950.5392597258638</v>
      </c>
      <c r="D141" s="171">
        <f>'[5]Sithe Positions '!$U140</f>
        <v>135.28597821761377</v>
      </c>
      <c r="E141" s="171">
        <f>'[5]Sithe Positions '!$V140</f>
        <v>54.027652222535814</v>
      </c>
      <c r="F141" s="191">
        <f t="shared" si="8"/>
        <v>189.31363044014958</v>
      </c>
      <c r="G141" s="208">
        <f>'[5]Sithe Positions '!$AC140</f>
        <v>2388.496698160769</v>
      </c>
      <c r="H141" s="208">
        <f>'[5]Sithe Positions '!$AO140</f>
        <v>-109.51561183776364</v>
      </c>
      <c r="I141" s="208">
        <f>'[5]Sithe Positions '!$AP140</f>
        <v>-43.736028428543861</v>
      </c>
      <c r="J141" s="209">
        <f t="shared" si="9"/>
        <v>-153.2516402663075</v>
      </c>
      <c r="K141" s="208">
        <f>'[5]Sithe Positions '!$BB140</f>
        <v>5933.2475811957393</v>
      </c>
      <c r="L141" s="208">
        <f>'[5]Sithe Positions '!$BD140</f>
        <v>11802.357130854709</v>
      </c>
      <c r="M141" s="208">
        <f t="shared" si="7"/>
        <v>17735.604712050448</v>
      </c>
      <c r="O141" s="171"/>
    </row>
    <row r="142" spans="1:15">
      <c r="A142" s="156">
        <v>41000</v>
      </c>
      <c r="C142" s="171">
        <f>'[5]Sithe Positions '!$I141</f>
        <v>-2840.8012080777098</v>
      </c>
      <c r="D142" s="171">
        <f>'[5]Sithe Positions '!$U141</f>
        <v>135.67485803171158</v>
      </c>
      <c r="E142" s="171">
        <f>'[5]Sithe Positions '!$V141</f>
        <v>52.018226565689631</v>
      </c>
      <c r="F142" s="191">
        <f t="shared" si="8"/>
        <v>187.6930845974012</v>
      </c>
      <c r="G142" s="208">
        <f>'[5]Sithe Positions '!$AC141</f>
        <v>2311.4484175749376</v>
      </c>
      <c r="H142" s="208">
        <f>'[5]Sithe Positions '!$AO141</f>
        <v>-110.39330559645603</v>
      </c>
      <c r="I142" s="208">
        <f>'[5]Sithe Positions '!$AP141</f>
        <v>-42.325188801816644</v>
      </c>
      <c r="J142" s="209">
        <f t="shared" si="9"/>
        <v>-152.71849439827267</v>
      </c>
      <c r="K142" s="208">
        <f>'[5]Sithe Positions '!$BB141</f>
        <v>5297.0438770940627</v>
      </c>
      <c r="L142" s="208">
        <f>'[5]Sithe Positions '!$BD141</f>
        <v>11946.825105236312</v>
      </c>
      <c r="M142" s="208">
        <f t="shared" si="7"/>
        <v>17243.868982330376</v>
      </c>
      <c r="O142" s="171"/>
    </row>
    <row r="143" spans="1:15">
      <c r="A143" s="156">
        <v>41030</v>
      </c>
      <c r="C143" s="171">
        <f>'[5]Sithe Positions '!$I142</f>
        <v>-2920.0868085121524</v>
      </c>
      <c r="D143" s="171">
        <f>'[5]Sithe Positions '!$U142</f>
        <v>149.35590318022867</v>
      </c>
      <c r="E143" s="171">
        <f>'[5]Sithe Positions '!$V142</f>
        <v>53.47003400475586</v>
      </c>
      <c r="F143" s="191">
        <f t="shared" si="8"/>
        <v>202.82593718498453</v>
      </c>
      <c r="G143" s="208">
        <f>'[5]Sithe Positions '!$AC142</f>
        <v>2388.496698160769</v>
      </c>
      <c r="H143" s="208">
        <f>'[5]Sithe Positions '!$AO142</f>
        <v>-122.16625908411278</v>
      </c>
      <c r="I143" s="208">
        <f>'[5]Sithe Positions '!$AP142</f>
        <v>-43.736028428543861</v>
      </c>
      <c r="J143" s="209">
        <f t="shared" si="9"/>
        <v>-165.90228751265664</v>
      </c>
      <c r="K143" s="208">
        <f>'[5]Sithe Positions '!$BB142</f>
        <v>4947.5547270126226</v>
      </c>
      <c r="L143" s="208">
        <f>'[5]Sithe Positions '!$BD142</f>
        <v>12089.572018328816</v>
      </c>
      <c r="M143" s="208">
        <f t="shared" si="7"/>
        <v>17037.12674534144</v>
      </c>
      <c r="O143" s="171"/>
    </row>
    <row r="144" spans="1:15">
      <c r="A144" s="156">
        <v>41061</v>
      </c>
      <c r="C144" s="171">
        <f>'[5]Sithe Positions '!$I143</f>
        <v>-2811.4490649150412</v>
      </c>
      <c r="D144" s="171">
        <f>'[5]Sithe Positions '!$U143</f>
        <v>117.54683900271401</v>
      </c>
      <c r="E144" s="171">
        <f>'[5]Sithe Positions '!$V143</f>
        <v>51.480756210888757</v>
      </c>
      <c r="F144" s="191">
        <f t="shared" si="8"/>
        <v>169.02759521360275</v>
      </c>
      <c r="G144" s="208">
        <f>'[5]Sithe Positions '!$AC143</f>
        <v>2311.4484175749376</v>
      </c>
      <c r="H144" s="208">
        <f>'[5]Sithe Positions '!$AO143</f>
        <v>-96.641784620760973</v>
      </c>
      <c r="I144" s="208">
        <f>'[5]Sithe Positions '!$AP143</f>
        <v>-42.325188801816637</v>
      </c>
      <c r="J144" s="209">
        <f t="shared" si="9"/>
        <v>-138.96697342257761</v>
      </c>
      <c r="K144" s="208">
        <f>'[5]Sithe Positions '!$BB143</f>
        <v>3834.517429673509</v>
      </c>
      <c r="L144" s="208">
        <f>'[5]Sithe Positions '!$BD143</f>
        <v>12224.603389658256</v>
      </c>
      <c r="M144" s="208">
        <f t="shared" si="7"/>
        <v>16059.120819331765</v>
      </c>
      <c r="O144" s="171"/>
    </row>
    <row r="145" spans="1:15">
      <c r="A145" s="156">
        <v>41091</v>
      </c>
      <c r="C145" s="171">
        <f>'[5]Sithe Positions '!$I144</f>
        <v>-2889.8822616579996</v>
      </c>
      <c r="D145" s="171">
        <f>'[5]Sithe Positions '!$U144</f>
        <v>110.00855093477125</v>
      </c>
      <c r="E145" s="171">
        <f>'[5]Sithe Positions '!$V144</f>
        <v>52.916955191248704</v>
      </c>
      <c r="F145" s="191">
        <f t="shared" si="8"/>
        <v>162.92550612601997</v>
      </c>
      <c r="G145" s="208">
        <f>'[5]Sithe Positions '!$AC144</f>
        <v>2388.496698160769</v>
      </c>
      <c r="H145" s="208">
        <f>'[5]Sithe Positions '!$AO144</f>
        <v>-90.922410287539734</v>
      </c>
      <c r="I145" s="208">
        <f>'[5]Sithe Positions '!$AP144</f>
        <v>-43.736028428543861</v>
      </c>
      <c r="J145" s="209">
        <f t="shared" si="9"/>
        <v>-134.65843871608359</v>
      </c>
      <c r="K145" s="208">
        <f>'[5]Sithe Positions '!$BB144</f>
        <v>1958.5426269879179</v>
      </c>
      <c r="L145" s="208">
        <f>'[5]Sithe Positions '!$BD144</f>
        <v>12345.300642564638</v>
      </c>
      <c r="M145" s="208">
        <f t="shared" si="7"/>
        <v>14303.843269552555</v>
      </c>
      <c r="O145" s="171"/>
    </row>
    <row r="146" spans="1:15">
      <c r="A146" s="156">
        <v>41122</v>
      </c>
      <c r="C146" s="171">
        <f>'[5]Sithe Positions '!$I145</f>
        <v>-2874.6270364984166</v>
      </c>
      <c r="D146" s="171">
        <f>'[5]Sithe Positions '!$U145</f>
        <v>109.65242965452951</v>
      </c>
      <c r="E146" s="171">
        <f>'[5]Sithe Positions '!$V145</f>
        <v>52.637615068326561</v>
      </c>
      <c r="F146" s="191">
        <f t="shared" si="8"/>
        <v>162.29004472285607</v>
      </c>
      <c r="G146" s="208">
        <f>'[5]Sithe Positions '!$AC145</f>
        <v>2388.496698160769</v>
      </c>
      <c r="H146" s="208">
        <f>'[5]Sithe Positions '!$AO145</f>
        <v>-91.109024875162802</v>
      </c>
      <c r="I146" s="208">
        <f>'[5]Sithe Positions '!$AP145</f>
        <v>-43.736028428543861</v>
      </c>
      <c r="J146" s="209">
        <f t="shared" si="9"/>
        <v>-134.84505330370666</v>
      </c>
      <c r="K146" s="208">
        <f>'[5]Sithe Positions '!$BB145</f>
        <v>2057.9813796083545</v>
      </c>
      <c r="L146" s="208">
        <f>'[5]Sithe Positions '!$BD145</f>
        <v>12468.034147927519</v>
      </c>
      <c r="M146" s="208">
        <f t="shared" si="7"/>
        <v>14526.015527535874</v>
      </c>
      <c r="O146" s="171"/>
    </row>
    <row r="147" spans="1:15">
      <c r="A147" s="156">
        <v>41153</v>
      </c>
      <c r="C147" s="171">
        <f>'[5]Sithe Positions '!$I146</f>
        <v>-2767.6326135176505</v>
      </c>
      <c r="D147" s="171">
        <f>'[5]Sithe Positions '!$U146</f>
        <v>130.4768166860174</v>
      </c>
      <c r="E147" s="171">
        <f>'[5]Sithe Positions '!$V146</f>
        <v>50.678428300856538</v>
      </c>
      <c r="F147" s="191">
        <f t="shared" si="8"/>
        <v>181.15524498687392</v>
      </c>
      <c r="G147" s="208">
        <f>'[5]Sithe Positions '!$AC146</f>
        <v>2311.4484175749376</v>
      </c>
      <c r="H147" s="208">
        <f>'[5]Sithe Positions '!$AO146</f>
        <v>-108.97054398986502</v>
      </c>
      <c r="I147" s="208">
        <f>'[5]Sithe Positions '!$AP146</f>
        <v>-42.325188801816637</v>
      </c>
      <c r="J147" s="209">
        <f t="shared" si="9"/>
        <v>-151.29573279168164</v>
      </c>
      <c r="K147" s="208">
        <f>'[5]Sithe Positions '!$BB146</f>
        <v>5649.3035184802084</v>
      </c>
      <c r="L147" s="208">
        <f>'[5]Sithe Positions '!$BD146</f>
        <v>12621.348991267072</v>
      </c>
      <c r="M147" s="208">
        <f t="shared" si="7"/>
        <v>18270.65250974728</v>
      </c>
      <c r="O147" s="171"/>
    </row>
    <row r="148" spans="1:15">
      <c r="A148" s="156">
        <v>41183</v>
      </c>
      <c r="C148" s="171">
        <f>'[5]Sithe Positions '!$I147</f>
        <v>-2844.7941444175544</v>
      </c>
      <c r="D148" s="171">
        <f>'[5]Sithe Positions '!$U147</f>
        <v>154.27032255834163</v>
      </c>
      <c r="E148" s="171">
        <f>'[5]Sithe Positions '!$V147</f>
        <v>52.091341666668114</v>
      </c>
      <c r="F148" s="191">
        <f t="shared" si="8"/>
        <v>206.36166422500975</v>
      </c>
      <c r="G148" s="208">
        <f>'[5]Sithe Positions '!$AC147</f>
        <v>2388.496698160769</v>
      </c>
      <c r="H148" s="208">
        <f>'[5]Sithe Positions '!$AO147</f>
        <v>-129.52577140875601</v>
      </c>
      <c r="I148" s="208">
        <f>'[5]Sithe Positions '!$AP147</f>
        <v>-43.736028428543861</v>
      </c>
      <c r="J148" s="209">
        <f t="shared" si="9"/>
        <v>-173.26179983729986</v>
      </c>
      <c r="K148" s="208">
        <f>'[5]Sithe Positions '!$BB147</f>
        <v>5493.2434288918812</v>
      </c>
      <c r="L148" s="208">
        <f>'[5]Sithe Positions '!$BD147</f>
        <v>12774.599456799229</v>
      </c>
      <c r="M148" s="208">
        <f t="shared" si="7"/>
        <v>18267.842885691112</v>
      </c>
      <c r="O148" s="171"/>
    </row>
    <row r="149" spans="1:15">
      <c r="A149" s="156">
        <v>41214</v>
      </c>
      <c r="C149" s="171">
        <f>'[5]Sithe Positions '!$I148</f>
        <v>-2738.8786517812596</v>
      </c>
      <c r="D149" s="171">
        <f>'[5]Sithe Positions '!$U148</f>
        <v>131.41890540304436</v>
      </c>
      <c r="E149" s="171">
        <f>'[5]Sithe Positions '!$V148</f>
        <v>50.151911312616839</v>
      </c>
      <c r="F149" s="191">
        <f t="shared" si="8"/>
        <v>181.57081671566121</v>
      </c>
      <c r="G149" s="208">
        <f>'[5]Sithe Positions '!$AC148</f>
        <v>2311.4484175749376</v>
      </c>
      <c r="H149" s="208">
        <f>'[5]Sithe Positions '!$AO148</f>
        <v>-110.9096311133531</v>
      </c>
      <c r="I149" s="208">
        <f>'[5]Sithe Positions '!$AP148</f>
        <v>-42.325188801816637</v>
      </c>
      <c r="J149" s="209">
        <f t="shared" si="9"/>
        <v>-153.23481991516974</v>
      </c>
      <c r="K149" s="208">
        <f>'[5]Sithe Positions '!$BB148</f>
        <v>6131.7998901489682</v>
      </c>
      <c r="L149" s="208">
        <f>'[5]Sithe Positions '!$BD148</f>
        <v>12934.613433851302</v>
      </c>
      <c r="M149" s="208">
        <f t="shared" si="7"/>
        <v>19066.41332400027</v>
      </c>
      <c r="O149" s="171"/>
    </row>
    <row r="150" spans="1:15">
      <c r="A150" s="156">
        <v>41244</v>
      </c>
      <c r="C150" s="171">
        <f>'[5]Sithe Positions '!$I149</f>
        <v>-2815.2061875418481</v>
      </c>
      <c r="D150" s="171">
        <f>'[5]Sithe Positions '!$U149</f>
        <v>130.44340888081229</v>
      </c>
      <c r="E150" s="171">
        <f>'[5]Sithe Positions '!$V149</f>
        <v>51.549553300766284</v>
      </c>
      <c r="F150" s="191">
        <f t="shared" si="8"/>
        <v>181.99296218157858</v>
      </c>
      <c r="G150" s="208">
        <f>'[5]Sithe Positions '!$AC149</f>
        <v>2388.496698160769</v>
      </c>
      <c r="H150" s="208">
        <f>'[5]Sithe Positions '!$AO149</f>
        <v>-110.67169885723474</v>
      </c>
      <c r="I150" s="208">
        <f>'[5]Sithe Positions '!$AP149</f>
        <v>-43.736028428543861</v>
      </c>
      <c r="J150" s="209">
        <f t="shared" si="9"/>
        <v>-154.40772728577861</v>
      </c>
      <c r="K150" s="208">
        <f>'[5]Sithe Positions '!$BB149</f>
        <v>6778.9150341764689</v>
      </c>
      <c r="L150" s="208">
        <f>'[5]Sithe Positions '!$BD149</f>
        <v>13101.220837587985</v>
      </c>
      <c r="M150" s="208">
        <f t="shared" si="7"/>
        <v>19880.135871764454</v>
      </c>
      <c r="O150" s="171"/>
    </row>
    <row r="151" spans="1:15">
      <c r="A151" s="156">
        <v>41275</v>
      </c>
      <c r="C151" s="171">
        <f>'[5]Sithe Positions '!$I150</f>
        <v>-2800.2631697397942</v>
      </c>
      <c r="D151" s="171">
        <f>'[5]Sithe Positions '!$U150</f>
        <v>117.14581073834482</v>
      </c>
      <c r="E151" s="171">
        <f>'[5]Sithe Positions '!$V150</f>
        <v>51.275930041457563</v>
      </c>
      <c r="F151" s="191">
        <f t="shared" si="8"/>
        <v>168.42174077980238</v>
      </c>
      <c r="G151" s="208">
        <f>'[5]Sithe Positions '!$AC150</f>
        <v>2388.496698160769</v>
      </c>
      <c r="H151" s="208">
        <f>'[5]Sithe Positions '!$AO150</f>
        <v>-99.920030794070954</v>
      </c>
      <c r="I151" s="208">
        <f>'[5]Sithe Positions '!$AP150</f>
        <v>-43.736028428543861</v>
      </c>
      <c r="J151" s="209">
        <f t="shared" si="9"/>
        <v>-143.65605922261483</v>
      </c>
      <c r="K151" s="208">
        <f>'[5]Sithe Positions '!$BB150</f>
        <v>5503.5532141467829</v>
      </c>
      <c r="L151" s="208">
        <f>'[5]Sithe Positions '!$BD150</f>
        <v>13258.982284634189</v>
      </c>
      <c r="M151" s="208">
        <f t="shared" si="7"/>
        <v>18762.53549878097</v>
      </c>
      <c r="O151" s="171"/>
    </row>
    <row r="152" spans="1:15">
      <c r="A152" s="156">
        <v>41306</v>
      </c>
      <c r="C152" s="171">
        <f>'[5]Sithe Positions '!$I151</f>
        <v>-2517.0256684132701</v>
      </c>
      <c r="D152" s="171">
        <f>'[5]Sithe Positions '!$U151</f>
        <v>107.39707792780487</v>
      </c>
      <c r="E152" s="171">
        <f>'[5]Sithe Positions '!$V151</f>
        <v>46.089536683834105</v>
      </c>
      <c r="F152" s="191">
        <f t="shared" si="8"/>
        <v>153.48661461163897</v>
      </c>
      <c r="G152" s="208">
        <f>'[5]Sithe Positions '!$AC151</f>
        <v>2157.3518564032752</v>
      </c>
      <c r="H152" s="208">
        <f>'[5]Sithe Positions '!$AO151</f>
        <v>-92.050426162676459</v>
      </c>
      <c r="I152" s="208">
        <f>'[5]Sithe Positions '!$AP151</f>
        <v>-39.503509548362203</v>
      </c>
      <c r="J152" s="209">
        <f t="shared" si="9"/>
        <v>-131.55393571103866</v>
      </c>
      <c r="K152" s="208">
        <f>'[5]Sithe Positions '!$BB151</f>
        <v>4435.4889305309634</v>
      </c>
      <c r="L152" s="208">
        <f>'[5]Sithe Positions '!$BD151</f>
        <v>13409.36773507396</v>
      </c>
      <c r="M152" s="208">
        <f t="shared" si="7"/>
        <v>17844.856665604922</v>
      </c>
      <c r="O152" s="171"/>
    </row>
    <row r="153" spans="1:15">
      <c r="A153" s="156">
        <v>41334</v>
      </c>
      <c r="C153" s="171">
        <f>'[5]Sithe Positions '!$I152</f>
        <v>-2771.9965838768285</v>
      </c>
      <c r="D153" s="171">
        <f>'[5]Sithe Positions '!$U152</f>
        <v>127.11666006437434</v>
      </c>
      <c r="E153" s="171">
        <f>'[5]Sithe Positions '!$V152</f>
        <v>50.758337446989032</v>
      </c>
      <c r="F153" s="191">
        <f t="shared" si="8"/>
        <v>177.87499751136338</v>
      </c>
      <c r="G153" s="208">
        <f>'[5]Sithe Positions '!$AC152</f>
        <v>2388.496698160769</v>
      </c>
      <c r="H153" s="208">
        <f>'[5]Sithe Positions '!$AO152</f>
        <v>-109.53033802817777</v>
      </c>
      <c r="I153" s="208">
        <f>'[5]Sithe Positions '!$AP152</f>
        <v>-43.736028428543861</v>
      </c>
      <c r="J153" s="209">
        <f t="shared" si="9"/>
        <v>-153.26636645672164</v>
      </c>
      <c r="K153" s="208">
        <f>'[5]Sithe Positions '!$BB152</f>
        <v>6149.1411230372969</v>
      </c>
      <c r="L153" s="208">
        <f>'[5]Sithe Positions '!$BD152</f>
        <v>13574.718406038213</v>
      </c>
      <c r="M153" s="208">
        <f t="shared" si="7"/>
        <v>19723.859529075511</v>
      </c>
      <c r="O153" s="171"/>
    </row>
    <row r="154" spans="1:15">
      <c r="A154" s="156">
        <v>41365</v>
      </c>
      <c r="C154" s="171">
        <f>'[5]Sithe Positions '!$I153</f>
        <v>-2668.7155708485834</v>
      </c>
      <c r="D154" s="171">
        <f>'[5]Sithe Positions '!$U153</f>
        <v>127.47789367026827</v>
      </c>
      <c r="E154" s="171">
        <f>'[5]Sithe Positions '!$V153</f>
        <v>48.867147341760727</v>
      </c>
      <c r="F154" s="191">
        <f t="shared" si="8"/>
        <v>176.34504101202901</v>
      </c>
      <c r="G154" s="208">
        <f>'[5]Sithe Positions '!$AC153</f>
        <v>2311.4484175749376</v>
      </c>
      <c r="H154" s="208">
        <f>'[5]Sithe Positions '!$AO153</f>
        <v>-110.41213189543232</v>
      </c>
      <c r="I154" s="208">
        <f>'[5]Sithe Positions '!$AP153</f>
        <v>-42.325188801816644</v>
      </c>
      <c r="J154" s="209">
        <f t="shared" si="9"/>
        <v>-152.73732069724898</v>
      </c>
      <c r="K154" s="208">
        <f>'[5]Sithe Positions '!$BB153</f>
        <v>5504.6902549591314</v>
      </c>
      <c r="L154" s="208">
        <f>'[5]Sithe Positions '!$BD153</f>
        <v>13736.716435828279</v>
      </c>
      <c r="M154" s="208">
        <f t="shared" si="7"/>
        <v>19241.406690787411</v>
      </c>
      <c r="O154" s="171"/>
    </row>
    <row r="155" spans="1:15">
      <c r="A155" s="156">
        <v>41395</v>
      </c>
      <c r="C155" s="171">
        <f>'[5]Sithe Positions '!$I154</f>
        <v>-2743.009805652362</v>
      </c>
      <c r="D155" s="171">
        <f>'[5]Sithe Positions '!$U154</f>
        <v>140.00117266678464</v>
      </c>
      <c r="E155" s="171">
        <f>'[5]Sithe Positions '!$V154</f>
        <v>50.227557330167699</v>
      </c>
      <c r="F155" s="191">
        <f t="shared" si="8"/>
        <v>190.22872999695232</v>
      </c>
      <c r="G155" s="208">
        <f>'[5]Sithe Positions '!$AC154</f>
        <v>2388.496698160769</v>
      </c>
      <c r="H155" s="208">
        <f>'[5]Sithe Positions '!$AO154</f>
        <v>-121.90708832472558</v>
      </c>
      <c r="I155" s="208">
        <f>'[5]Sithe Positions '!$AP154</f>
        <v>-43.736028428543861</v>
      </c>
      <c r="J155" s="209">
        <f t="shared" si="9"/>
        <v>-165.64311675326945</v>
      </c>
      <c r="K155" s="208">
        <f>'[5]Sithe Positions '!$BB154</f>
        <v>5138.7702561642727</v>
      </c>
      <c r="L155" s="208">
        <f>'[5]Sithe Positions '!$BD154</f>
        <v>13896.986456059522</v>
      </c>
      <c r="M155" s="208">
        <f t="shared" si="7"/>
        <v>19035.756712223796</v>
      </c>
      <c r="O155" s="171"/>
    </row>
    <row r="156" spans="1:15">
      <c r="A156" s="156">
        <v>41426</v>
      </c>
      <c r="C156" s="171">
        <f>'[5]Sithe Positions '!$I155</f>
        <v>-2640.7784765253805</v>
      </c>
      <c r="D156" s="171">
        <f>'[5]Sithe Positions '!$U155</f>
        <v>110.09908669831617</v>
      </c>
      <c r="E156" s="171">
        <f>'[5]Sithe Positions '!$V155</f>
        <v>48.355588103486973</v>
      </c>
      <c r="F156" s="191">
        <f t="shared" si="8"/>
        <v>158.45467480180315</v>
      </c>
      <c r="G156" s="208">
        <f>'[5]Sithe Positions '!$AC155</f>
        <v>2311.4484175749376</v>
      </c>
      <c r="H156" s="208">
        <f>'[5]Sithe Positions '!$AO155</f>
        <v>-96.368689001174133</v>
      </c>
      <c r="I156" s="208">
        <f>'[5]Sithe Positions '!$AP155</f>
        <v>-42.325188801816644</v>
      </c>
      <c r="J156" s="209">
        <f t="shared" si="9"/>
        <v>-138.69387780299078</v>
      </c>
      <c r="K156" s="208">
        <f>'[5]Sithe Positions '!$BB155</f>
        <v>3970.7382908897343</v>
      </c>
      <c r="L156" s="208">
        <f>'[5]Sithe Positions '!$BD155</f>
        <v>14049.230328253199</v>
      </c>
      <c r="M156" s="208">
        <f t="shared" si="7"/>
        <v>18019.968619142935</v>
      </c>
      <c r="O156" s="171"/>
    </row>
    <row r="157" spans="1:15">
      <c r="A157" s="156">
        <v>41456</v>
      </c>
      <c r="C157" s="171">
        <f>'[5]Sithe Positions '!$I156</f>
        <v>-2714.2638016082205</v>
      </c>
      <c r="D157" s="171">
        <f>'[5]Sithe Positions '!$U156</f>
        <v>102.95947652991192</v>
      </c>
      <c r="E157" s="171">
        <f>'[5]Sithe Positions '!$V156</f>
        <v>49.701186056114977</v>
      </c>
      <c r="F157" s="191">
        <f t="shared" si="8"/>
        <v>152.66066258602689</v>
      </c>
      <c r="G157" s="208">
        <f>'[5]Sithe Positions '!$AC156</f>
        <v>2388.496698160769</v>
      </c>
      <c r="H157" s="208">
        <f>'[5]Sithe Positions '!$AO156</f>
        <v>-90.60223607976036</v>
      </c>
      <c r="I157" s="208">
        <f>'[5]Sithe Positions '!$AP156</f>
        <v>-43.736028428543868</v>
      </c>
      <c r="J157" s="209">
        <f t="shared" si="9"/>
        <v>-134.33826450830423</v>
      </c>
      <c r="K157" s="208">
        <f>'[5]Sithe Positions '!$BB156</f>
        <v>2005.7114842444291</v>
      </c>
      <c r="L157" s="208">
        <f>'[5]Sithe Positions '!$BD156</f>
        <v>14186.477251345925</v>
      </c>
      <c r="M157" s="208">
        <f t="shared" si="7"/>
        <v>16192.188735590355</v>
      </c>
      <c r="O157" s="171"/>
    </row>
    <row r="158" spans="1:15">
      <c r="A158" s="156">
        <v>41487</v>
      </c>
      <c r="C158" s="171">
        <f>'[5]Sithe Positions '!$I157</f>
        <v>-2699.7470621350608</v>
      </c>
      <c r="D158" s="171">
        <f>'[5]Sithe Positions '!$U157</f>
        <v>102.616151448222</v>
      </c>
      <c r="E158" s="171">
        <f>'[5]Sithe Positions '!$V157</f>
        <v>49.435368426650889</v>
      </c>
      <c r="F158" s="191">
        <f t="shared" si="8"/>
        <v>152.05151987487289</v>
      </c>
      <c r="G158" s="208">
        <f>'[5]Sithe Positions '!$AC157</f>
        <v>2388.496698160769</v>
      </c>
      <c r="H158" s="208">
        <f>'[5]Sithe Positions '!$AO157</f>
        <v>-90.785667424047787</v>
      </c>
      <c r="I158" s="208">
        <f>'[5]Sithe Positions '!$AP157</f>
        <v>-43.736028428543868</v>
      </c>
      <c r="J158" s="209">
        <f t="shared" si="9"/>
        <v>-134.52169585259165</v>
      </c>
      <c r="K158" s="208">
        <f>'[5]Sithe Positions '!$BB157</f>
        <v>2105.0428085081471</v>
      </c>
      <c r="L158" s="208">
        <f>'[5]Sithe Positions '!$BD157</f>
        <v>14325.93580404318</v>
      </c>
      <c r="M158" s="208">
        <f t="shared" si="7"/>
        <v>16430.978612551327</v>
      </c>
      <c r="O158" s="171"/>
    </row>
    <row r="159" spans="1:15">
      <c r="A159" s="156">
        <v>41518</v>
      </c>
      <c r="C159" s="171">
        <f>'[5]Sithe Positions '!$I158</f>
        <v>-2599.0831126065787</v>
      </c>
      <c r="D159" s="171">
        <f>'[5]Sithe Positions '!$U158</f>
        <v>122.61806134010331</v>
      </c>
      <c r="E159" s="171">
        <f>'[5]Sithe Positions '!$V158</f>
        <v>47.592099661951579</v>
      </c>
      <c r="F159" s="191">
        <f t="shared" si="8"/>
        <v>170.21016100205489</v>
      </c>
      <c r="G159" s="208">
        <f>'[5]Sithe Positions '!$AC158</f>
        <v>2311.4484175749376</v>
      </c>
      <c r="H159" s="208">
        <f>'[5]Sithe Positions '!$AO158</f>
        <v>-109.04819567945472</v>
      </c>
      <c r="I159" s="208">
        <f>'[5]Sithe Positions '!$AP158</f>
        <v>-42.325188801816637</v>
      </c>
      <c r="J159" s="209">
        <f t="shared" si="9"/>
        <v>-151.37338448127136</v>
      </c>
      <c r="K159" s="208">
        <f>'[5]Sithe Positions '!$BB158</f>
        <v>5862.5097072002227</v>
      </c>
      <c r="L159" s="208">
        <f>'[5]Sithe Positions '!$BD158</f>
        <v>14497.626228413317</v>
      </c>
      <c r="M159" s="208">
        <f t="shared" si="7"/>
        <v>20360.13593561354</v>
      </c>
      <c r="O159" s="171"/>
    </row>
    <row r="160" spans="1:15">
      <c r="A160" s="156">
        <v>41548</v>
      </c>
      <c r="C160" s="171">
        <f>'[5]Sithe Positions '!$I159</f>
        <v>-2671.3619095726813</v>
      </c>
      <c r="D160" s="171">
        <f>'[5]Sithe Positions '!$U159</f>
        <v>144.97884821387072</v>
      </c>
      <c r="E160" s="171">
        <f>'[5]Sithe Positions '!$V159</f>
        <v>48.915604744175326</v>
      </c>
      <c r="F160" s="191">
        <f t="shared" si="8"/>
        <v>193.89445295804603</v>
      </c>
      <c r="G160" s="208">
        <f>'[5]Sithe Positions '!$AC159</f>
        <v>2388.496698160769</v>
      </c>
      <c r="H160" s="208">
        <f>'[5]Sithe Positions '!$AO159</f>
        <v>-129.62732568024589</v>
      </c>
      <c r="I160" s="208">
        <f>'[5]Sithe Positions '!$AP159</f>
        <v>-43.736028428543861</v>
      </c>
      <c r="J160" s="209">
        <f t="shared" si="9"/>
        <v>-173.36335410878974</v>
      </c>
      <c r="K160" s="208">
        <f>'[5]Sithe Positions '!$BB159</f>
        <v>5709.4892944905023</v>
      </c>
      <c r="L160" s="208">
        <f>'[5]Sithe Positions '!$BD159</f>
        <v>14669.419670116777</v>
      </c>
      <c r="M160" s="208">
        <f t="shared" si="7"/>
        <v>20378.908964607279</v>
      </c>
      <c r="O160" s="171"/>
    </row>
    <row r="161" spans="1:15">
      <c r="A161" s="156">
        <v>41579</v>
      </c>
      <c r="C161" s="171">
        <f>'[5]Sithe Positions '!$I160</f>
        <v>-2571.7268120454014</v>
      </c>
      <c r="D161" s="171">
        <f>'[5]Sithe Positions '!$U160</f>
        <v>123.4794131332952</v>
      </c>
      <c r="E161" s="171">
        <f>'[5]Sithe Positions '!$V160</f>
        <v>47.091175402786902</v>
      </c>
      <c r="F161" s="191">
        <f t="shared" si="8"/>
        <v>170.57058853608208</v>
      </c>
      <c r="G161" s="208">
        <f>'[5]Sithe Positions '!$AC160</f>
        <v>2311.4484175749376</v>
      </c>
      <c r="H161" s="208">
        <f>'[5]Sithe Positions '!$AO160</f>
        <v>-110.98235347285342</v>
      </c>
      <c r="I161" s="208">
        <f>'[5]Sithe Positions '!$AP160</f>
        <v>-42.325188801816637</v>
      </c>
      <c r="J161" s="209">
        <f t="shared" si="9"/>
        <v>-153.30754227467006</v>
      </c>
      <c r="K161" s="208">
        <f>'[5]Sithe Positions '!$BB160</f>
        <v>6344.9300651575286</v>
      </c>
      <c r="L161" s="208">
        <f>'[5]Sithe Positions '!$BD160</f>
        <v>14848.165863790051</v>
      </c>
      <c r="M161" s="208">
        <f t="shared" si="7"/>
        <v>21193.09592894758</v>
      </c>
      <c r="O161" s="171"/>
    </row>
    <row r="162" spans="1:15">
      <c r="A162" s="156">
        <v>41609</v>
      </c>
      <c r="C162" s="171">
        <f>'[5]Sithe Positions '!$I161</f>
        <v>-2643.2144976656323</v>
      </c>
      <c r="D162" s="171">
        <f>'[5]Sithe Positions '!$U161</f>
        <v>122.54957570087046</v>
      </c>
      <c r="E162" s="171">
        <f>'[5]Sithe Positions '!$V161</f>
        <v>48.400194357255138</v>
      </c>
      <c r="F162" s="191">
        <f t="shared" si="8"/>
        <v>170.94977005812561</v>
      </c>
      <c r="G162" s="208">
        <f>'[5]Sithe Positions '!$AC161</f>
        <v>2388.496698160769</v>
      </c>
      <c r="H162" s="208">
        <f>'[5]Sithe Positions '!$AO161</f>
        <v>-110.73988024091116</v>
      </c>
      <c r="I162" s="208">
        <f>'[5]Sithe Positions '!$AP161</f>
        <v>-43.736028428543861</v>
      </c>
      <c r="J162" s="209">
        <f t="shared" si="9"/>
        <v>-154.47590866945501</v>
      </c>
      <c r="K162" s="208">
        <f>'[5]Sithe Positions '!$BB161</f>
        <v>7000.2015526666919</v>
      </c>
      <c r="L162" s="208">
        <f>'[5]Sithe Positions '!$BD161</f>
        <v>15033.746618378635</v>
      </c>
      <c r="M162" s="208">
        <f t="shared" si="7"/>
        <v>22033.948171045326</v>
      </c>
      <c r="O162" s="171"/>
    </row>
    <row r="163" spans="1:15">
      <c r="A163" s="156">
        <v>41640</v>
      </c>
      <c r="C163" s="171">
        <f>'[5]Sithe Positions '!$I162</f>
        <v>-2629.0007951885914</v>
      </c>
      <c r="D163" s="171">
        <f>'[5]Sithe Positions '!$U162</f>
        <v>110.07925153873991</v>
      </c>
      <c r="E163" s="171">
        <f>'[5]Sithe Positions '!$V162</f>
        <v>48.139925671897764</v>
      </c>
      <c r="F163" s="191">
        <f t="shared" si="8"/>
        <v>158.21917721063767</v>
      </c>
      <c r="G163" s="208">
        <f>'[5]Sithe Positions '!$AC162</f>
        <v>2388.496698160769</v>
      </c>
      <c r="H163" s="208">
        <f>'[5]Sithe Positions '!$AO162</f>
        <v>-100.00907162807769</v>
      </c>
      <c r="I163" s="208">
        <f>'[5]Sithe Positions '!$AP162</f>
        <v>-43.736028428543861</v>
      </c>
      <c r="J163" s="209">
        <f t="shared" si="9"/>
        <v>-143.74510005662154</v>
      </c>
      <c r="K163" s="208">
        <f>'[5]Sithe Positions '!$BB162</f>
        <v>5724.8741077795721</v>
      </c>
      <c r="L163" s="208">
        <f>'[5]Sithe Positions '!$BD162</f>
        <v>15210.633810201867</v>
      </c>
      <c r="M163" s="208">
        <f t="shared" si="7"/>
        <v>20935.507917981438</v>
      </c>
      <c r="O163" s="171"/>
    </row>
    <row r="164" spans="1:15">
      <c r="A164" s="156">
        <v>41671</v>
      </c>
      <c r="C164" s="171">
        <f>'[5]Sithe Positions '!$I163</f>
        <v>-2362.9288971109781</v>
      </c>
      <c r="D164" s="171">
        <f>'[5]Sithe Positions '!$U163</f>
        <v>100.91644847485695</v>
      </c>
      <c r="E164" s="171">
        <f>'[5]Sithe Positions '!$V163</f>
        <v>43.267853582654368</v>
      </c>
      <c r="F164" s="191">
        <f t="shared" si="8"/>
        <v>144.18430205751133</v>
      </c>
      <c r="G164" s="208">
        <f>'[5]Sithe Positions '!$AC163</f>
        <v>2157.3518564032752</v>
      </c>
      <c r="H164" s="208">
        <f>'[5]Sithe Positions '!$AO163</f>
        <v>-92.1366223609364</v>
      </c>
      <c r="I164" s="208">
        <f>'[5]Sithe Positions '!$AP163</f>
        <v>-39.503509548362203</v>
      </c>
      <c r="J164" s="209">
        <f t="shared" si="9"/>
        <v>-131.64013190929859</v>
      </c>
      <c r="K164" s="208">
        <f>'[5]Sithe Positions '!$BB163</f>
        <v>4634.7263076200143</v>
      </c>
      <c r="L164" s="208">
        <f>'[5]Sithe Positions '!$BD163</f>
        <v>15380.101331416412</v>
      </c>
      <c r="M164" s="208">
        <f t="shared" si="7"/>
        <v>20014.827639036426</v>
      </c>
      <c r="O164" s="171"/>
    </row>
    <row r="165" spans="1:15">
      <c r="A165" s="156">
        <v>41699</v>
      </c>
      <c r="C165" s="171">
        <f>'[5]Sithe Positions '!$I164</f>
        <v>-2602.1170994895938</v>
      </c>
      <c r="D165" s="171">
        <f>'[5]Sithe Positions '!$U164</f>
        <v>119.34225439224414</v>
      </c>
      <c r="E165" s="171">
        <f>'[5]Sithe Positions '!$V164</f>
        <v>47.647655332876113</v>
      </c>
      <c r="F165" s="191">
        <f t="shared" si="8"/>
        <v>166.98990972512024</v>
      </c>
      <c r="G165" s="208">
        <f>'[5]Sithe Positions '!$AC164</f>
        <v>2388.496698160769</v>
      </c>
      <c r="H165" s="208">
        <f>'[5]Sithe Positions '!$AO164</f>
        <v>-109.54487045292852</v>
      </c>
      <c r="I165" s="208">
        <f>'[5]Sithe Positions '!$AP164</f>
        <v>-43.736028428543854</v>
      </c>
      <c r="J165" s="209">
        <f t="shared" si="9"/>
        <v>-153.28089888147238</v>
      </c>
      <c r="K165" s="208">
        <f>'[5]Sithe Positions '!$BB164</f>
        <v>6365.0346648788573</v>
      </c>
      <c r="L165" s="208">
        <f>'[5]Sithe Positions '!$BD164</f>
        <v>15564.840290122542</v>
      </c>
      <c r="M165" s="208">
        <f t="shared" si="7"/>
        <v>21929.8749550014</v>
      </c>
      <c r="O165" s="171"/>
    </row>
    <row r="166" spans="1:15">
      <c r="A166" s="156">
        <v>41730</v>
      </c>
      <c r="C166" s="171">
        <f>'[5]Sithe Positions '!$I165</f>
        <v>-2504.9934653588848</v>
      </c>
      <c r="D166" s="171">
        <f>'[5]Sithe Positions '!$U165</f>
        <v>119.67743363324423</v>
      </c>
      <c r="E166" s="171">
        <f>'[5]Sithe Positions '!$V165</f>
        <v>45.869213676793798</v>
      </c>
      <c r="F166" s="191">
        <f t="shared" si="8"/>
        <v>165.54664731003803</v>
      </c>
      <c r="G166" s="208">
        <f>'[5]Sithe Positions '!$AC165</f>
        <v>2311.4484175749376</v>
      </c>
      <c r="H166" s="208">
        <f>'[5]Sithe Positions '!$AO165</f>
        <v>-110.43071306030738</v>
      </c>
      <c r="I166" s="208">
        <f>'[5]Sithe Positions '!$AP165</f>
        <v>-42.325188801816644</v>
      </c>
      <c r="J166" s="209">
        <f t="shared" si="9"/>
        <v>-152.75590186212403</v>
      </c>
      <c r="K166" s="208">
        <f>'[5]Sithe Positions '!$BB165</f>
        <v>5712.3366328241991</v>
      </c>
      <c r="L166" s="208">
        <f>'[5]Sithe Positions '!$BD165</f>
        <v>15746.382169166392</v>
      </c>
      <c r="M166" s="208">
        <f t="shared" si="7"/>
        <v>21458.718801990592</v>
      </c>
      <c r="O166" s="171"/>
    </row>
    <row r="167" spans="1:15">
      <c r="A167" s="156">
        <v>41760</v>
      </c>
      <c r="C167" s="171">
        <f>'[5]Sithe Positions '!$I166</f>
        <v>-2574.5529553615147</v>
      </c>
      <c r="D167" s="171">
        <f>'[5]Sithe Positions '!$U166</f>
        <v>131.13061359918277</v>
      </c>
      <c r="E167" s="171">
        <f>'[5]Sithe Positions '!$V166</f>
        <v>47.142925227064183</v>
      </c>
      <c r="F167" s="191">
        <f t="shared" si="8"/>
        <v>178.27353882624695</v>
      </c>
      <c r="G167" s="208">
        <f>'[5]Sithe Positions '!$AC166</f>
        <v>2388.496698160769</v>
      </c>
      <c r="H167" s="208">
        <f>'[5]Sithe Positions '!$AO166</f>
        <v>-121.65414463788487</v>
      </c>
      <c r="I167" s="208">
        <f>'[5]Sithe Positions '!$AP166</f>
        <v>-43.736028428543854</v>
      </c>
      <c r="J167" s="209">
        <f t="shared" si="9"/>
        <v>-165.39017306642873</v>
      </c>
      <c r="K167" s="208">
        <f>'[5]Sithe Positions '!$BB166</f>
        <v>5329.9857853159265</v>
      </c>
      <c r="L167" s="208">
        <f>'[5]Sithe Positions '!$BD166</f>
        <v>15926.204707872243</v>
      </c>
      <c r="M167" s="208">
        <f t="shared" si="7"/>
        <v>21256.190493188169</v>
      </c>
      <c r="O167" s="171"/>
    </row>
    <row r="168" spans="1:15">
      <c r="A168" s="156">
        <v>41791</v>
      </c>
      <c r="C168" s="171">
        <f>'[5]Sithe Positions '!$I167</f>
        <v>-2478.4296959940525</v>
      </c>
      <c r="D168" s="171">
        <f>'[5]Sithe Positions '!$U167</f>
        <v>103.04749343404526</v>
      </c>
      <c r="E168" s="171">
        <f>'[5]Sithe Positions '!$V167</f>
        <v>45.382801544424439</v>
      </c>
      <c r="F168" s="191">
        <f t="shared" si="8"/>
        <v>148.4302949784697</v>
      </c>
      <c r="G168" s="208">
        <f>'[5]Sithe Positions '!$AC167</f>
        <v>2311.4484175749376</v>
      </c>
      <c r="H168" s="208">
        <f>'[5]Sithe Positions '!$AO167</f>
        <v>-96.104790068557719</v>
      </c>
      <c r="I168" s="208">
        <f>'[5]Sithe Positions '!$AP167</f>
        <v>-42.325188801816637</v>
      </c>
      <c r="J168" s="209">
        <f t="shared" si="9"/>
        <v>-138.42997887037436</v>
      </c>
      <c r="K168" s="208">
        <f>'[5]Sithe Positions '!$BB167</f>
        <v>4106.959152105961</v>
      </c>
      <c r="L168" s="208">
        <f>'[5]Sithe Positions '!$BD167</f>
        <v>16097.708350525674</v>
      </c>
      <c r="M168" s="208">
        <f t="shared" si="7"/>
        <v>20204.667502631637</v>
      </c>
      <c r="O168" s="171"/>
    </row>
    <row r="169" spans="1:15">
      <c r="A169" s="156">
        <v>41821</v>
      </c>
      <c r="C169" s="171">
        <f>'[5]Sithe Positions '!$I168</f>
        <v>-2547.2223113033047</v>
      </c>
      <c r="D169" s="171">
        <f>'[5]Sithe Positions '!$U168</f>
        <v>96.297657477365618</v>
      </c>
      <c r="E169" s="171">
        <f>'[5]Sithe Positions '!$V168</f>
        <v>46.642470766976068</v>
      </c>
      <c r="F169" s="191">
        <f t="shared" si="8"/>
        <v>142.94012824434168</v>
      </c>
      <c r="G169" s="208">
        <f>'[5]Sithe Positions '!$AC168</f>
        <v>2388.496698160769</v>
      </c>
      <c r="H169" s="208">
        <f>'[5]Sithe Positions '!$AO168</f>
        <v>-90.297040782286444</v>
      </c>
      <c r="I169" s="208">
        <f>'[5]Sithe Positions '!$AP168</f>
        <v>-43.736028428543854</v>
      </c>
      <c r="J169" s="209">
        <f t="shared" si="9"/>
        <v>-134.03306921083029</v>
      </c>
      <c r="K169" s="208">
        <f>'[5]Sithe Positions '!$BB168</f>
        <v>2052.880341500947</v>
      </c>
      <c r="L169" s="208">
        <f>'[5]Sithe Positions '!$BD168</f>
        <v>16253.562945682632</v>
      </c>
      <c r="M169" s="208">
        <f t="shared" si="7"/>
        <v>18306.443287183578</v>
      </c>
      <c r="O169" s="171"/>
    </row>
    <row r="170" spans="1:15">
      <c r="A170" s="156">
        <v>41852</v>
      </c>
      <c r="C170" s="171">
        <f>'[5]Sithe Positions '!$I169</f>
        <v>-2533.4220587569266</v>
      </c>
      <c r="D170" s="171">
        <f>'[5]Sithe Positions '!$U169</f>
        <v>95.967282239210149</v>
      </c>
      <c r="E170" s="171">
        <f>'[5]Sithe Positions '!$V169</f>
        <v>46.389772809237932</v>
      </c>
      <c r="F170" s="191">
        <f t="shared" si="8"/>
        <v>142.35705504844807</v>
      </c>
      <c r="G170" s="208">
        <f>'[5]Sithe Positions '!$AC169</f>
        <v>2388.496698160769</v>
      </c>
      <c r="H170" s="208">
        <f>'[5]Sithe Positions '!$AO169</f>
        <v>-90.477437806903026</v>
      </c>
      <c r="I170" s="208">
        <f>'[5]Sithe Positions '!$AP169</f>
        <v>-43.736028428543854</v>
      </c>
      <c r="J170" s="209">
        <f t="shared" si="9"/>
        <v>-134.21346623544687</v>
      </c>
      <c r="K170" s="208">
        <f>'[5]Sithe Positions '!$BB169</f>
        <v>2152.1042374079457</v>
      </c>
      <c r="L170" s="208">
        <f>'[5]Sithe Positions '!$BD169</f>
        <v>16411.826532330793</v>
      </c>
      <c r="M170" s="208">
        <f t="shared" si="7"/>
        <v>18563.930769738738</v>
      </c>
      <c r="O170" s="171"/>
    </row>
    <row r="171" spans="1:15">
      <c r="A171" s="156">
        <v>41883</v>
      </c>
      <c r="C171" s="171">
        <f>'[5]Sithe Positions '!$I170</f>
        <v>-2438.7922350235008</v>
      </c>
      <c r="D171" s="171">
        <f>'[5]Sithe Positions '!$U170</f>
        <v>115.13705704559037</v>
      </c>
      <c r="E171" s="171">
        <f>'[5]Sithe Positions '!$V170</f>
        <v>44.65699559243032</v>
      </c>
      <c r="F171" s="191">
        <f t="shared" si="8"/>
        <v>159.79405263802067</v>
      </c>
      <c r="G171" s="208">
        <f>'[5]Sithe Positions '!$AC170</f>
        <v>2311.4484175749376</v>
      </c>
      <c r="H171" s="208">
        <f>'[5]Sithe Positions '!$AO170</f>
        <v>-109.12506792924928</v>
      </c>
      <c r="I171" s="208">
        <f>'[5]Sithe Positions '!$AP170</f>
        <v>-42.325188801816637</v>
      </c>
      <c r="J171" s="209">
        <f t="shared" si="9"/>
        <v>-151.45025673106591</v>
      </c>
      <c r="K171" s="208">
        <f>'[5]Sithe Positions '!$BB170</f>
        <v>6075.7158959202388</v>
      </c>
      <c r="L171" s="208">
        <f>'[5]Sithe Positions '!$BD170</f>
        <v>16604.004030641823</v>
      </c>
      <c r="M171" s="208">
        <f t="shared" si="7"/>
        <v>22679.719926562062</v>
      </c>
      <c r="O171" s="171"/>
    </row>
    <row r="172" spans="1:15">
      <c r="A172" s="156">
        <v>41913</v>
      </c>
      <c r="C172" s="171">
        <f>'[5]Sithe Positions '!$I171</f>
        <v>-2506.4412562301404</v>
      </c>
      <c r="D172" s="171">
        <f>'[5]Sithe Positions '!$U171</f>
        <v>136.13380970200049</v>
      </c>
      <c r="E172" s="171">
        <f>'[5]Sithe Positions '!$V171</f>
        <v>45.895724336303012</v>
      </c>
      <c r="F172" s="191">
        <f t="shared" si="8"/>
        <v>182.0295340383035</v>
      </c>
      <c r="G172" s="208">
        <f>'[5]Sithe Positions '!$AC171</f>
        <v>2388.496698160769</v>
      </c>
      <c r="H172" s="208">
        <f>'[5]Sithe Positions '!$AO171</f>
        <v>-129.72781794628227</v>
      </c>
      <c r="I172" s="208">
        <f>'[5]Sithe Positions '!$AP171</f>
        <v>-43.736028428543861</v>
      </c>
      <c r="J172" s="209">
        <f t="shared" si="9"/>
        <v>-173.46384637482612</v>
      </c>
      <c r="K172" s="208">
        <f>'[5]Sithe Positions '!$BB171</f>
        <v>5925.7351600891197</v>
      </c>
      <c r="L172" s="208">
        <f>'[5]Sithe Positions '!$BD171</f>
        <v>16796.469786069702</v>
      </c>
      <c r="M172" s="208">
        <f t="shared" si="7"/>
        <v>22722.204946158821</v>
      </c>
      <c r="O172" s="171"/>
    </row>
    <row r="173" spans="1:15">
      <c r="A173" s="156">
        <v>41944</v>
      </c>
      <c r="C173" s="171">
        <f>'[5]Sithe Positions '!$I172</f>
        <v>-2412.7915391192723</v>
      </c>
      <c r="D173" s="171">
        <f>'[5]Sithe Positions '!$U172</f>
        <v>115.92337963965389</v>
      </c>
      <c r="E173" s="171">
        <f>'[5]Sithe Positions '!$V172</f>
        <v>44.180893960761786</v>
      </c>
      <c r="F173" s="191">
        <f t="shared" si="8"/>
        <v>160.10427360041567</v>
      </c>
      <c r="G173" s="208">
        <f>'[5]Sithe Positions '!$AC172</f>
        <v>2311.4484175749376</v>
      </c>
      <c r="H173" s="208">
        <f>'[5]Sithe Positions '!$AO172</f>
        <v>-111.05431533709097</v>
      </c>
      <c r="I173" s="208">
        <f>'[5]Sithe Positions '!$AP172</f>
        <v>-42.325188801816637</v>
      </c>
      <c r="J173" s="209">
        <f t="shared" si="9"/>
        <v>-153.37950413890761</v>
      </c>
      <c r="K173" s="208">
        <f>'[5]Sithe Positions '!$BB172</f>
        <v>6558.0602401660881</v>
      </c>
      <c r="L173" s="208">
        <f>'[5]Sithe Positions '!$BD172</f>
        <v>16996.100159566802</v>
      </c>
      <c r="M173" s="208">
        <f t="shared" si="7"/>
        <v>23554.160399732889</v>
      </c>
      <c r="O173" s="171"/>
    </row>
    <row r="174" spans="1:15">
      <c r="A174" s="156">
        <v>41974</v>
      </c>
      <c r="C174" s="171">
        <f>'[5]Sithe Positions '!$I173</f>
        <v>-2479.6908696299611</v>
      </c>
      <c r="D174" s="171">
        <f>'[5]Sithe Positions '!$U173</f>
        <v>115.03803662956778</v>
      </c>
      <c r="E174" s="171">
        <f>'[5]Sithe Positions '!$V173</f>
        <v>45.405895035001954</v>
      </c>
      <c r="F174" s="191">
        <f t="shared" si="8"/>
        <v>160.44393166456973</v>
      </c>
      <c r="G174" s="208">
        <f>'[5]Sithe Positions '!$AC173</f>
        <v>2388.496698160769</v>
      </c>
      <c r="H174" s="208">
        <f>'[5]Sithe Positions '!$AO173</f>
        <v>-110.80734861665368</v>
      </c>
      <c r="I174" s="208">
        <f>'[5]Sithe Positions '!$AP173</f>
        <v>-43.736028428543861</v>
      </c>
      <c r="J174" s="209">
        <f t="shared" si="9"/>
        <v>-154.54337704519753</v>
      </c>
      <c r="K174" s="208">
        <f>'[5]Sithe Positions '!$BB173</f>
        <v>7221.4880711569176</v>
      </c>
      <c r="L174" s="208">
        <f>'[5]Sithe Positions '!$BD173</f>
        <v>17202.824787964102</v>
      </c>
      <c r="M174" s="208">
        <f t="shared" si="7"/>
        <v>24424.312859121019</v>
      </c>
      <c r="O174" s="171"/>
    </row>
    <row r="175" spans="1:15">
      <c r="A175" s="156">
        <v>42005</v>
      </c>
      <c r="C175" s="171">
        <f>'[5]Sithe Positions '!$I174</f>
        <v>-2466.1843177743617</v>
      </c>
      <c r="D175" s="171">
        <f>'[5]Sithe Positions '!$U174</f>
        <v>103.35318496047692</v>
      </c>
      <c r="E175" s="171">
        <f>'[5]Sithe Positions '!$V174</f>
        <v>45.15857506324609</v>
      </c>
      <c r="F175" s="191">
        <f t="shared" si="8"/>
        <v>148.51176002372301</v>
      </c>
      <c r="G175" s="208">
        <f>'[5]Sithe Positions '!$AC174</f>
        <v>2388.496698160769</v>
      </c>
      <c r="H175" s="208">
        <f>'[5]Sithe Positions '!$AO174</f>
        <v>-100.0974417213386</v>
      </c>
      <c r="I175" s="208">
        <f>'[5]Sithe Positions '!$AP174</f>
        <v>-43.736028428543861</v>
      </c>
      <c r="J175" s="209">
        <f t="shared" si="9"/>
        <v>-143.83347014988246</v>
      </c>
      <c r="K175" s="208">
        <f>'[5]Sithe Positions '!$BB174</f>
        <v>5950.9719948086822</v>
      </c>
      <c r="L175" s="208">
        <f>'[5]Sithe Positions '!$BD174</f>
        <v>17401.071167185844</v>
      </c>
      <c r="M175" s="208">
        <f t="shared" si="7"/>
        <v>23352.043161994527</v>
      </c>
      <c r="O175" s="171"/>
    </row>
    <row r="176" spans="1:15">
      <c r="A176" s="156">
        <v>42036</v>
      </c>
      <c r="C176" s="171">
        <f>'[5]Sithe Positions '!$I175</f>
        <v>-2216.4432537685825</v>
      </c>
      <c r="D176" s="171">
        <f>'[5]Sithe Positions '!$U175</f>
        <v>94.748199867651977</v>
      </c>
      <c r="E176" s="171">
        <f>'[5]Sithe Positions '!$V175</f>
        <v>40.585538691229154</v>
      </c>
      <c r="F176" s="191">
        <f t="shared" si="8"/>
        <v>135.33373855888112</v>
      </c>
      <c r="G176" s="208">
        <f>'[5]Sithe Positions '!$AC175</f>
        <v>2157.3518564032752</v>
      </c>
      <c r="H176" s="208">
        <f>'[5]Sithe Positions '!$AO175</f>
        <v>-92.222169246968406</v>
      </c>
      <c r="I176" s="208">
        <f>'[5]Sithe Positions '!$AP175</f>
        <v>-39.503509548362203</v>
      </c>
      <c r="J176" s="209">
        <f t="shared" si="9"/>
        <v>-131.72567879533062</v>
      </c>
      <c r="K176" s="208">
        <f>'[5]Sithe Positions '!$BB175</f>
        <v>4838.2783884218716</v>
      </c>
      <c r="L176" s="208">
        <f>'[5]Sithe Positions '!$BD175</f>
        <v>17591.870135185036</v>
      </c>
      <c r="M176" s="208">
        <f t="shared" si="7"/>
        <v>22430.148523606906</v>
      </c>
      <c r="O176" s="171"/>
    </row>
    <row r="177" spans="1:15">
      <c r="A177" s="156">
        <v>42064</v>
      </c>
      <c r="C177" s="171">
        <f>'[5]Sithe Positions '!$I176</f>
        <v>-2440.6412413124895</v>
      </c>
      <c r="D177" s="171">
        <f>'[5]Sithe Positions '!$U176</f>
        <v>111.9510584222547</v>
      </c>
      <c r="E177" s="171">
        <f>'[5]Sithe Positions '!$V176</f>
        <v>44.690852952033133</v>
      </c>
      <c r="F177" s="191">
        <f t="shared" si="8"/>
        <v>156.64191137428784</v>
      </c>
      <c r="G177" s="208">
        <f>'[5]Sithe Positions '!$AC176</f>
        <v>2388.496698160769</v>
      </c>
      <c r="H177" s="208">
        <f>'[5]Sithe Positions '!$AO176</f>
        <v>-109.55921291134268</v>
      </c>
      <c r="I177" s="208">
        <f>'[5]Sithe Positions '!$AP176</f>
        <v>-43.736028428543854</v>
      </c>
      <c r="J177" s="209">
        <f t="shared" si="9"/>
        <v>-153.29524133988653</v>
      </c>
      <c r="K177" s="208">
        <f>'[5]Sithe Positions '!$BB176</f>
        <v>6585.7052001167367</v>
      </c>
      <c r="L177" s="208">
        <f>'[5]Sithe Positions '!$BD176</f>
        <v>17798.265310096154</v>
      </c>
      <c r="M177" s="208">
        <f t="shared" si="7"/>
        <v>24383.97051021289</v>
      </c>
      <c r="O177" s="171"/>
    </row>
    <row r="178" spans="1:15">
      <c r="A178" s="156">
        <v>42095</v>
      </c>
      <c r="C178" s="171">
        <f>'[5]Sithe Positions '!$I177</f>
        <v>-2349.3832999118936</v>
      </c>
      <c r="D178" s="171">
        <f>'[5]Sithe Positions '!$U177</f>
        <v>112.26171461508916</v>
      </c>
      <c r="E178" s="171">
        <f>'[5]Sithe Positions '!$V177</f>
        <v>43.019818647275564</v>
      </c>
      <c r="F178" s="191">
        <f t="shared" si="8"/>
        <v>155.28153326236472</v>
      </c>
      <c r="G178" s="208">
        <f>'[5]Sithe Positions '!$AC177</f>
        <v>2311.4484175749376</v>
      </c>
      <c r="H178" s="208">
        <f>'[5]Sithe Positions '!$AO177</f>
        <v>-110.44905384788781</v>
      </c>
      <c r="I178" s="208">
        <f>'[5]Sithe Positions '!$AP177</f>
        <v>-42.325188801816637</v>
      </c>
      <c r="J178" s="209">
        <f t="shared" si="9"/>
        <v>-152.77424264970443</v>
      </c>
      <c r="K178" s="208">
        <f>'[5]Sithe Positions '!$BB177</f>
        <v>5924.6059075244148</v>
      </c>
      <c r="L178" s="208">
        <f>'[5]Sithe Positions '!$BD177</f>
        <v>18001.646644614193</v>
      </c>
      <c r="M178" s="208">
        <f t="shared" si="7"/>
        <v>23926.252552138609</v>
      </c>
      <c r="O178" s="171"/>
    </row>
    <row r="179" spans="1:15">
      <c r="A179" s="156">
        <v>42125</v>
      </c>
      <c r="C179" s="171">
        <f>'[5]Sithe Positions '!$I178</f>
        <v>-2414.4559125427381</v>
      </c>
      <c r="D179" s="171">
        <f>'[5]Sithe Positions '!$U178</f>
        <v>122.72671224946457</v>
      </c>
      <c r="E179" s="171">
        <f>'[5]Sithe Positions '!$V178</f>
        <v>44.211370487449244</v>
      </c>
      <c r="F179" s="191">
        <f t="shared" si="8"/>
        <v>166.93808273691383</v>
      </c>
      <c r="G179" s="208">
        <f>'[5]Sithe Positions '!$AC178</f>
        <v>2388.496698160769</v>
      </c>
      <c r="H179" s="208">
        <f>'[5]Sithe Positions '!$AO178</f>
        <v>-121.40720626174789</v>
      </c>
      <c r="I179" s="208">
        <f>'[5]Sithe Positions '!$AP178</f>
        <v>-43.736028428543861</v>
      </c>
      <c r="J179" s="209">
        <f t="shared" si="9"/>
        <v>-165.14323469029176</v>
      </c>
      <c r="K179" s="208">
        <f>'[5]Sithe Positions '!$BB178</f>
        <v>5525.9783078638993</v>
      </c>
      <c r="L179" s="208">
        <f>'[5]Sithe Positions '!$BD178</f>
        <v>18203.336666753581</v>
      </c>
      <c r="M179" s="208">
        <f t="shared" si="7"/>
        <v>23729.314974617482</v>
      </c>
      <c r="O179" s="171"/>
    </row>
    <row r="180" spans="1:15">
      <c r="A180" s="156">
        <v>42156</v>
      </c>
      <c r="C180" s="171">
        <f>'[5]Sithe Positions '!$I179</f>
        <v>-2324.1503925717111</v>
      </c>
      <c r="D180" s="171">
        <f>'[5]Sithe Positions '!$U179</f>
        <v>96.376348148420064</v>
      </c>
      <c r="E180" s="171">
        <f>'[5]Sithe Positions '!$V179</f>
        <v>42.557776077313108</v>
      </c>
      <c r="F180" s="191">
        <f t="shared" si="8"/>
        <v>138.93412422573317</v>
      </c>
      <c r="G180" s="208">
        <f>'[5]Sithe Positions '!$AC179</f>
        <v>2311.4484175749376</v>
      </c>
      <c r="H180" s="208">
        <f>'[5]Sithe Positions '!$AO179</f>
        <v>-95.849630958183937</v>
      </c>
      <c r="I180" s="208">
        <f>'[5]Sithe Positions '!$AP179</f>
        <v>-42.325188801816637</v>
      </c>
      <c r="J180" s="209">
        <f t="shared" si="9"/>
        <v>-138.17481976000056</v>
      </c>
      <c r="K180" s="208">
        <f>'[5]Sithe Positions '!$BB179</f>
        <v>4247.8029101573338</v>
      </c>
      <c r="L180" s="208">
        <f>'[5]Sithe Positions '!$BD179</f>
        <v>18396.434664591186</v>
      </c>
      <c r="M180" s="208">
        <f t="shared" si="7"/>
        <v>22644.23757474852</v>
      </c>
      <c r="O180" s="171"/>
    </row>
    <row r="181" spans="1:15">
      <c r="A181" s="156">
        <v>42186</v>
      </c>
      <c r="C181" s="171">
        <f>'[5]Sithe Positions '!$I180</f>
        <v>-2388.496698160769</v>
      </c>
      <c r="D181" s="171">
        <f>'[5]Sithe Positions '!$U180</f>
        <v>90.005797269839917</v>
      </c>
      <c r="E181" s="171">
        <f>'[5]Sithe Positions '!$V180</f>
        <v>43.736028428543861</v>
      </c>
      <c r="F181" s="191">
        <f t="shared" si="8"/>
        <v>133.74182569838376</v>
      </c>
      <c r="G181" s="208">
        <f>'[5]Sithe Positions '!$AC180</f>
        <v>2388.496698160769</v>
      </c>
      <c r="H181" s="208">
        <f>'[5]Sithe Positions '!$AO180</f>
        <v>-90.005797269839903</v>
      </c>
      <c r="I181" s="208">
        <f>'[5]Sithe Positions '!$AP180</f>
        <v>-43.736028428543868</v>
      </c>
      <c r="J181" s="209">
        <f t="shared" si="9"/>
        <v>-133.74182569838376</v>
      </c>
      <c r="K181" s="208">
        <f>'[5]Sithe Positions '!$BB180</f>
        <v>2104.8261921537814</v>
      </c>
      <c r="L181" s="208">
        <f>'[5]Sithe Positions '!$BD180</f>
        <v>18573.24603933387</v>
      </c>
      <c r="M181" s="208">
        <f t="shared" si="7"/>
        <v>20678.072231487651</v>
      </c>
    </row>
    <row r="182" spans="1:15">
      <c r="A182" s="156">
        <v>42217</v>
      </c>
      <c r="C182" s="167"/>
      <c r="D182" s="168"/>
      <c r="E182" s="169"/>
      <c r="F182" s="168"/>
      <c r="G182" s="167"/>
      <c r="H182" s="170"/>
      <c r="I182" s="170"/>
      <c r="J182" s="170"/>
      <c r="K182" s="167"/>
      <c r="L182" s="170"/>
      <c r="M182" s="171"/>
    </row>
    <row r="183" spans="1:15">
      <c r="C183" s="167"/>
      <c r="D183" s="168"/>
      <c r="E183" s="169"/>
      <c r="F183" s="168"/>
      <c r="G183" s="167"/>
      <c r="H183" s="170"/>
      <c r="I183" s="170"/>
      <c r="J183" s="170"/>
      <c r="K183" s="167"/>
      <c r="L183" s="170"/>
      <c r="M183" s="171"/>
    </row>
  </sheetData>
  <mergeCells count="2">
    <mergeCell ref="B1:J1"/>
    <mergeCell ref="K1:M1"/>
  </mergeCells>
  <phoneticPr fontId="0" type="noConversion"/>
  <pageMargins left="0.75" right="0.75" top="1" bottom="1" header="0.5" footer="0.5"/>
  <pageSetup scale="61" fitToHeight="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71"/>
  <sheetViews>
    <sheetView workbookViewId="0">
      <selection activeCell="K39" sqref="K39"/>
    </sheetView>
  </sheetViews>
  <sheetFormatPr defaultRowHeight="11.25"/>
  <cols>
    <col min="1" max="1" width="9.140625" style="156"/>
    <col min="2" max="16384" width="9.140625" style="157"/>
  </cols>
  <sheetData>
    <row r="7" spans="1:1">
      <c r="A7" s="160" t="s">
        <v>41</v>
      </c>
    </row>
    <row r="8" spans="1:1">
      <c r="A8" s="156" t="s">
        <v>68</v>
      </c>
    </row>
    <row r="9" spans="1:1">
      <c r="A9" s="156">
        <v>36982</v>
      </c>
    </row>
    <row r="10" spans="1:1">
      <c r="A10" s="156">
        <v>37012</v>
      </c>
    </row>
    <row r="11" spans="1:1">
      <c r="A11" s="156">
        <v>37043</v>
      </c>
    </row>
    <row r="12" spans="1:1">
      <c r="A12" s="156">
        <v>37073</v>
      </c>
    </row>
    <row r="13" spans="1:1">
      <c r="A13" s="156">
        <v>37104</v>
      </c>
    </row>
    <row r="14" spans="1:1">
      <c r="A14" s="156">
        <v>37135</v>
      </c>
    </row>
    <row r="15" spans="1:1">
      <c r="A15" s="156">
        <v>37165</v>
      </c>
    </row>
    <row r="16" spans="1:1">
      <c r="A16" s="156">
        <v>37196</v>
      </c>
    </row>
    <row r="17" spans="1:1">
      <c r="A17" s="156">
        <v>37226</v>
      </c>
    </row>
    <row r="18" spans="1:1">
      <c r="A18" s="156">
        <v>37257</v>
      </c>
    </row>
    <row r="19" spans="1:1">
      <c r="A19" s="156">
        <v>37288</v>
      </c>
    </row>
    <row r="20" spans="1:1">
      <c r="A20" s="156">
        <v>37316</v>
      </c>
    </row>
    <row r="21" spans="1:1">
      <c r="A21" s="156">
        <v>37347</v>
      </c>
    </row>
    <row r="22" spans="1:1">
      <c r="A22" s="156">
        <v>37377</v>
      </c>
    </row>
    <row r="23" spans="1:1">
      <c r="A23" s="156">
        <v>37408</v>
      </c>
    </row>
    <row r="24" spans="1:1">
      <c r="A24" s="156">
        <v>37438</v>
      </c>
    </row>
    <row r="25" spans="1:1">
      <c r="A25" s="156">
        <v>37469</v>
      </c>
    </row>
    <row r="26" spans="1:1">
      <c r="A26" s="156">
        <v>37500</v>
      </c>
    </row>
    <row r="27" spans="1:1">
      <c r="A27" s="156">
        <v>37530</v>
      </c>
    </row>
    <row r="28" spans="1:1">
      <c r="A28" s="156">
        <v>37561</v>
      </c>
    </row>
    <row r="29" spans="1:1">
      <c r="A29" s="156">
        <v>37591</v>
      </c>
    </row>
    <row r="30" spans="1:1">
      <c r="A30" s="156">
        <v>37622</v>
      </c>
    </row>
    <row r="31" spans="1:1">
      <c r="A31" s="156">
        <v>37653</v>
      </c>
    </row>
    <row r="32" spans="1:1">
      <c r="A32" s="156">
        <v>37681</v>
      </c>
    </row>
    <row r="33" spans="1:1">
      <c r="A33" s="156">
        <v>37712</v>
      </c>
    </row>
    <row r="34" spans="1:1">
      <c r="A34" s="156">
        <v>37742</v>
      </c>
    </row>
    <row r="35" spans="1:1">
      <c r="A35" s="156">
        <v>37773</v>
      </c>
    </row>
    <row r="36" spans="1:1">
      <c r="A36" s="156">
        <v>37803</v>
      </c>
    </row>
    <row r="37" spans="1:1">
      <c r="A37" s="156">
        <v>37834</v>
      </c>
    </row>
    <row r="38" spans="1:1">
      <c r="A38" s="156">
        <v>37865</v>
      </c>
    </row>
    <row r="39" spans="1:1">
      <c r="A39" s="156">
        <v>37895</v>
      </c>
    </row>
    <row r="40" spans="1:1">
      <c r="A40" s="156">
        <v>37926</v>
      </c>
    </row>
    <row r="41" spans="1:1">
      <c r="A41" s="156">
        <v>37956</v>
      </c>
    </row>
    <row r="42" spans="1:1">
      <c r="A42" s="156">
        <v>37987</v>
      </c>
    </row>
    <row r="43" spans="1:1">
      <c r="A43" s="156">
        <v>38018</v>
      </c>
    </row>
    <row r="44" spans="1:1">
      <c r="A44" s="156">
        <v>38047</v>
      </c>
    </row>
    <row r="45" spans="1:1">
      <c r="A45" s="156">
        <v>38078</v>
      </c>
    </row>
    <row r="46" spans="1:1">
      <c r="A46" s="156">
        <v>38108</v>
      </c>
    </row>
    <row r="47" spans="1:1">
      <c r="A47" s="156">
        <v>38139</v>
      </c>
    </row>
    <row r="48" spans="1:1">
      <c r="A48" s="156">
        <v>38169</v>
      </c>
    </row>
    <row r="49" spans="1:1">
      <c r="A49" s="156">
        <v>38200</v>
      </c>
    </row>
    <row r="50" spans="1:1">
      <c r="A50" s="156">
        <v>38231</v>
      </c>
    </row>
    <row r="51" spans="1:1">
      <c r="A51" s="156">
        <v>38261</v>
      </c>
    </row>
    <row r="52" spans="1:1">
      <c r="A52" s="156">
        <v>38292</v>
      </c>
    </row>
    <row r="53" spans="1:1">
      <c r="A53" s="156">
        <v>38322</v>
      </c>
    </row>
    <row r="54" spans="1:1">
      <c r="A54" s="156">
        <v>38353</v>
      </c>
    </row>
    <row r="55" spans="1:1">
      <c r="A55" s="156">
        <v>38384</v>
      </c>
    </row>
    <row r="56" spans="1:1">
      <c r="A56" s="156">
        <v>38412</v>
      </c>
    </row>
    <row r="57" spans="1:1">
      <c r="A57" s="156">
        <v>38443</v>
      </c>
    </row>
    <row r="58" spans="1:1">
      <c r="A58" s="156">
        <v>38473</v>
      </c>
    </row>
    <row r="59" spans="1:1">
      <c r="A59" s="156">
        <v>38504</v>
      </c>
    </row>
    <row r="60" spans="1:1">
      <c r="A60" s="156">
        <v>38534</v>
      </c>
    </row>
    <row r="61" spans="1:1">
      <c r="A61" s="156">
        <v>38565</v>
      </c>
    </row>
    <row r="62" spans="1:1">
      <c r="A62" s="156">
        <v>38596</v>
      </c>
    </row>
    <row r="63" spans="1:1">
      <c r="A63" s="156">
        <v>38626</v>
      </c>
    </row>
    <row r="64" spans="1:1">
      <c r="A64" s="156">
        <v>38657</v>
      </c>
    </row>
    <row r="65" spans="1:1">
      <c r="A65" s="156">
        <v>38687</v>
      </c>
    </row>
    <row r="66" spans="1:1">
      <c r="A66" s="156">
        <v>38718</v>
      </c>
    </row>
    <row r="67" spans="1:1">
      <c r="A67" s="156">
        <v>38749</v>
      </c>
    </row>
    <row r="68" spans="1:1">
      <c r="A68" s="156">
        <v>38777</v>
      </c>
    </row>
    <row r="69" spans="1:1">
      <c r="A69" s="156">
        <v>38808</v>
      </c>
    </row>
    <row r="70" spans="1:1">
      <c r="A70" s="156">
        <v>38838</v>
      </c>
    </row>
    <row r="71" spans="1:1">
      <c r="A71" s="156">
        <v>38869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45"/>
  <sheetViews>
    <sheetView showGridLines="0" workbookViewId="0">
      <pane xSplit="1" ySplit="3" topLeftCell="K4" activePane="bottomRight" state="frozenSplit"/>
      <selection pane="topRight" activeCell="B1" sqref="B1"/>
      <selection pane="bottomLeft" activeCell="A4" sqref="A4"/>
      <selection pane="bottomRight" activeCell="O6" sqref="O6"/>
    </sheetView>
  </sheetViews>
  <sheetFormatPr defaultRowHeight="11.25"/>
  <cols>
    <col min="1" max="1" width="16.28515625" style="156" customWidth="1"/>
    <col min="2" max="2" width="3.7109375" style="157" customWidth="1"/>
    <col min="3" max="3" width="13.28515625" style="157" customWidth="1"/>
    <col min="4" max="4" width="17.42578125" style="157" customWidth="1"/>
    <col min="5" max="6" width="9.42578125" style="157" customWidth="1"/>
    <col min="7" max="7" width="17" style="157" customWidth="1"/>
    <col min="8" max="8" width="16" style="157" customWidth="1"/>
    <col min="9" max="9" width="19.28515625" style="157" customWidth="1"/>
    <col min="10" max="10" width="16.140625" style="157" customWidth="1"/>
    <col min="11" max="13" width="15.85546875" style="157" customWidth="1"/>
    <col min="14" max="14" width="16.28515625" style="157" customWidth="1"/>
    <col min="15" max="15" width="14.5703125" style="157" customWidth="1"/>
    <col min="16" max="16384" width="9.140625" style="157"/>
  </cols>
  <sheetData>
    <row r="2" spans="1:16" s="159" customFormat="1">
      <c r="A2" s="160"/>
      <c r="C2" s="183" t="s">
        <v>69</v>
      </c>
      <c r="D2" s="245" t="s">
        <v>70</v>
      </c>
      <c r="E2" s="246"/>
      <c r="F2" s="247"/>
      <c r="G2" s="162" t="s">
        <v>71</v>
      </c>
      <c r="H2" s="162" t="s">
        <v>72</v>
      </c>
      <c r="I2" s="162" t="s">
        <v>73</v>
      </c>
      <c r="J2" s="162" t="s">
        <v>74</v>
      </c>
      <c r="K2" s="162" t="s">
        <v>75</v>
      </c>
      <c r="L2" s="162" t="s">
        <v>76</v>
      </c>
      <c r="M2" s="162" t="s">
        <v>69</v>
      </c>
      <c r="N2" s="162" t="s">
        <v>77</v>
      </c>
    </row>
    <row r="3" spans="1:16">
      <c r="C3" s="184">
        <v>36964</v>
      </c>
      <c r="D3" s="192"/>
      <c r="E3" s="193"/>
      <c r="F3" s="194"/>
      <c r="G3" s="163"/>
      <c r="H3" s="162"/>
      <c r="I3" s="162"/>
      <c r="J3" s="163"/>
      <c r="K3" s="163"/>
      <c r="L3" s="162"/>
      <c r="M3" s="182">
        <v>36970</v>
      </c>
      <c r="N3" s="162" t="s">
        <v>3</v>
      </c>
      <c r="O3" s="159"/>
    </row>
    <row r="4" spans="1:16">
      <c r="C4" s="183"/>
      <c r="D4" s="192"/>
      <c r="E4" s="193"/>
      <c r="F4" s="194"/>
      <c r="G4" s="163"/>
      <c r="H4" s="162"/>
      <c r="I4" s="162"/>
      <c r="J4" s="163"/>
      <c r="K4" s="163"/>
      <c r="L4" s="162"/>
      <c r="M4" s="162"/>
      <c r="N4" s="163"/>
      <c r="O4" s="159"/>
    </row>
    <row r="5" spans="1:16">
      <c r="C5" s="185"/>
      <c r="D5" s="192"/>
      <c r="E5" s="161"/>
      <c r="F5" s="186"/>
      <c r="H5" s="159"/>
      <c r="I5" s="159"/>
      <c r="L5" s="159"/>
      <c r="M5" s="159"/>
    </row>
    <row r="6" spans="1:16">
      <c r="C6" s="186"/>
      <c r="D6" s="192"/>
      <c r="E6" s="161"/>
      <c r="F6" s="186"/>
    </row>
    <row r="7" spans="1:16">
      <c r="A7" s="160"/>
      <c r="C7" s="187" t="s">
        <v>83</v>
      </c>
      <c r="D7" s="201"/>
      <c r="E7" s="158"/>
      <c r="F7" s="195" t="s">
        <v>83</v>
      </c>
      <c r="G7" s="158"/>
      <c r="H7" s="158"/>
      <c r="I7" s="158"/>
      <c r="J7" s="158"/>
      <c r="K7" s="158"/>
      <c r="L7" s="158"/>
      <c r="M7" s="158"/>
      <c r="N7" s="158"/>
      <c r="O7" s="161"/>
      <c r="P7" s="161"/>
    </row>
    <row r="8" spans="1:16">
      <c r="A8" s="160"/>
      <c r="C8" s="186"/>
      <c r="D8" s="192"/>
      <c r="E8" s="161"/>
      <c r="F8" s="196"/>
      <c r="G8" s="161"/>
      <c r="H8" s="161"/>
      <c r="I8" s="161"/>
      <c r="J8" s="161"/>
      <c r="K8" s="161"/>
      <c r="L8" s="161"/>
      <c r="M8" s="161"/>
      <c r="N8" s="161"/>
      <c r="O8" s="161"/>
    </row>
    <row r="9" spans="1:16">
      <c r="A9" s="174" t="s">
        <v>56</v>
      </c>
      <c r="C9" s="188"/>
      <c r="D9" s="192"/>
      <c r="E9" s="161"/>
      <c r="F9" s="196"/>
      <c r="G9" s="161"/>
      <c r="H9" s="161"/>
      <c r="I9" s="161"/>
      <c r="J9" s="161"/>
      <c r="K9" s="161"/>
      <c r="L9" s="161"/>
      <c r="M9" s="161"/>
      <c r="N9" s="161"/>
      <c r="O9" s="161"/>
    </row>
    <row r="10" spans="1:16">
      <c r="A10" s="160"/>
      <c r="C10" s="188"/>
      <c r="D10" s="192"/>
      <c r="E10" s="161"/>
      <c r="F10" s="196"/>
      <c r="G10" s="161"/>
      <c r="H10" s="161"/>
      <c r="I10" s="161"/>
      <c r="J10" s="161"/>
      <c r="K10" s="161"/>
      <c r="L10" s="161"/>
      <c r="M10" s="161"/>
      <c r="N10" s="161"/>
      <c r="O10" s="161"/>
    </row>
    <row r="11" spans="1:16">
      <c r="A11" s="159" t="s">
        <v>51</v>
      </c>
      <c r="C11" s="188">
        <f>[5]Summary!$F$7</f>
        <v>-3052068.5058675953</v>
      </c>
      <c r="D11" s="200">
        <f>[5]Summary!$G$7</f>
        <v>-645.15991812464722</v>
      </c>
      <c r="E11" s="175" t="s">
        <v>82</v>
      </c>
      <c r="F11" s="197">
        <f>[5]Summary!$I$7</f>
        <v>-24337.886949540582</v>
      </c>
      <c r="G11" s="161">
        <f>[5]Summary!$J$7</f>
        <v>0</v>
      </c>
      <c r="H11" s="175">
        <f>[5]Summary!$K$7</f>
        <v>0</v>
      </c>
      <c r="I11" s="175">
        <f>[5]Summary!$L$7</f>
        <v>-22403.758975274395</v>
      </c>
      <c r="J11" s="173">
        <f>[5]Summary!$M$7</f>
        <v>0</v>
      </c>
      <c r="K11" s="177"/>
      <c r="L11" s="161"/>
      <c r="M11" s="179">
        <f>[5]Summary!$P$7/1000</f>
        <v>-3052.0685058675954</v>
      </c>
      <c r="N11" s="175">
        <f>[5]Summary!$R$7</f>
        <v>-360524.50586759532</v>
      </c>
      <c r="O11" s="161"/>
    </row>
    <row r="12" spans="1:16">
      <c r="A12" s="159"/>
      <c r="C12" s="186"/>
      <c r="D12" s="198"/>
      <c r="E12" s="161"/>
      <c r="F12" s="196"/>
      <c r="G12" s="161"/>
      <c r="H12" s="161"/>
      <c r="I12" s="161"/>
      <c r="J12" s="161"/>
      <c r="K12" s="161"/>
      <c r="L12" s="161"/>
      <c r="M12" s="161"/>
      <c r="N12" s="161"/>
      <c r="O12" s="161"/>
    </row>
    <row r="13" spans="1:16">
      <c r="A13" s="160"/>
      <c r="C13" s="186"/>
      <c r="D13" s="198"/>
      <c r="E13" s="161"/>
      <c r="F13" s="196"/>
      <c r="G13" s="161"/>
      <c r="H13" s="161"/>
      <c r="I13" s="161"/>
      <c r="J13" s="161"/>
      <c r="K13" s="161"/>
      <c r="L13" s="161"/>
      <c r="M13" s="161"/>
      <c r="N13" s="161"/>
      <c r="O13" s="161"/>
    </row>
    <row r="14" spans="1:16">
      <c r="C14" s="186"/>
      <c r="D14" s="198"/>
      <c r="E14" s="161"/>
      <c r="F14" s="196"/>
    </row>
    <row r="15" spans="1:16">
      <c r="A15" s="159" t="s">
        <v>55</v>
      </c>
      <c r="C15" s="189">
        <f>[5]Summary!$F$9</f>
        <v>1835751.6450671388</v>
      </c>
      <c r="D15" s="200">
        <f>[5]Summary!$G$9</f>
        <v>37664.3369746315</v>
      </c>
      <c r="E15" s="175" t="s">
        <v>81</v>
      </c>
      <c r="F15" s="197">
        <f>[5]Summary!$I$9</f>
        <v>-36761.308333572699</v>
      </c>
      <c r="G15" s="170">
        <f>[5]Summary!$J$9</f>
        <v>0</v>
      </c>
      <c r="H15" s="170">
        <f>[5]Summary!$K$9</f>
        <v>0</v>
      </c>
      <c r="I15" s="170">
        <f>[5]Summary!$L$9</f>
        <v>13322.55033834069</v>
      </c>
      <c r="J15" s="176">
        <f>[5]Summary!$M$9</f>
        <v>0</v>
      </c>
      <c r="K15" s="178"/>
      <c r="M15" s="180">
        <f>[5]Summary!$P$9/1000</f>
        <v>1835.7516450671387</v>
      </c>
      <c r="N15" s="170">
        <f>[5]Summary!$R$9</f>
        <v>-33413.35493286117</v>
      </c>
    </row>
    <row r="16" spans="1:16">
      <c r="A16" s="159"/>
      <c r="C16" s="190"/>
      <c r="D16" s="199"/>
      <c r="E16" s="158"/>
      <c r="F16" s="195"/>
      <c r="G16" s="158"/>
      <c r="H16" s="158"/>
      <c r="I16" s="158"/>
      <c r="J16" s="158"/>
      <c r="K16" s="158"/>
      <c r="L16" s="158"/>
      <c r="M16" s="158"/>
      <c r="N16" s="158"/>
    </row>
    <row r="17" spans="1:14">
      <c r="A17" s="159"/>
      <c r="C17" s="186"/>
      <c r="D17" s="198"/>
      <c r="E17" s="161"/>
      <c r="F17" s="196"/>
    </row>
    <row r="18" spans="1:14">
      <c r="A18" s="159"/>
      <c r="C18" s="186"/>
      <c r="D18" s="198"/>
      <c r="E18" s="161"/>
      <c r="F18" s="196"/>
    </row>
    <row r="19" spans="1:14">
      <c r="C19" s="186"/>
      <c r="D19" s="198"/>
      <c r="E19" s="161"/>
      <c r="F19" s="196"/>
    </row>
    <row r="20" spans="1:14">
      <c r="A20" s="174" t="s">
        <v>57</v>
      </c>
      <c r="C20" s="186"/>
      <c r="D20" s="198"/>
      <c r="E20" s="161"/>
      <c r="F20" s="196"/>
    </row>
    <row r="21" spans="1:14">
      <c r="A21" s="159"/>
      <c r="C21" s="186"/>
      <c r="D21" s="198"/>
      <c r="E21" s="161"/>
      <c r="F21" s="196"/>
    </row>
    <row r="22" spans="1:14">
      <c r="A22" s="159" t="s">
        <v>58</v>
      </c>
      <c r="C22" s="188">
        <f>[5]Summary!$F$13</f>
        <v>1921606.2691913017</v>
      </c>
      <c r="D22" s="200">
        <f>[5]Summary!$G$13</f>
        <v>403.34774886682652</v>
      </c>
      <c r="E22" s="175" t="s">
        <v>82</v>
      </c>
      <c r="F22" s="197">
        <f>[5]Summary!$I$13</f>
        <v>-23590.256418458652</v>
      </c>
      <c r="G22" s="170">
        <f>[5]Summary!$J$13</f>
        <v>0</v>
      </c>
      <c r="H22" s="170">
        <f>[5]Summary!$K$13</f>
        <v>0</v>
      </c>
      <c r="I22" s="170">
        <f>[5]Summary!$L$13</f>
        <v>24302.163233925588</v>
      </c>
      <c r="J22" s="176">
        <f>[5]Summary!$M$13</f>
        <v>0</v>
      </c>
      <c r="M22" s="176">
        <f>[5]Summary!$P$13</f>
        <v>1921606.2691913017</v>
      </c>
      <c r="N22" s="170">
        <f>[5]Summary!$R$13</f>
        <v>312313.26919130166</v>
      </c>
    </row>
    <row r="23" spans="1:14">
      <c r="A23" s="159"/>
      <c r="C23" s="186"/>
      <c r="D23" s="198"/>
      <c r="E23" s="161"/>
      <c r="F23" s="196"/>
    </row>
    <row r="24" spans="1:14">
      <c r="C24" s="186"/>
      <c r="D24" s="198"/>
      <c r="E24" s="161"/>
      <c r="F24" s="196"/>
    </row>
    <row r="25" spans="1:14">
      <c r="A25" s="159" t="s">
        <v>55</v>
      </c>
      <c r="C25" s="191">
        <f>[5]Summary!$F$15</f>
        <v>-1149294.6137046246</v>
      </c>
      <c r="D25" s="202">
        <f>[5]Summary!$G$15</f>
        <v>-23894.483256206582</v>
      </c>
      <c r="E25" s="175" t="s">
        <v>81</v>
      </c>
      <c r="F25" s="197">
        <f>[5]Summary!$I$15</f>
        <v>43938.705406557769</v>
      </c>
      <c r="G25" s="170">
        <f>[5]Summary!$J$15</f>
        <v>0</v>
      </c>
      <c r="H25" s="170">
        <f>[5]Summary!$K$15</f>
        <v>0</v>
      </c>
      <c r="I25" s="170">
        <f>[5]Summary!$L$15</f>
        <v>-14534.894975063624</v>
      </c>
      <c r="J25" s="176">
        <f>[5]Summary!$M$15</f>
        <v>0</v>
      </c>
      <c r="M25" s="176">
        <f>[5]Summary!$P$15</f>
        <v>-1149294.6137046246</v>
      </c>
      <c r="N25" s="170">
        <f>[5]Summary!$R$15</f>
        <v>-15079.613704624586</v>
      </c>
    </row>
    <row r="26" spans="1:14">
      <c r="A26" s="159"/>
      <c r="C26" s="190"/>
      <c r="D26" s="199"/>
      <c r="E26" s="158"/>
      <c r="F26" s="190"/>
      <c r="G26" s="158"/>
      <c r="H26" s="158"/>
      <c r="I26" s="158"/>
      <c r="J26" s="158"/>
      <c r="K26" s="158"/>
      <c r="L26" s="158"/>
      <c r="M26" s="158"/>
      <c r="N26" s="158"/>
    </row>
    <row r="27" spans="1:14">
      <c r="A27" s="159"/>
    </row>
    <row r="28" spans="1:14"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</row>
    <row r="29" spans="1:14">
      <c r="A29" s="159" t="s">
        <v>57</v>
      </c>
    </row>
    <row r="30" spans="1:14">
      <c r="A30" s="159" t="s">
        <v>66</v>
      </c>
      <c r="C30" s="176">
        <f>[5]Summary!$F$16+'[5]Sithe Positions '!$BB$8</f>
        <v>902038.16803572187</v>
      </c>
      <c r="M30" s="176">
        <f>[5]Summary!$P$16+'[5]Sithe Positions '!$BB$8</f>
        <v>902038.16803572187</v>
      </c>
      <c r="N30" s="170">
        <f>[5]Summary!$Q$16+'[5]Sithe Positions '!$BB$8</f>
        <v>426960.16803572193</v>
      </c>
    </row>
    <row r="32" spans="1:14">
      <c r="A32" s="157" t="s">
        <v>64</v>
      </c>
    </row>
    <row r="33" spans="1:14">
      <c r="A33" s="157" t="s">
        <v>65</v>
      </c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81">
        <f>'[5]Sithe Positions '!$BD$3</f>
        <v>1351398.9237026526</v>
      </c>
      <c r="N33" s="158"/>
    </row>
    <row r="35" spans="1:14">
      <c r="A35" s="159" t="s">
        <v>57</v>
      </c>
    </row>
    <row r="36" spans="1:14">
      <c r="A36" s="159" t="s">
        <v>67</v>
      </c>
      <c r="C36" s="176" t="s">
        <v>7</v>
      </c>
      <c r="M36" s="176">
        <f>M30+M33</f>
        <v>2253437.0917383744</v>
      </c>
    </row>
    <row r="37" spans="1:14">
      <c r="A37" s="159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</row>
    <row r="38" spans="1:14">
      <c r="A38" s="159"/>
    </row>
    <row r="40" spans="1:14">
      <c r="A40" s="160" t="s">
        <v>78</v>
      </c>
      <c r="C40" s="171">
        <v>250000</v>
      </c>
      <c r="M40" s="171">
        <v>250000</v>
      </c>
    </row>
    <row r="41" spans="1:14"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</row>
    <row r="44" spans="1:14" ht="12" thickBot="1"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</row>
    <row r="45" spans="1:14" ht="12" thickTop="1"/>
  </sheetData>
  <mergeCells count="1">
    <mergeCell ref="D2:F2"/>
  </mergeCells>
  <phoneticPr fontId="0" type="noConversion"/>
  <pageMargins left="0.75" right="0.75" top="1" bottom="1" header="0.5" footer="0.5"/>
  <pageSetup scale="6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size="44" baseType="lpstr">
      <vt:lpstr>Summary</vt:lpstr>
      <vt:lpstr>Americas</vt:lpstr>
      <vt:lpstr>Europe</vt:lpstr>
      <vt:lpstr>Global Assets</vt:lpstr>
      <vt:lpstr>Capital Portfolio</vt:lpstr>
      <vt:lpstr>Sithe - Contract Position</vt:lpstr>
      <vt:lpstr>Sithe - Plant Value</vt:lpstr>
      <vt:lpstr>Sithe - MTM P&amp;L</vt:lpstr>
      <vt:lpstr>Americas!nr_dpr_ect_group_and_other</vt:lpstr>
      <vt:lpstr>'Global Assets'!nr_dpr_ect_group_and_other</vt:lpstr>
      <vt:lpstr>Summary!nr_dpr_ect_group_and_other</vt:lpstr>
      <vt:lpstr>'Capital Portfolio'!nr_dpr_enron_asia_africa</vt:lpstr>
      <vt:lpstr>Americas!nr_dpr_enron_europe</vt:lpstr>
      <vt:lpstr>Europe!nr_dpr_enron_europe</vt:lpstr>
      <vt:lpstr>'Global Assets'!nr_dpr_enron_europe</vt:lpstr>
      <vt:lpstr>Summary!nr_dpr_enron_europe</vt:lpstr>
      <vt:lpstr>Americas!nr_dpr_enron_northamerica</vt:lpstr>
      <vt:lpstr>'Capital Portfolio'!nr_dpr_enron_northamerica</vt:lpstr>
      <vt:lpstr>Europe!nr_dpr_enron_northamerica</vt:lpstr>
      <vt:lpstr>'Global Assets'!nr_dpr_enron_northamerica</vt:lpstr>
      <vt:lpstr>Summary!nr_dpr_enron_northamerica</vt:lpstr>
      <vt:lpstr>'Capital Portfolio'!nr_dpr_enron_southamerica</vt:lpstr>
      <vt:lpstr>Europe!nr_dpr_enron_southamerica</vt:lpstr>
      <vt:lpstr>'Global Assets'!nr_dpr_enron_southamerica</vt:lpstr>
      <vt:lpstr>Americas!nr_dpr_footer_and_totals</vt:lpstr>
      <vt:lpstr>Americas!nr_dpr_gas_assets</vt:lpstr>
      <vt:lpstr>'Capital Portfolio'!nr_dpr_gas_assets</vt:lpstr>
      <vt:lpstr>Europe!nr_dpr_gas_assets</vt:lpstr>
      <vt:lpstr>'Global Assets'!nr_dpr_gas_assets</vt:lpstr>
      <vt:lpstr>Americas!nr_dpr_header</vt:lpstr>
      <vt:lpstr>'Capital Portfolio'!nr_dpr_header</vt:lpstr>
      <vt:lpstr>Europe!nr_dpr_header</vt:lpstr>
      <vt:lpstr>'Global Assets'!nr_dpr_header</vt:lpstr>
      <vt:lpstr>Summary!nr_dpr_header</vt:lpstr>
      <vt:lpstr>Americas!nr_dpr_originations</vt:lpstr>
      <vt:lpstr>'Capital Portfolio'!nr_dpr_originations</vt:lpstr>
      <vt:lpstr>Europe!nr_dpr_originations</vt:lpstr>
      <vt:lpstr>'Global Assets'!nr_dpr_originations</vt:lpstr>
      <vt:lpstr>'Capital Portfolio'!nr_dpr_total_trading_with_originations</vt:lpstr>
      <vt:lpstr>Americas!Print_Area</vt:lpstr>
      <vt:lpstr>'Capital Portfolio'!Print_Area</vt:lpstr>
      <vt:lpstr>Europe!Print_Area</vt:lpstr>
      <vt:lpstr>'Global Assets'!Print_Area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dport</dc:creator>
  <dc:description>- Oracle 8i ODBC QueryFix Applied</dc:description>
  <cp:lastModifiedBy>Felienne</cp:lastModifiedBy>
  <cp:lastPrinted>2001-04-05T18:36:47Z</cp:lastPrinted>
  <dcterms:created xsi:type="dcterms:W3CDTF">2000-11-29T23:43:08Z</dcterms:created>
  <dcterms:modified xsi:type="dcterms:W3CDTF">2014-09-05T11:14:32Z</dcterms:modified>
</cp:coreProperties>
</file>