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152511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C11" i="5" s="1"/>
  <c r="H10" i="5"/>
  <c r="I10" i="5"/>
  <c r="A11" i="5"/>
  <c r="B11" i="5"/>
  <c r="I11" i="5"/>
  <c r="B12" i="5"/>
  <c r="B13" i="5"/>
  <c r="B14" i="5"/>
  <c r="B15" i="5"/>
  <c r="B16" i="5" s="1"/>
  <c r="B17" i="5" s="1"/>
  <c r="B18" i="5" s="1"/>
  <c r="B19" i="5" s="1"/>
  <c r="B20" i="5" s="1"/>
  <c r="A23" i="5"/>
  <c r="C42" i="5"/>
  <c r="G42" i="5"/>
  <c r="H42" i="5"/>
  <c r="I42" i="5"/>
  <c r="A43" i="5"/>
  <c r="I43" i="5" s="1"/>
  <c r="B43" i="5"/>
  <c r="C43" i="5"/>
  <c r="A44" i="5"/>
  <c r="A12" i="5" s="1"/>
  <c r="I12" i="5" s="1"/>
  <c r="B44" i="5"/>
  <c r="B45" i="5" s="1"/>
  <c r="B46" i="5" s="1"/>
  <c r="B47" i="5" s="1"/>
  <c r="B48" i="5" s="1"/>
  <c r="B49" i="5" s="1"/>
  <c r="B50" i="5" s="1"/>
  <c r="B51" i="5" s="1"/>
  <c r="B52" i="5" s="1"/>
  <c r="E53" i="5"/>
  <c r="A55" i="5"/>
  <c r="B4" i="6"/>
  <c r="D8" i="6"/>
  <c r="D9" i="6" s="1"/>
  <c r="B58" i="6" s="1"/>
  <c r="A64" i="5" s="1"/>
  <c r="A65" i="5" s="1"/>
  <c r="B15" i="6"/>
  <c r="B16" i="6"/>
  <c r="D16" i="6"/>
  <c r="A24" i="6"/>
  <c r="B32" i="6"/>
  <c r="B42" i="6"/>
  <c r="B43" i="6"/>
  <c r="F43" i="6"/>
  <c r="B44" i="6" s="1"/>
  <c r="F49" i="6"/>
  <c r="B60" i="6"/>
  <c r="D65" i="5" s="1"/>
  <c r="B61" i="6"/>
  <c r="B66" i="6"/>
  <c r="D68" i="6" s="1"/>
  <c r="D67" i="6"/>
  <c r="B69" i="6"/>
  <c r="D69" i="6" s="1"/>
  <c r="D70" i="6" s="1"/>
  <c r="E7" i="3"/>
  <c r="I7" i="3"/>
  <c r="L7" i="3"/>
  <c r="I21" i="4" s="1"/>
  <c r="M14" i="4" s="1"/>
  <c r="M7" i="3"/>
  <c r="D15" i="1" s="1"/>
  <c r="D13" i="1" s="1"/>
  <c r="N7" i="3"/>
  <c r="O7" i="3"/>
  <c r="P7" i="3"/>
  <c r="S7" i="3"/>
  <c r="S9" i="3"/>
  <c r="S10" i="3" s="1"/>
  <c r="S11" i="3" s="1"/>
  <c r="H2" i="4"/>
  <c r="M6" i="4" s="1"/>
  <c r="I5" i="4"/>
  <c r="D2" i="9" s="1"/>
  <c r="I6" i="4"/>
  <c r="E9" i="4"/>
  <c r="B6" i="4" s="1"/>
  <c r="M9" i="4"/>
  <c r="B27" i="6" s="1"/>
  <c r="B15" i="4"/>
  <c r="I15" i="4"/>
  <c r="B16" i="4"/>
  <c r="B17" i="4" s="1"/>
  <c r="I29" i="4" s="1"/>
  <c r="D17" i="4"/>
  <c r="I19" i="4"/>
  <c r="P21" i="4"/>
  <c r="P23" i="4"/>
  <c r="D24" i="4"/>
  <c r="E24" i="4" s="1"/>
  <c r="E26" i="4"/>
  <c r="E30" i="4"/>
  <c r="M33" i="4"/>
  <c r="I36" i="4"/>
  <c r="M36" i="4" s="1"/>
  <c r="P46" i="4"/>
  <c r="D4" i="9"/>
  <c r="D9" i="9"/>
  <c r="B17" i="9"/>
  <c r="C17" i="9"/>
  <c r="D17" i="9"/>
  <c r="D19" i="9" s="1"/>
  <c r="D18" i="9"/>
  <c r="E18" i="9"/>
  <c r="E20" i="9"/>
  <c r="E26" i="9" s="1"/>
  <c r="C23" i="9"/>
  <c r="B55" i="2"/>
  <c r="E5" i="1"/>
  <c r="C12" i="1"/>
  <c r="D12" i="1"/>
  <c r="C13" i="1"/>
  <c r="C15" i="1"/>
  <c r="C24" i="1"/>
  <c r="D7" i="9" l="1"/>
  <c r="E7" i="9" s="1"/>
  <c r="E4" i="9"/>
  <c r="D21" i="9"/>
  <c r="B20" i="6"/>
  <c r="D3" i="9"/>
  <c r="P10" i="4"/>
  <c r="M13" i="4"/>
  <c r="E12" i="1"/>
  <c r="E15" i="1"/>
  <c r="D8" i="9"/>
  <c r="I22" i="4"/>
  <c r="L2" i="4"/>
  <c r="I11" i="4"/>
  <c r="B6" i="6"/>
  <c r="I12" i="4" s="1"/>
  <c r="F43" i="5"/>
  <c r="F11" i="5"/>
  <c r="P9" i="4"/>
  <c r="B23" i="6"/>
  <c r="D20" i="9"/>
  <c r="F20" i="9" s="1"/>
  <c r="B8" i="6"/>
  <c r="B9" i="6" s="1"/>
  <c r="B59" i="6" s="1"/>
  <c r="M32" i="4"/>
  <c r="M34" i="4" s="1"/>
  <c r="I28" i="4"/>
  <c r="I30" i="4" s="1"/>
  <c r="B18" i="4"/>
  <c r="B8" i="4" s="1"/>
  <c r="B46" i="6"/>
  <c r="B48" i="6" s="1"/>
  <c r="B49" i="6" s="1"/>
  <c r="B50" i="6" s="1"/>
  <c r="B38" i="6" s="1"/>
  <c r="I13" i="4" s="1"/>
  <c r="D12" i="6"/>
  <c r="D13" i="6" s="1"/>
  <c r="B13" i="6" s="1"/>
  <c r="A45" i="5"/>
  <c r="I44" i="5"/>
  <c r="P8" i="4" l="1"/>
  <c r="E21" i="9"/>
  <c r="B11" i="4"/>
  <c r="D35" i="6"/>
  <c r="B62" i="6"/>
  <c r="E65" i="5" s="1"/>
  <c r="E64" i="5"/>
  <c r="E66" i="5" s="1"/>
  <c r="D43" i="5" s="1"/>
  <c r="A46" i="5"/>
  <c r="A13" i="5"/>
  <c r="I13" i="5" s="1"/>
  <c r="I45" i="5"/>
  <c r="H43" i="5"/>
  <c r="D11" i="5"/>
  <c r="H11" i="5"/>
  <c r="I34" i="4"/>
  <c r="B33" i="6"/>
  <c r="E13" i="1"/>
  <c r="E3" i="9"/>
  <c r="E5" i="9" s="1"/>
  <c r="E11" i="9" s="1"/>
  <c r="B14" i="9" s="1"/>
  <c r="B23" i="9" s="1"/>
  <c r="D5" i="9"/>
  <c r="D11" i="9" s="1"/>
  <c r="D23" i="9" l="1"/>
  <c r="B30" i="9"/>
  <c r="I33" i="4" s="1"/>
  <c r="D53" i="5"/>
  <c r="G43" i="5"/>
  <c r="C44" i="5" s="1"/>
  <c r="E11" i="5"/>
  <c r="B30" i="6"/>
  <c r="M20" i="4"/>
  <c r="O20" i="4"/>
  <c r="E7" i="4"/>
  <c r="P44" i="4"/>
  <c r="E21" i="4"/>
  <c r="E25" i="4" s="1"/>
  <c r="E27" i="4" s="1"/>
  <c r="E29" i="4" s="1"/>
  <c r="E31" i="4" s="1"/>
  <c r="A14" i="5"/>
  <c r="I14" i="5" s="1"/>
  <c r="I46" i="5"/>
  <c r="A47" i="5"/>
  <c r="D24" i="9" l="1"/>
  <c r="G11" i="5"/>
  <c r="C12" i="5" s="1"/>
  <c r="E11" i="4"/>
  <c r="F44" i="5"/>
  <c r="G44" i="5"/>
  <c r="C45" i="5" s="1"/>
  <c r="I47" i="5"/>
  <c r="A48" i="5"/>
  <c r="A15" i="5"/>
  <c r="B57" i="5"/>
  <c r="P20" i="4"/>
  <c r="D26" i="9" l="1"/>
  <c r="F26" i="9" s="1"/>
  <c r="E24" i="9"/>
  <c r="F45" i="5"/>
  <c r="G45" i="5" s="1"/>
  <c r="C46" i="5" s="1"/>
  <c r="D25" i="9"/>
  <c r="D27" i="9" s="1"/>
  <c r="H44" i="5"/>
  <c r="H45" i="5" s="1"/>
  <c r="B58" i="5"/>
  <c r="I15" i="5"/>
  <c r="F23" i="5"/>
  <c r="F24" i="5"/>
  <c r="B27" i="5" s="1"/>
  <c r="B25" i="5"/>
  <c r="F55" i="5"/>
  <c r="F56" i="5"/>
  <c r="B59" i="5" s="1"/>
  <c r="F12" i="5"/>
  <c r="A49" i="5"/>
  <c r="A16" i="5"/>
  <c r="I16" i="5" s="1"/>
  <c r="I48" i="5"/>
  <c r="F46" i="5" l="1"/>
  <c r="H46" i="5" s="1"/>
  <c r="F57" i="5"/>
  <c r="F58" i="5"/>
  <c r="D12" i="5"/>
  <c r="H12" i="5"/>
  <c r="B26" i="5"/>
  <c r="E27" i="9"/>
  <c r="D30" i="9"/>
  <c r="I20" i="4" s="1"/>
  <c r="F25" i="5"/>
  <c r="F26" i="5"/>
  <c r="A17" i="5"/>
  <c r="I17" i="5" s="1"/>
  <c r="I49" i="5"/>
  <c r="A50" i="5"/>
  <c r="I35" i="4"/>
  <c r="I23" i="4" l="1"/>
  <c r="B24" i="6"/>
  <c r="M10" i="4"/>
  <c r="D28" i="9" s="1"/>
  <c r="G46" i="5"/>
  <c r="C47" i="5" s="1"/>
  <c r="E12" i="5"/>
  <c r="B28" i="5"/>
  <c r="B60" i="5"/>
  <c r="B61" i="5" s="1"/>
  <c r="B55" i="6" s="1"/>
  <c r="B53" i="6" s="1"/>
  <c r="I16" i="4" s="1"/>
  <c r="P11" i="4" s="1"/>
  <c r="I50" i="5"/>
  <c r="A18" i="5"/>
  <c r="I18" i="5" s="1"/>
  <c r="A51" i="5"/>
  <c r="M11" i="4" l="1"/>
  <c r="B28" i="6" s="1"/>
  <c r="B29" i="5"/>
  <c r="I14" i="4" s="1"/>
  <c r="I17" i="4" s="1"/>
  <c r="I25" i="4" s="1"/>
  <c r="G12" i="5"/>
  <c r="C13" i="5" s="1"/>
  <c r="I51" i="5"/>
  <c r="A52" i="5"/>
  <c r="A19" i="5"/>
  <c r="I19" i="5" s="1"/>
  <c r="F47" i="5"/>
  <c r="G47" i="5"/>
  <c r="C48" i="5" s="1"/>
  <c r="B29" i="6"/>
  <c r="B22" i="6" l="1"/>
  <c r="B35" i="6" s="1"/>
  <c r="M8" i="4" s="1"/>
  <c r="M15" i="4" s="1"/>
  <c r="P13" i="4"/>
  <c r="I32" i="4"/>
  <c r="I37" i="4" s="1"/>
  <c r="C21" i="1" s="1"/>
  <c r="M35" i="4"/>
  <c r="M37" i="4" s="1"/>
  <c r="A20" i="5"/>
  <c r="I20" i="5" s="1"/>
  <c r="I52" i="5"/>
  <c r="F13" i="5"/>
  <c r="F48" i="5"/>
  <c r="G48" i="5"/>
  <c r="C49" i="5" s="1"/>
  <c r="H47" i="5"/>
  <c r="H48" i="5" s="1"/>
  <c r="F49" i="5" l="1"/>
  <c r="G49" i="5"/>
  <c r="C50" i="5" s="1"/>
  <c r="D13" i="5"/>
  <c r="H13" i="5"/>
  <c r="H49" i="5"/>
  <c r="P25" i="4"/>
  <c r="M38" i="4"/>
  <c r="M43" i="4"/>
  <c r="P43" i="4" s="1"/>
  <c r="P45" i="4" s="1"/>
  <c r="P49" i="4" s="1"/>
  <c r="C18" i="1" s="1"/>
  <c r="P14" i="4"/>
  <c r="M39" i="4" s="1"/>
  <c r="M40" i="4" s="1"/>
  <c r="N40" i="4" s="1"/>
  <c r="P18" i="4"/>
  <c r="P22" i="4" s="1"/>
  <c r="P24" i="4" s="1"/>
  <c r="P26" i="4" l="1"/>
  <c r="P27" i="4"/>
  <c r="P28" i="4" s="1"/>
  <c r="P15" i="4"/>
  <c r="P16" i="4" s="1"/>
  <c r="Q16" i="4" s="1"/>
  <c r="E13" i="5"/>
  <c r="H50" i="5"/>
  <c r="G50" i="5"/>
  <c r="C51" i="5" s="1"/>
  <c r="F50" i="5"/>
  <c r="F51" i="5" l="1"/>
  <c r="H51" i="5" s="1"/>
  <c r="G51" i="5"/>
  <c r="C52" i="5" s="1"/>
  <c r="G13" i="5"/>
  <c r="C14" i="5" s="1"/>
  <c r="F14" i="5" l="1"/>
  <c r="F52" i="5"/>
  <c r="F53" i="5" s="1"/>
  <c r="G52" i="5"/>
  <c r="D14" i="5" l="1"/>
  <c r="H14" i="5"/>
  <c r="H52" i="5"/>
  <c r="E14" i="5" l="1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G19" i="5" l="1"/>
  <c r="C20" i="5" s="1"/>
  <c r="F19" i="5"/>
  <c r="D19" i="5" s="1"/>
  <c r="E19" i="5" s="1"/>
  <c r="H18" i="5"/>
  <c r="H19" i="5" s="1"/>
  <c r="F20" i="5" l="1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<sst xmlns="http://schemas.openxmlformats.org/spreadsheetml/2006/main" count="313" uniqueCount="226">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</sst>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36920</v>
      </c>
      <c r="D5" s="61" t="s">
        <v>16</v>
      </c>
      <c r="E5" s="62">
        <f>+C5-1</f>
        <v>36919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191045594.87753209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85" activePane="bottomLeft" state="frozen"/>
      <selection pane="bottomLeft" activeCell="A107" sqref="A107:B10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2" workbookViewId="0">
      <selection activeCell="P10" sqref="P10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36920</v>
      </c>
      <c r="I2" s="166"/>
      <c r="J2" s="90"/>
      <c r="L2" s="166">
        <f>H2</f>
        <v>36920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80.77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36920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32746060.367837697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375776605.91381276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36920</v>
      </c>
      <c r="J11" s="13"/>
      <c r="L11" s="7" t="s">
        <v>40</v>
      </c>
      <c r="M11" s="7">
        <f>+Amort!B28</f>
        <v>1468055.5555555555</v>
      </c>
      <c r="O11" s="7" t="s">
        <v>34</v>
      </c>
      <c r="P11" s="7">
        <f>E7-I16+'Cash-Int-Trans'!B9</f>
        <v>418229256.04586112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2214744.3678376786</v>
      </c>
      <c r="J13" s="29"/>
      <c r="L13" s="7" t="s">
        <v>225</v>
      </c>
      <c r="M13" s="7">
        <f>IF(I19&gt;0,I19,0)</f>
        <v>14107080.350000026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1468055.5555555555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25868546.141344905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25776605.913812786</v>
      </c>
      <c r="J15" s="32" t="s">
        <v>53</v>
      </c>
      <c r="L15" s="85" t="s">
        <v>7</v>
      </c>
      <c r="M15" s="12">
        <f>SUM(M8:M14)</f>
        <v>474097802.18720603</v>
      </c>
      <c r="N15" s="20"/>
      <c r="O15" s="85" t="s">
        <v>7</v>
      </c>
      <c r="P15" s="12">
        <f>SUM(P8:P14)</f>
        <v>474097802.18720603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-11748225.04586111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52230149.791344911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474097802.18720603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14107080.350000026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475097802.18720603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14107080.350000026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14347953.626053622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66337230.141344935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15652046.373946378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518279681.25650257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66337230.141344935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-25968414.725000024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-25776605.913812786</v>
      </c>
      <c r="J35" s="41"/>
      <c r="L35" s="7" t="s">
        <v>72</v>
      </c>
      <c r="M35" s="7">
        <f>I25</f>
        <v>66337230.141344935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191045594.87753209</v>
      </c>
      <c r="K37" s="7"/>
      <c r="L37" s="7" t="s">
        <v>74</v>
      </c>
      <c r="M37" s="7">
        <f>SUM(M34:M36)</f>
        <v>55868546.141344935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25868546.141344905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2.9802322387695313E-8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66337230.141344935</v>
      </c>
    </row>
    <row r="23" spans="1:5" x14ac:dyDescent="0.25">
      <c r="A23" t="s">
        <v>100</v>
      </c>
      <c r="B23" s="7">
        <f>-Financials!I15</f>
        <v>-25776605.913812786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-14107080.350000026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-1468055.5555555555</v>
      </c>
    </row>
    <row r="29" spans="1:5" x14ac:dyDescent="0.25">
      <c r="A29" t="s">
        <v>105</v>
      </c>
      <c r="B29" s="7">
        <f>-Financials!E7+Financials!P11</f>
        <v>18229256.045861125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32746060.367837697</v>
      </c>
      <c r="D35" s="7">
        <f>+B20+B12+B13+B38+B16</f>
        <v>32746060.367837679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2214744.3678376786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36920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151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2197339.6054166663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36920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3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17404.762421012496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11748225.04586111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11744444.444444444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36920</v>
      </c>
    </row>
    <row r="61" spans="1:6" x14ac:dyDescent="0.25">
      <c r="A61" t="s">
        <v>75</v>
      </c>
      <c r="B61" s="3">
        <f>+B60-B58</f>
        <v>3</v>
      </c>
    </row>
    <row r="62" spans="1:6" x14ac:dyDescent="0.25">
      <c r="A62" t="s">
        <v>168</v>
      </c>
      <c r="B62" s="48">
        <f>+B59*0.07/360*B61</f>
        <v>3780.6014166666669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36920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36920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36920</v>
      </c>
      <c r="B23" s="178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151</v>
      </c>
      <c r="E27" s="111"/>
    </row>
    <row r="28" spans="1:9" s="97" customFormat="1" x14ac:dyDescent="0.25">
      <c r="A28" s="111" t="s">
        <v>26</v>
      </c>
      <c r="B28" s="97">
        <f>F25*B27/(F26-F24)</f>
        <v>1468055.5555555555</v>
      </c>
    </row>
    <row r="29" spans="1:9" s="97" customFormat="1" x14ac:dyDescent="0.25">
      <c r="A29" s="111" t="s">
        <v>27</v>
      </c>
      <c r="B29" s="97">
        <f>+B25+B28</f>
        <v>1468055.5555555555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6484811.601416667</v>
      </c>
      <c r="E43" s="7">
        <v>0</v>
      </c>
      <c r="F43" s="7">
        <f>C43*$B$38/360*(A43-A42)</f>
        <v>14077777.777777778</v>
      </c>
      <c r="G43" s="7">
        <f>+C43+D43+E43+F43</f>
        <v>420562589.37919444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420562589.37919444</v>
      </c>
      <c r="D44" s="7">
        <v>0</v>
      </c>
      <c r="E44" s="7">
        <v>0</v>
      </c>
      <c r="F44" s="7">
        <f t="shared" ref="F44:F52" si="13">C44*$B$38/360*(A44-A43)</f>
        <v>15046794.864455624</v>
      </c>
      <c r="G44" s="7">
        <f t="shared" ref="G44:G52" si="14">+C44+D44+E44+F44</f>
        <v>435609384.24365008</v>
      </c>
      <c r="H44" s="7">
        <f t="shared" si="12"/>
        <v>29124572.642233402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435609384.24365008</v>
      </c>
      <c r="D45" s="7">
        <v>0</v>
      </c>
      <c r="E45" s="7">
        <v>0</v>
      </c>
      <c r="F45" s="7">
        <f t="shared" si="13"/>
        <v>15331030.273241797</v>
      </c>
      <c r="G45" s="7">
        <f t="shared" si="14"/>
        <v>450940414.5168919</v>
      </c>
      <c r="H45" s="7">
        <f t="shared" si="12"/>
        <v>44455602.915475197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450940414.5168919</v>
      </c>
      <c r="D46" s="7">
        <v>0</v>
      </c>
      <c r="E46" s="7">
        <v>0</v>
      </c>
      <c r="F46" s="7">
        <f t="shared" si="13"/>
        <v>16133645.941604357</v>
      </c>
      <c r="G46" s="7">
        <f t="shared" si="14"/>
        <v>467074060.45849627</v>
      </c>
      <c r="H46" s="7">
        <f t="shared" si="12"/>
        <v>60589248.857079551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467074060.45849627</v>
      </c>
      <c r="D47" s="7">
        <v>0</v>
      </c>
      <c r="E47" s="7">
        <v>0</v>
      </c>
      <c r="F47" s="7">
        <f t="shared" si="13"/>
        <v>16438412.072247634</v>
      </c>
      <c r="G47" s="7">
        <f t="shared" si="14"/>
        <v>483512472.5307439</v>
      </c>
      <c r="H47" s="7">
        <f t="shared" si="12"/>
        <v>77027660.92932719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483512472.5307439</v>
      </c>
      <c r="D48" s="7">
        <v>0</v>
      </c>
      <c r="E48" s="7">
        <v>0</v>
      </c>
      <c r="F48" s="7">
        <f t="shared" si="13"/>
        <v>17299001.794988837</v>
      </c>
      <c r="G48" s="7">
        <f t="shared" si="14"/>
        <v>500811474.32573271</v>
      </c>
      <c r="H48" s="7">
        <f t="shared" si="12"/>
        <v>94326662.724316031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500811474.32573271</v>
      </c>
      <c r="D49" s="7">
        <v>0</v>
      </c>
      <c r="E49" s="7">
        <v>0</v>
      </c>
      <c r="F49" s="7">
        <f t="shared" si="13"/>
        <v>17723161.619193986</v>
      </c>
      <c r="G49" s="7">
        <f t="shared" si="14"/>
        <v>518534635.94492668</v>
      </c>
      <c r="H49" s="7">
        <f t="shared" si="12"/>
        <v>112049824.34351002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518534635.94492668</v>
      </c>
      <c r="D50" s="7">
        <v>0</v>
      </c>
      <c r="E50" s="7">
        <v>0</v>
      </c>
      <c r="F50" s="7">
        <f t="shared" si="13"/>
        <v>18552016.974918488</v>
      </c>
      <c r="G50" s="7">
        <f t="shared" si="14"/>
        <v>537086652.91984522</v>
      </c>
      <c r="H50" s="7">
        <f t="shared" si="12"/>
        <v>130601841.3184285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537086652.91984522</v>
      </c>
      <c r="D51" s="7">
        <v>0</v>
      </c>
      <c r="E51" s="7">
        <v>0</v>
      </c>
      <c r="F51" s="7">
        <f t="shared" si="13"/>
        <v>18902466.368040111</v>
      </c>
      <c r="G51" s="7">
        <f t="shared" si="14"/>
        <v>555989119.28788531</v>
      </c>
      <c r="H51" s="7">
        <f t="shared" si="12"/>
        <v>149504307.6864686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555989119.28788531</v>
      </c>
      <c r="D52" s="7">
        <v>0</v>
      </c>
      <c r="E52" s="7">
        <v>0</v>
      </c>
      <c r="F52" s="7">
        <f t="shared" si="13"/>
        <v>19892055.156744342</v>
      </c>
      <c r="G52" s="7">
        <f t="shared" si="14"/>
        <v>575881174.44462967</v>
      </c>
      <c r="H52" s="7">
        <f t="shared" si="12"/>
        <v>169396362.84321293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6484811.601416667</v>
      </c>
      <c r="E53" s="12">
        <f>SUM(E43:E52)</f>
        <v>0</v>
      </c>
      <c r="F53" s="12">
        <f>SUM(F43:F52)</f>
        <v>169396362.84321293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36920</v>
      </c>
      <c r="B55" s="178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151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11744444.444444444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11744444.444444444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36920</v>
      </c>
      <c r="E65" s="158">
        <f>+'Cash-Int-Trans'!B62</f>
        <v>3780.6014166666669</v>
      </c>
    </row>
    <row r="66" spans="1:5" x14ac:dyDescent="0.25">
      <c r="E66" s="7">
        <f>SUM(E64:E65)</f>
        <v>6484811.601416667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9" sqref="B9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4.375" bestFit="1" customWidth="1"/>
  </cols>
  <sheetData>
    <row r="1" spans="1:5" x14ac:dyDescent="0.25">
      <c r="D1" s="155" t="s">
        <v>194</v>
      </c>
      <c r="E1" s="52" t="s">
        <v>195</v>
      </c>
    </row>
    <row r="2" spans="1:5" x14ac:dyDescent="0.25">
      <c r="A2" s="58" t="s">
        <v>203</v>
      </c>
      <c r="D2" s="2">
        <f>+Financials!I5</f>
        <v>80.77</v>
      </c>
    </row>
    <row r="3" spans="1:5" x14ac:dyDescent="0.25">
      <c r="A3" t="s">
        <v>196</v>
      </c>
      <c r="B3" s="3">
        <v>50000000</v>
      </c>
      <c r="D3" s="5">
        <f>B3*D2</f>
        <v>4038500000</v>
      </c>
      <c r="E3" s="3">
        <f>ROUND(D3/D2+0.49,0)</f>
        <v>50000000</v>
      </c>
    </row>
    <row r="4" spans="1:5" x14ac:dyDescent="0.25">
      <c r="A4" t="s">
        <v>197</v>
      </c>
      <c r="D4" s="50">
        <f>1400000000+1027000000</f>
        <v>2427000000</v>
      </c>
      <c r="E4" s="153">
        <f>ROUND(D4/D2+0.49,0)</f>
        <v>30048286</v>
      </c>
    </row>
    <row r="5" spans="1:5" x14ac:dyDescent="0.25">
      <c r="A5" t="s">
        <v>198</v>
      </c>
      <c r="D5" s="4">
        <f>D3-D4</f>
        <v>1611500000</v>
      </c>
      <c r="E5" s="48">
        <f>E3-E4</f>
        <v>19951714</v>
      </c>
    </row>
    <row r="6" spans="1:5" x14ac:dyDescent="0.25">
      <c r="A6" t="s">
        <v>199</v>
      </c>
      <c r="D6" s="2"/>
    </row>
    <row r="7" spans="1:5" x14ac:dyDescent="0.25">
      <c r="A7" t="s">
        <v>200</v>
      </c>
      <c r="B7" s="3">
        <v>3876755</v>
      </c>
      <c r="D7" s="4">
        <f>+B7*D2</f>
        <v>313125501.34999996</v>
      </c>
      <c r="E7" s="3">
        <f>D7/D2</f>
        <v>3876754.9999999995</v>
      </c>
    </row>
    <row r="8" spans="1:5" x14ac:dyDescent="0.25">
      <c r="A8" t="s">
        <v>201</v>
      </c>
      <c r="B8" s="3">
        <v>7809790</v>
      </c>
      <c r="D8" s="4">
        <f>+B8*D2</f>
        <v>630796738.29999995</v>
      </c>
      <c r="E8" s="3">
        <v>7809790</v>
      </c>
    </row>
    <row r="9" spans="1:5" x14ac:dyDescent="0.25">
      <c r="A9" t="s">
        <v>202</v>
      </c>
      <c r="B9" s="3">
        <v>6326045</v>
      </c>
      <c r="D9" s="50">
        <f>+B9*D2</f>
        <v>510954654.64999998</v>
      </c>
      <c r="E9" s="153">
        <v>6326045</v>
      </c>
    </row>
    <row r="10" spans="1:5" x14ac:dyDescent="0.25">
      <c r="D10" s="2"/>
    </row>
    <row r="11" spans="1:5" ht="16.5" thickBot="1" x14ac:dyDescent="0.3">
      <c r="A11" t="s">
        <v>25</v>
      </c>
      <c r="D11" s="51">
        <f>D5-SUM(D7:D9)</f>
        <v>156623105.70000029</v>
      </c>
      <c r="E11" s="154">
        <f>E5-SUM(E7:E9)</f>
        <v>1939124</v>
      </c>
    </row>
    <row r="12" spans="1:5" ht="16.5" thickTop="1" x14ac:dyDescent="0.25"/>
    <row r="14" spans="1:5" x14ac:dyDescent="0.25">
      <c r="A14" t="s">
        <v>204</v>
      </c>
      <c r="B14" s="3">
        <f>IF(E11&gt;0,B9,IF(B9+E11&gt;0,+B9+E11,0))</f>
        <v>6326045</v>
      </c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25776605.913812786</v>
      </c>
      <c r="E20" s="156">
        <f>(+Financials!H2-Financials!A3)/(3*365)</f>
        <v>0.13789954337899543</v>
      </c>
      <c r="F20">
        <f>+D18*E20+D20</f>
        <v>0</v>
      </c>
    </row>
    <row r="21" spans="1:6" x14ac:dyDescent="0.25">
      <c r="A21" t="s">
        <v>209</v>
      </c>
      <c r="D21" s="4">
        <f>+D19+D20</f>
        <v>375776605.91381276</v>
      </c>
      <c r="E21" s="156">
        <f>+D21/D17</f>
        <v>0.69987047930578172</v>
      </c>
    </row>
    <row r="22" spans="1:6" x14ac:dyDescent="0.25">
      <c r="D22" s="4"/>
    </row>
    <row r="23" spans="1:6" x14ac:dyDescent="0.25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25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25">
      <c r="D25" s="4">
        <f>+D23+D24</f>
        <v>350000000</v>
      </c>
    </row>
    <row r="26" spans="1:6" x14ac:dyDescent="0.25">
      <c r="A26" t="s">
        <v>207</v>
      </c>
      <c r="D26" s="4">
        <f>-D24*E20</f>
        <v>25776605.913812786</v>
      </c>
      <c r="E26" s="156">
        <f>+E20</f>
        <v>0.13789954337899543</v>
      </c>
      <c r="F26">
        <f>+D24*E26+D26</f>
        <v>0</v>
      </c>
    </row>
    <row r="27" spans="1:6" x14ac:dyDescent="0.25">
      <c r="A27" t="s">
        <v>208</v>
      </c>
      <c r="D27" s="4">
        <f>+D25+D26</f>
        <v>375776605.91381276</v>
      </c>
      <c r="E27" s="156">
        <f>+D27/D23</f>
        <v>0.69987047930578172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 activeCell="C1" sqref="C1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2000-09-06T13:49:45Z</cp:lastPrinted>
  <dcterms:created xsi:type="dcterms:W3CDTF">2000-08-10T21:11:42Z</dcterms:created>
  <dcterms:modified xsi:type="dcterms:W3CDTF">2014-09-04T16:14:27Z</dcterms:modified>
</cp:coreProperties>
</file>