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860" yWindow="2265" windowWidth="10230" windowHeight="6750" activeTab="1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Sheet4" sheetId="4" state="hidden" r:id="rId7"/>
  </sheets>
  <definedNames>
    <definedName name="ZA0" localSheetId="1">"Crystal Ball Data : Ver. 5.1"</definedName>
    <definedName name="ZA0A" localSheetId="1">30+129</definedName>
    <definedName name="ZA0C" localSheetId="1">0+0</definedName>
    <definedName name="ZA0D" localSheetId="1">0+0</definedName>
    <definedName name="ZA0F" localSheetId="1">7+112</definedName>
    <definedName name="ZA0T" localSheetId="1">28085925+0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4" localSheetId="1">'Input and Calc'!$B$94+"LJM's Cross-Guaranteed Payoff"+""+33+33+441+-1+491+284+950+4+3+"-"+"+"+2.6+50+2+4+95+0+5</definedName>
    <definedName name="_ZF106" localSheetId="1">'Input and Calc'!$B$90+"LJM's Payoff w/o Cross-Guarantees"+""+33+33+441+297+518+582+977+4+3+"-"+"+"+2.6+50+2+4+95+0+5</definedName>
    <definedName name="_ZF107" localSheetId="1">'Input and Calc'!$B$99+"LJM's CrossGuaranteed Payoff (One-sided)"+""+33+33+441+298+55+583+514+4+3+"-"+"+"+2.6+50+2+4+95+0+5</definedName>
    <definedName name="_ZF109" localSheetId="1">'Input and Calc'!$B$89+"LJM's Payoff (R4)"+""+33+33+409+6+19+291+478+4+3+"-"+"+"+2.6+50+2+4+95+1500000+5</definedName>
    <definedName name="_ZF110" localSheetId="1">'Input and Calc'!$B$82+"LJM's Payoff (R3)"+""+33+33+409+2+24+287+483+4+3+"-"+"+"+2.6+50+2+4+95+0+5</definedName>
    <definedName name="_ZF111" localSheetId="1">'Input and Calc'!$B$75+"LJM's Payoff (R2)"+""+33+33+409+2+26+287+485+4+3+"-"+"+"+2.6+50+2+4+95+1555000+5</definedName>
    <definedName name="_ZF112" localSheetId="1">'Input and Calc'!$B$66+"LJM's Payoff (R1)"+""+33+33+409+2+27+287+486+4+3+"-"+"+"+2.6+50+2+4+95+1800000+5</definedName>
  </definedNames>
  <calcPr calcId="152511"/>
</workbook>
</file>

<file path=xl/calcChain.xml><?xml version="1.0" encoding="utf-8"?>
<calcChain xmlns="http://schemas.openxmlformats.org/spreadsheetml/2006/main">
  <c r="B8" i="8" l="1"/>
  <c r="E8" i="8"/>
  <c r="F8" i="8"/>
  <c r="F50" i="8" s="1"/>
  <c r="G8" i="8"/>
  <c r="G50" i="8" s="1"/>
  <c r="F10" i="8"/>
  <c r="O11" i="8"/>
  <c r="Q11" i="8"/>
  <c r="C12" i="8"/>
  <c r="D12" i="8"/>
  <c r="E12" i="8"/>
  <c r="F12" i="8"/>
  <c r="G12" i="8"/>
  <c r="O12" i="8"/>
  <c r="O13" i="8"/>
  <c r="Q13" i="8"/>
  <c r="O14" i="8"/>
  <c r="M16" i="8"/>
  <c r="O6" i="8" s="1"/>
  <c r="N20" i="8"/>
  <c r="N21" i="8"/>
  <c r="N22" i="8"/>
  <c r="N23" i="8"/>
  <c r="C30" i="8"/>
  <c r="D30" i="8"/>
  <c r="E30" i="8"/>
  <c r="F30" i="8"/>
  <c r="G30" i="8"/>
  <c r="C31" i="8"/>
  <c r="D31" i="8"/>
  <c r="D43" i="8" s="1"/>
  <c r="E31" i="8"/>
  <c r="E43" i="8" s="1"/>
  <c r="F31" i="8"/>
  <c r="F43" i="8" s="1"/>
  <c r="G31" i="8"/>
  <c r="B43" i="8"/>
  <c r="C43" i="8"/>
  <c r="G43" i="8"/>
  <c r="B44" i="8"/>
  <c r="C44" i="8"/>
  <c r="D44" i="8"/>
  <c r="E44" i="8"/>
  <c r="F44" i="8"/>
  <c r="G44" i="8"/>
  <c r="B50" i="8"/>
  <c r="E50" i="8"/>
  <c r="I51" i="8"/>
  <c r="J51" i="8"/>
  <c r="I52" i="8"/>
  <c r="J52" i="8" s="1"/>
  <c r="I53" i="8"/>
  <c r="J53" i="8" s="1"/>
  <c r="I54" i="8"/>
  <c r="J54" i="8" s="1"/>
  <c r="I55" i="8"/>
  <c r="J55" i="8" s="1"/>
  <c r="B63" i="8"/>
  <c r="B64" i="8"/>
  <c r="N65" i="8"/>
  <c r="N66" i="8"/>
  <c r="N67" i="8"/>
  <c r="N68" i="8"/>
  <c r="N69" i="8"/>
  <c r="M72" i="8"/>
  <c r="O79" i="8" s="1"/>
  <c r="M82" i="8" s="1"/>
  <c r="B73" i="8"/>
  <c r="M74" i="8"/>
  <c r="N74" i="8"/>
  <c r="P74" i="8" s="1"/>
  <c r="O74" i="8"/>
  <c r="M75" i="8"/>
  <c r="N75" i="8"/>
  <c r="P75" i="8" s="1"/>
  <c r="O75" i="8"/>
  <c r="M76" i="8"/>
  <c r="N76" i="8"/>
  <c r="P76" i="8" s="1"/>
  <c r="O76" i="8"/>
  <c r="B79" i="8"/>
  <c r="O80" i="8"/>
  <c r="M84" i="8" s="1"/>
  <c r="B87" i="8"/>
  <c r="C14" i="3"/>
  <c r="H14" i="3"/>
  <c r="I14" i="3"/>
  <c r="M14" i="3"/>
  <c r="C15" i="3"/>
  <c r="H15" i="3" s="1"/>
  <c r="H24" i="3" s="1"/>
  <c r="C10" i="8" s="1"/>
  <c r="C16" i="3"/>
  <c r="H16" i="3"/>
  <c r="I16" i="3"/>
  <c r="M16" i="3"/>
  <c r="H17" i="3"/>
  <c r="M17" i="3" s="1"/>
  <c r="I17" i="3"/>
  <c r="H18" i="3"/>
  <c r="I18" i="3"/>
  <c r="M18" i="3"/>
  <c r="H19" i="3"/>
  <c r="I19" i="3"/>
  <c r="M19" i="3" s="1"/>
  <c r="H20" i="3"/>
  <c r="I20" i="3"/>
  <c r="M20" i="3" s="1"/>
  <c r="C21" i="3"/>
  <c r="H21" i="3"/>
  <c r="I21" i="3"/>
  <c r="M21" i="3"/>
  <c r="H22" i="3"/>
  <c r="M22" i="3" s="1"/>
  <c r="I22" i="3"/>
  <c r="H23" i="3"/>
  <c r="I23" i="3"/>
  <c r="M23" i="3"/>
  <c r="I26" i="3"/>
  <c r="H27" i="3"/>
  <c r="H26" i="3" s="1"/>
  <c r="M27" i="3"/>
  <c r="H28" i="3"/>
  <c r="M28" i="3" s="1"/>
  <c r="H29" i="3"/>
  <c r="M29" i="3"/>
  <c r="M30" i="3"/>
  <c r="M31" i="3"/>
  <c r="H32" i="3"/>
  <c r="M32" i="3"/>
  <c r="H33" i="3"/>
  <c r="M33" i="3" s="1"/>
  <c r="H34" i="3"/>
  <c r="M34" i="3"/>
  <c r="M35" i="3"/>
  <c r="H36" i="3"/>
  <c r="M36" i="3"/>
  <c r="H37" i="3"/>
  <c r="M37" i="3"/>
  <c r="H38" i="3"/>
  <c r="M38" i="3" s="1"/>
  <c r="H39" i="3"/>
  <c r="M39" i="3" s="1"/>
  <c r="H40" i="3"/>
  <c r="M40" i="3"/>
  <c r="H41" i="3"/>
  <c r="M41" i="3"/>
  <c r="H42" i="3"/>
  <c r="M42" i="3" s="1"/>
  <c r="H43" i="3"/>
  <c r="M43" i="3" s="1"/>
  <c r="H44" i="3"/>
  <c r="M44" i="3"/>
  <c r="H45" i="3"/>
  <c r="M45" i="3"/>
  <c r="H46" i="3"/>
  <c r="M46" i="3" s="1"/>
  <c r="M47" i="3"/>
  <c r="H48" i="3"/>
  <c r="M48" i="3" s="1"/>
  <c r="H49" i="3"/>
  <c r="M49" i="3"/>
  <c r="H50" i="3"/>
  <c r="M50" i="3" s="1"/>
  <c r="H51" i="3"/>
  <c r="M51" i="3"/>
  <c r="H52" i="3"/>
  <c r="M52" i="3" s="1"/>
  <c r="H53" i="3"/>
  <c r="M53" i="3"/>
  <c r="H54" i="3"/>
  <c r="M54" i="3" s="1"/>
  <c r="H55" i="3"/>
  <c r="M55" i="3"/>
  <c r="H56" i="3"/>
  <c r="M56" i="3" s="1"/>
  <c r="H57" i="3"/>
  <c r="M57" i="3"/>
  <c r="C60" i="3"/>
  <c r="E60" i="3"/>
  <c r="C61" i="3"/>
  <c r="E61" i="3"/>
  <c r="A62" i="3"/>
  <c r="C62" i="3"/>
  <c r="E62" i="3"/>
  <c r="A63" i="3"/>
  <c r="C63" i="3"/>
  <c r="E63" i="3"/>
  <c r="C64" i="3"/>
  <c r="E64" i="3"/>
  <c r="H65" i="3"/>
  <c r="I65" i="3"/>
  <c r="H66" i="3"/>
  <c r="I67" i="3"/>
  <c r="D8" i="8" s="1"/>
  <c r="D50" i="8" s="1"/>
  <c r="D70" i="3"/>
  <c r="E70" i="3"/>
  <c r="F70" i="3" s="1"/>
  <c r="G70" i="3" s="1"/>
  <c r="D71" i="3"/>
  <c r="E71" i="3"/>
  <c r="F71" i="3" s="1"/>
  <c r="G71" i="3" s="1"/>
  <c r="D72" i="3"/>
  <c r="E72" i="3"/>
  <c r="F72" i="3" s="1"/>
  <c r="G72" i="3" s="1"/>
  <c r="D73" i="3"/>
  <c r="E73" i="3"/>
  <c r="F73" i="3" s="1"/>
  <c r="G73" i="3" s="1"/>
  <c r="D74" i="3"/>
  <c r="E74" i="3"/>
  <c r="F74" i="3" s="1"/>
  <c r="G74" i="3" s="1"/>
  <c r="D75" i="3"/>
  <c r="E75" i="3"/>
  <c r="F75" i="3" s="1"/>
  <c r="G75" i="3" s="1"/>
  <c r="D76" i="3"/>
  <c r="E76" i="3"/>
  <c r="F76" i="3" s="1"/>
  <c r="G76" i="3" s="1"/>
  <c r="D77" i="3"/>
  <c r="E77" i="3"/>
  <c r="F77" i="3" s="1"/>
  <c r="G77" i="3" s="1"/>
  <c r="D78" i="3"/>
  <c r="E78" i="3"/>
  <c r="F78" i="3" s="1"/>
  <c r="G78" i="3" s="1"/>
  <c r="D79" i="3"/>
  <c r="E79" i="3"/>
  <c r="F79" i="3" s="1"/>
  <c r="G79" i="3" s="1"/>
  <c r="D80" i="3"/>
  <c r="E80" i="3"/>
  <c r="F80" i="3" s="1"/>
  <c r="G80" i="3" s="1"/>
  <c r="D81" i="3"/>
  <c r="E81" i="3"/>
  <c r="F81" i="3" s="1"/>
  <c r="G81" i="3" s="1"/>
  <c r="D82" i="3"/>
  <c r="E82" i="3"/>
  <c r="F82" i="3" s="1"/>
  <c r="G82" i="3" s="1"/>
  <c r="D83" i="3"/>
  <c r="E83" i="3"/>
  <c r="F83" i="3" s="1"/>
  <c r="G83" i="3" s="1"/>
  <c r="D84" i="3"/>
  <c r="E84" i="3"/>
  <c r="F84" i="3" s="1"/>
  <c r="G84" i="3" s="1"/>
  <c r="D85" i="3"/>
  <c r="E85" i="3"/>
  <c r="F85" i="3" s="1"/>
  <c r="G85" i="3" s="1"/>
  <c r="D86" i="3"/>
  <c r="E86" i="3"/>
  <c r="F86" i="3" s="1"/>
  <c r="G86" i="3" s="1"/>
  <c r="D87" i="3"/>
  <c r="E87" i="3"/>
  <c r="F87" i="3" s="1"/>
  <c r="G87" i="3" s="1"/>
  <c r="D88" i="3"/>
  <c r="E88" i="3"/>
  <c r="F88" i="3" s="1"/>
  <c r="G88" i="3" s="1"/>
  <c r="B90" i="3"/>
  <c r="I15" i="5"/>
  <c r="I16" i="5"/>
  <c r="B23" i="8" a="1"/>
  <c r="C25" i="8" l="1"/>
  <c r="E26" i="8"/>
  <c r="G27" i="8"/>
  <c r="B23" i="8"/>
  <c r="B37" i="8" s="1" a="1"/>
  <c r="B24" i="8"/>
  <c r="D25" i="8"/>
  <c r="F26" i="8"/>
  <c r="B28" i="8"/>
  <c r="C24" i="8"/>
  <c r="E25" i="8"/>
  <c r="G26" i="8"/>
  <c r="C28" i="8"/>
  <c r="E23" i="8"/>
  <c r="B26" i="8"/>
  <c r="F28" i="8"/>
  <c r="C23" i="8"/>
  <c r="D24" i="8"/>
  <c r="F25" i="8"/>
  <c r="B27" i="8"/>
  <c r="D28" i="8"/>
  <c r="F24" i="8"/>
  <c r="D27" i="8"/>
  <c r="D23" i="8"/>
  <c r="E24" i="8"/>
  <c r="G25" i="8"/>
  <c r="C27" i="8"/>
  <c r="E28" i="8"/>
  <c r="F23" i="8"/>
  <c r="G24" i="8"/>
  <c r="C26" i="8"/>
  <c r="E27" i="8"/>
  <c r="G28" i="8"/>
  <c r="G23" i="8"/>
  <c r="B25" i="8"/>
  <c r="D26" i="8"/>
  <c r="F27" i="8"/>
  <c r="M26" i="3"/>
  <c r="G90" i="3"/>
  <c r="H67" i="3"/>
  <c r="D10" i="8" s="1"/>
  <c r="I15" i="3"/>
  <c r="B38" i="8" l="1"/>
  <c r="D39" i="8"/>
  <c r="F40" i="8"/>
  <c r="B37" i="8"/>
  <c r="B51" i="8" s="1"/>
  <c r="C38" i="8"/>
  <c r="E39" i="8"/>
  <c r="G40" i="8"/>
  <c r="D38" i="8"/>
  <c r="F39" i="8"/>
  <c r="B41" i="8"/>
  <c r="E37" i="8"/>
  <c r="E51" i="8" s="1"/>
  <c r="E52" i="8" s="1"/>
  <c r="E53" i="8" s="1"/>
  <c r="C40" i="8"/>
  <c r="E41" i="8"/>
  <c r="C37" i="8"/>
  <c r="E38" i="8"/>
  <c r="G39" i="8"/>
  <c r="C41" i="8"/>
  <c r="D37" i="8"/>
  <c r="D51" i="8" s="1"/>
  <c r="D52" i="8" s="1"/>
  <c r="F38" i="8"/>
  <c r="B40" i="8"/>
  <c r="D41" i="8"/>
  <c r="G38" i="8"/>
  <c r="F37" i="8"/>
  <c r="F51" i="8" s="1"/>
  <c r="F52" i="8" s="1"/>
  <c r="F53" i="8" s="1"/>
  <c r="B39" i="8"/>
  <c r="D40" i="8"/>
  <c r="F41" i="8"/>
  <c r="G37" i="8"/>
  <c r="G51" i="8" s="1"/>
  <c r="G52" i="8" s="1"/>
  <c r="G53" i="8" s="1"/>
  <c r="G54" i="8" s="1"/>
  <c r="G55" i="8" s="1"/>
  <c r="C39" i="8"/>
  <c r="E40" i="8"/>
  <c r="G41" i="8"/>
  <c r="M15" i="3"/>
  <c r="I24" i="3"/>
  <c r="M24" i="3" l="1"/>
  <c r="M25" i="3" s="1"/>
  <c r="C8" i="8"/>
  <c r="C50" i="8" s="1"/>
  <c r="C51" i="8" s="1"/>
  <c r="C52" i="8" s="1"/>
  <c r="F54" i="8"/>
  <c r="F55" i="8" s="1"/>
  <c r="B71" i="8"/>
  <c r="B52" i="8"/>
  <c r="N47" i="8"/>
  <c r="O47" i="8" s="1"/>
  <c r="B72" i="8"/>
  <c r="E54" i="8"/>
  <c r="E55" i="8" s="1"/>
  <c r="D53" i="8"/>
  <c r="D54" i="8" s="1"/>
  <c r="D55" i="8" s="1"/>
  <c r="B62" i="8"/>
  <c r="B78" i="8"/>
  <c r="B81" i="8" s="1"/>
  <c r="Q74" i="8"/>
  <c r="Q77" i="8" s="1"/>
  <c r="B80" i="8" s="1"/>
  <c r="Q75" i="8"/>
  <c r="Q76" i="8"/>
  <c r="N49" i="8" l="1"/>
  <c r="O49" i="8" s="1"/>
  <c r="B82" i="8"/>
  <c r="C82" i="8" s="1"/>
  <c r="B60" i="8"/>
  <c r="B53" i="8"/>
  <c r="B59" i="8"/>
  <c r="B65" i="8" s="1"/>
  <c r="C53" i="8"/>
  <c r="C54" i="8" s="1"/>
  <c r="C55" i="8" s="1"/>
  <c r="B61" i="8"/>
  <c r="N50" i="8" l="1"/>
  <c r="O50" i="8"/>
  <c r="B66" i="8"/>
  <c r="C93" i="8"/>
  <c r="B69" i="8"/>
  <c r="B74" i="8" s="1"/>
  <c r="B75" i="8" s="1"/>
  <c r="C75" i="8" s="1"/>
  <c r="B70" i="8"/>
  <c r="B54" i="8"/>
  <c r="B90" i="8" l="1"/>
  <c r="C66" i="8"/>
  <c r="C90" i="8" s="1"/>
  <c r="B55" i="8"/>
  <c r="B86" i="8"/>
  <c r="N51" i="8"/>
  <c r="O51" i="8"/>
  <c r="N52" i="8" l="1"/>
  <c r="B85" i="8" s="1"/>
  <c r="B88" i="8" s="1"/>
  <c r="O52" i="8"/>
  <c r="B89" i="8" l="1"/>
  <c r="C89" i="8" s="1"/>
  <c r="B97" i="8"/>
  <c r="B98" i="8" s="1"/>
  <c r="B99" i="8" s="1"/>
  <c r="B93" i="8"/>
  <c r="B94" i="8" s="1"/>
  <c r="C94" i="8" s="1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>See Raptor 2</t>
        </r>
      </text>
    </comment>
    <comment ref="R1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rbharati:
The 259 MM Note is excluded from cross-guarantees.</t>
        </r>
      </text>
    </comment>
    <comment ref="A8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  <comment ref="I6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Market Value written down to zero McKillop 2/6/01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</commentList>
</comments>
</file>

<file path=xl/sharedStrings.xml><?xml version="1.0" encoding="utf-8"?>
<sst xmlns="http://schemas.openxmlformats.org/spreadsheetml/2006/main" count="560" uniqueCount="325">
  <si>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</si>
  <si>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</si>
  <si>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</si>
  <si>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</si>
  <si>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</si>
  <si>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</si>
  <si>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</si>
  <si>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</si>
  <si>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</si>
  <si>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3TEC Warrants</t>
  </si>
  <si>
    <t>Swap</t>
  </si>
  <si>
    <t>Long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</si>
  <si>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</si>
  <si>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</si>
  <si>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</si>
  <si>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</si>
  <si>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</si>
  <si>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</si>
  <si>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</si>
  <si>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</si>
  <si>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</si>
  <si>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</si>
  <si>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</si>
  <si>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</si>
  <si>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</si>
  <si>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</si>
  <si>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</si>
  <si>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</si>
  <si>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</si>
  <si>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</si>
  <si>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</si>
  <si>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</si>
  <si>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</si>
  <si>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</si>
  <si>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</si>
  <si>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</si>
  <si>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</si>
  <si>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</si>
  <si>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</si>
  <si>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</si>
  <si>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</si>
  <si>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</si>
  <si>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</si>
  <si>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</si>
  <si>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</si>
  <si>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</si>
  <si>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</si>
  <si>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</si>
  <si>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</si>
  <si>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</si>
  <si>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</si>
  <si>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</si>
  <si>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</si>
  <si>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</si>
  <si>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</si>
  <si>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</si>
  <si>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</si>
  <si>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</si>
  <si>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</si>
  <si>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</si>
  <si>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</si>
  <si>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</si>
  <si>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</si>
  <si>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CEG</t>
  </si>
  <si>
    <t>Gaspart</t>
  </si>
  <si>
    <t>Riogas</t>
  </si>
  <si>
    <t>Other</t>
  </si>
  <si>
    <t>TNPC</t>
  </si>
  <si>
    <t>Warrants</t>
  </si>
  <si>
    <t>Goals of the model:</t>
  </si>
  <si>
    <t xml:space="preserve">      to study the implication of cross-guarantees among raptors on LJM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</si>
  <si>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</si>
  <si>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</si>
  <si>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</si>
  <si>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</si>
  <si>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</si>
  <si>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 xml:space="preserve">      Use portfolio approach to reduce the size of the covariance matrix (Portfolio definition included in the raptor sheets)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</si>
  <si>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</si>
  <si>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</si>
  <si>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</si>
  <si>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</si>
  <si>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</si>
  <si>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</si>
  <si>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</si>
  <si>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Total Brazilian Exposure (CEG+Gaspart+Riogas+Other) in Raptor 2 (BRASR2)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</si>
  <si>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</si>
  <si>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</si>
  <si>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</si>
  <si>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</si>
  <si>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</si>
  <si>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</si>
  <si>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</si>
  <si>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</si>
  <si>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</si>
  <si>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</si>
  <si>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</si>
  <si>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</si>
  <si>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</si>
  <si>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</si>
  <si>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</si>
  <si>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</si>
  <si>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</si>
  <si>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</si>
  <si>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</si>
  <si>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</si>
  <si>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</si>
  <si>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</si>
  <si>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</si>
  <si>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</si>
  <si>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</si>
  <si>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</si>
  <si>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</si>
  <si>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</si>
  <si>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</si>
  <si>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</si>
  <si>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</si>
  <si>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</si>
  <si>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</si>
  <si>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</si>
  <si>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</si>
  <si>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</si>
  <si>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</si>
  <si>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</si>
  <si>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</si>
  <si>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</si>
  <si>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Correlated Random Shock (Main)</t>
  </si>
  <si>
    <t>Correlated Random Shock 1 (to R1)</t>
  </si>
  <si>
    <t>Correlated Random Shock 2 (to R2)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</si>
  <si>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</si>
  <si>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</si>
  <si>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</si>
  <si>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</si>
  <si>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</si>
  <si>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</si>
  <si>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</si>
  <si>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</si>
  <si>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</si>
  <si>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</si>
  <si>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</si>
  <si>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</si>
  <si>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</si>
  <si>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</si>
  <si>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</si>
  <si>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</si>
  <si>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</si>
  <si>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</si>
  <si>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</si>
  <si>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</si>
  <si>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</si>
  <si>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</si>
  <si>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</si>
  <si>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</si>
  <si>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</si>
  <si>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</si>
  <si>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</si>
  <si>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Value of ENE Stocks (Held+Waterfall)</t>
  </si>
  <si>
    <t>Collar Gains/Losses</t>
  </si>
  <si>
    <t>Collars</t>
  </si>
  <si>
    <t>Raptor 1 Call Price</t>
  </si>
  <si>
    <t>Raptor 1 Put Price</t>
  </si>
  <si>
    <t>Raptor 2 Call Price</t>
  </si>
  <si>
    <t>Raptor 2 Put Price</t>
  </si>
  <si>
    <t>Units equal shares held and maximum from Waterfall</t>
  </si>
  <si>
    <t>Public Swap Gains/Losses</t>
  </si>
  <si>
    <t>Private Swap Gains/Losses</t>
  </si>
  <si>
    <t>Note Resolution</t>
  </si>
  <si>
    <t xml:space="preserve">LMJ </t>
  </si>
  <si>
    <t>Value of ENE Stocks (Waterfall)</t>
  </si>
  <si>
    <t>Brazilian Swap Gains/Losses</t>
  </si>
  <si>
    <t>Assets minus Liabilities</t>
  </si>
  <si>
    <t>Carryforward rate</t>
  </si>
  <si>
    <t>for Raptor Gains/Losses</t>
  </si>
  <si>
    <t>&lt;&lt; Simple sum</t>
  </si>
  <si>
    <t>Waterfall Structure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</si>
  <si>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</si>
  <si>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</si>
  <si>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</si>
  <si>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</si>
  <si>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</si>
  <si>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</si>
  <si>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</si>
  <si>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</si>
  <si>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</si>
  <si>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</si>
  <si>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</si>
  <si>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</si>
  <si>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</si>
  <si>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Are we compounding the payments for LJM as they are being paid later as a result of the cross-guarantees?</t>
  </si>
  <si>
    <t>Early payoffs from cross-guarantees (not LJM's terminal payment)are being compunded at 7%.  Should we make it equal to risky or risk-free discount rate?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</si>
  <si>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</si>
  <si>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</si>
  <si>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</si>
  <si>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</si>
  <si>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</si>
  <si>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</si>
  <si>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         The raptor spreadsheets (obtained from Kevin D. Jordan) provided information on the assets and liabilities of raptor vehicles (raptor1h, raptor2b, raptor3b, and raptor4.xls)</t>
  </si>
  <si>
    <t xml:space="preserve">         RAC (Mark Bonney) provided the spreadsheet, Raptor Value Summary.xls, for data on market values of Raptor 1 private exposure and Raptor 2 Brazilian exposure.</t>
  </si>
  <si>
    <t xml:space="preserve">Basic Energy Preferred </t>
  </si>
  <si>
    <t>American Coal Company</t>
  </si>
  <si>
    <t>Principal</t>
  </si>
  <si>
    <t>Beau Canada</t>
  </si>
  <si>
    <t>Bonus Resources</t>
  </si>
  <si>
    <t>Can Fibre</t>
  </si>
  <si>
    <t>Can Fibre (Waste)</t>
  </si>
  <si>
    <t>Cityforest (Senior)</t>
  </si>
  <si>
    <t>Cityforest (Junior)</t>
  </si>
  <si>
    <t>Cline Dakota</t>
  </si>
  <si>
    <t>Cline Panther</t>
  </si>
  <si>
    <t>East Coast Power</t>
  </si>
  <si>
    <t>Heartland</t>
  </si>
  <si>
    <t>HV marine</t>
  </si>
  <si>
    <t>Kafus</t>
  </si>
  <si>
    <t>Segundo Navarro (Lewis)</t>
  </si>
  <si>
    <t>LSI</t>
  </si>
  <si>
    <t>Oconto</t>
  </si>
  <si>
    <t>Sierra (senior)</t>
  </si>
  <si>
    <t>Sierra (subordinated)</t>
  </si>
  <si>
    <t>Transcoastal</t>
  </si>
  <si>
    <t>Credit Spread</t>
  </si>
  <si>
    <t>Prob. Of</t>
  </si>
  <si>
    <t>Def</t>
  </si>
  <si>
    <t>Shock</t>
  </si>
  <si>
    <t>Event</t>
  </si>
  <si>
    <t>Def = 0</t>
  </si>
  <si>
    <t>Recovery</t>
  </si>
  <si>
    <t>Shortfall=</t>
  </si>
  <si>
    <t>Merlin</t>
  </si>
  <si>
    <t>Drift Term Calculation:</t>
  </si>
  <si>
    <t>Rm =</t>
  </si>
  <si>
    <t>Rf =</t>
  </si>
  <si>
    <t>beta</t>
  </si>
  <si>
    <t>drift</t>
  </si>
  <si>
    <t>NPW</t>
  </si>
  <si>
    <t>BRAZIL</t>
  </si>
  <si>
    <t>Asset</t>
  </si>
  <si>
    <t>pubr1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</si>
  <si>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</si>
  <si>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</si>
  <si>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</si>
  <si>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</si>
  <si>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</si>
  <si>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</si>
  <si>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</si>
  <si>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</si>
  <si>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</si>
  <si>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</si>
  <si>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</si>
  <si>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</si>
  <si>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</si>
  <si>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</si>
  <si>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</si>
  <si>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</si>
  <si>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</si>
  <si>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Cross-Guaranteed Payoff</t>
  </si>
  <si>
    <t>LJM's Payoff (w/o cross-guarantees)</t>
  </si>
  <si>
    <t>CrossGuarantees (Two-sided for LJM)</t>
  </si>
  <si>
    <t>Extracted Sum from LJM</t>
  </si>
  <si>
    <t>LJM's CrossGuaranteed Payoff (One-sided)</t>
  </si>
  <si>
    <t>Combined A/L Position - close of Raptor4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</si>
  <si>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</si>
  <si>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</si>
  <si>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</si>
  <si>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</si>
  <si>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</si>
  <si>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</si>
  <si>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</si>
  <si>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</si>
  <si>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</si>
  <si>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</si>
  <si>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</si>
  <si>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</si>
  <si>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</si>
  <si>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</si>
  <si>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</si>
  <si>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</si>
  <si>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</si>
  <si>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</si>
  <si>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</si>
  <si>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</si>
  <si>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</si>
  <si>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</si>
  <si>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</si>
  <si>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</si>
  <si>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</si>
  <si>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Privates are marked to the market for strike prices, publics and Brazilians have definite prices</t>
  </si>
  <si>
    <t xml:space="preserve">         Gordon McKillop's spreadsheets provided more up-to-date figures on the raptors.</t>
  </si>
  <si>
    <t>Assumptions/Questions/Notes</t>
  </si>
  <si>
    <t>Hanover</t>
  </si>
  <si>
    <t>Raptor 4 Call Price</t>
  </si>
  <si>
    <t>Raptor 4 Put Price</t>
  </si>
  <si>
    <t>P/L</t>
  </si>
  <si>
    <t>Publics</t>
  </si>
  <si>
    <t>Swap Price</t>
  </si>
  <si>
    <t>Effective Fix Price</t>
  </si>
  <si>
    <t>Market Price</t>
  </si>
  <si>
    <t>Public+Private</t>
  </si>
  <si>
    <t>From 29Jan Summary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</si>
  <si>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</si>
  <si>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</si>
  <si>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</si>
  <si>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</si>
  <si>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</si>
  <si>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</si>
  <si>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</si>
  <si>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</si>
  <si>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>long</t>
  </si>
  <si>
    <t>short</t>
  </si>
  <si>
    <t>Sum of individual shortfalls</t>
  </si>
  <si>
    <t>Ene</t>
  </si>
  <si>
    <t>Brasil</t>
  </si>
  <si>
    <t>Volatilities</t>
  </si>
  <si>
    <t>Low</t>
  </si>
  <si>
    <t>Base</t>
  </si>
  <si>
    <t>Merlin has a market value of 30,637,000 as of 2/6/01</t>
  </si>
  <si>
    <t>ENRON 60%</t>
  </si>
  <si>
    <t>Chewco 30.16%</t>
  </si>
  <si>
    <t>Collar on ENE</t>
  </si>
  <si>
    <t xml:space="preserve">         Hanover Compressor of Raptor 2</t>
  </si>
  <si>
    <t xml:space="preserve">          Riskfree Rate = 6%, Market Return = 16%, Betas calculated using last three years' data, unless not available.</t>
  </si>
  <si>
    <t xml:space="preserve">      Volatilities are implied from options contracts.</t>
  </si>
  <si>
    <t>Random Shock 3 (to R4)</t>
  </si>
  <si>
    <t>Random Shock 4 (to R3)</t>
  </si>
  <si>
    <t>Correlated Random Shock 3 (to R4)</t>
  </si>
  <si>
    <t>Correlated Random Shock 4 (to R3)</t>
  </si>
  <si>
    <t>NPW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</si>
</sst>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9" formatCode="0.000"/>
    <numFmt numFmtId="171" formatCode="0.0000"/>
    <numFmt numFmtId="177" formatCode="0.00000"/>
    <numFmt numFmtId="178" formatCode="m/d"/>
    <numFmt numFmtId="179" formatCode="#,##0.000"/>
    <numFmt numFmtId="181" formatCode="#,##0.000_);\(#,##0.000\)"/>
  </numFmts>
  <fonts count="14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7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37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37" fontId="4" fillId="0" borderId="0" xfId="0" applyNumberFormat="1" applyFont="1" applyBorder="1" applyAlignment="1">
      <alignment wrapText="1"/>
    </xf>
    <xf numFmtId="37" fontId="0" fillId="0" borderId="0" xfId="2" applyNumberFormat="1" applyFont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169" fontId="4" fillId="0" borderId="0" xfId="0" applyNumberFormat="1" applyFont="1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37" fontId="3" fillId="3" borderId="0" xfId="0" applyNumberFormat="1" applyFon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3" fontId="0" fillId="0" borderId="0" xfId="0" applyNumberFormat="1"/>
    <xf numFmtId="166" fontId="0" fillId="2" borderId="0" xfId="1" applyNumberFormat="1" applyFont="1" applyFill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37" fontId="0" fillId="3" borderId="0" xfId="0" applyNumberFormat="1" applyFill="1"/>
    <xf numFmtId="177" fontId="0" fillId="4" borderId="0" xfId="0" applyNumberFormat="1" applyFill="1"/>
    <xf numFmtId="177" fontId="0" fillId="2" borderId="0" xfId="0" applyNumberFormat="1" applyFill="1"/>
    <xf numFmtId="177" fontId="12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3" fillId="0" borderId="0" xfId="0" applyFont="1"/>
    <xf numFmtId="166" fontId="9" fillId="2" borderId="2" xfId="1" applyNumberFormat="1" applyFont="1" applyFill="1" applyBorder="1"/>
    <xf numFmtId="166" fontId="9" fillId="0" borderId="0" xfId="0" applyNumberFormat="1" applyFont="1"/>
    <xf numFmtId="166" fontId="9" fillId="0" borderId="3" xfId="0" applyNumberFormat="1" applyFont="1" applyBorder="1"/>
    <xf numFmtId="0" fontId="9" fillId="0" borderId="3" xfId="0" applyFont="1" applyFill="1" applyBorder="1"/>
    <xf numFmtId="0" fontId="9" fillId="0" borderId="0" xfId="0" applyFont="1" applyAlignment="1">
      <alignment wrapText="1"/>
    </xf>
    <xf numFmtId="167" fontId="0" fillId="0" borderId="0" xfId="2" applyNumberFormat="1" applyFont="1" applyBorder="1"/>
    <xf numFmtId="167" fontId="0" fillId="0" borderId="0" xfId="0" applyNumberFormat="1" applyFill="1"/>
    <xf numFmtId="166" fontId="9" fillId="0" borderId="0" xfId="1" applyNumberFormat="1" applyFont="1"/>
    <xf numFmtId="37" fontId="3" fillId="0" borderId="0" xfId="0" applyNumberFormat="1" applyFont="1" applyFill="1"/>
    <xf numFmtId="179" fontId="0" fillId="0" borderId="0" xfId="2" applyNumberFormat="1" applyFont="1"/>
    <xf numFmtId="181" fontId="0" fillId="0" borderId="0" xfId="2" applyNumberFormat="1" applyFont="1"/>
    <xf numFmtId="181" fontId="2" fillId="0" borderId="0" xfId="2" applyNumberFormat="1" applyFont="1"/>
    <xf numFmtId="179" fontId="2" fillId="0" borderId="0" xfId="2" applyNumberFormat="1" applyFont="1"/>
    <xf numFmtId="169" fontId="0" fillId="5" borderId="0" xfId="0" applyNumberFormat="1" applyFill="1"/>
    <xf numFmtId="0" fontId="0" fillId="5" borderId="0" xfId="0" applyFill="1"/>
    <xf numFmtId="10" fontId="0" fillId="5" borderId="0" xfId="0" applyNumberFormat="1" applyFill="1"/>
    <xf numFmtId="166" fontId="0" fillId="5" borderId="0" xfId="1" applyNumberFormat="1" applyFont="1" applyFill="1"/>
    <xf numFmtId="166" fontId="0" fillId="5" borderId="0" xfId="0" applyNumberFormat="1" applyFill="1"/>
    <xf numFmtId="10" fontId="4" fillId="5" borderId="0" xfId="0" applyNumberFormat="1" applyFont="1" applyFill="1"/>
    <xf numFmtId="0" fontId="4" fillId="5" borderId="0" xfId="0" applyFont="1" applyFill="1"/>
    <xf numFmtId="9" fontId="0" fillId="0" borderId="0" xfId="0" applyNumberFormat="1"/>
    <xf numFmtId="0" fontId="9" fillId="0" borderId="2" xfId="0" applyFont="1" applyFill="1" applyBorder="1"/>
    <xf numFmtId="166" fontId="9" fillId="0" borderId="2" xfId="0" applyNumberFormat="1" applyFont="1" applyFill="1" applyBorder="1"/>
    <xf numFmtId="0" fontId="4" fillId="0" borderId="0" xfId="0" applyFont="1" applyFill="1"/>
    <xf numFmtId="38" fontId="0" fillId="0" borderId="0" xfId="2" applyNumberFormat="1" applyFont="1"/>
    <xf numFmtId="0" fontId="4" fillId="0" borderId="0" xfId="0" applyFont="1"/>
    <xf numFmtId="0" fontId="4" fillId="0" borderId="0" xfId="0" applyFont="1" applyFill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33"/>
  <sheetViews>
    <sheetView workbookViewId="0">
      <selection activeCell="E10" sqref="E10"/>
    </sheetView>
  </sheetViews>
  <sheetFormatPr defaultRowHeight="11.25" x14ac:dyDescent="0.2"/>
  <cols>
    <col min="1" max="1" width="16.6640625" bestFit="1" customWidth="1"/>
  </cols>
  <sheetData>
    <row r="2" spans="1:1" x14ac:dyDescent="0.2">
      <c r="A2" t="s">
        <v>69</v>
      </c>
    </row>
    <row r="4" spans="1:1" x14ac:dyDescent="0.2">
      <c r="A4" t="s">
        <v>71</v>
      </c>
    </row>
    <row r="5" spans="1:1" x14ac:dyDescent="0.2">
      <c r="A5" t="s">
        <v>70</v>
      </c>
    </row>
    <row r="7" spans="1:1" x14ac:dyDescent="0.2">
      <c r="A7" t="s">
        <v>75</v>
      </c>
    </row>
    <row r="9" spans="1:1" x14ac:dyDescent="0.2">
      <c r="A9" t="s">
        <v>72</v>
      </c>
    </row>
    <row r="10" spans="1:1" x14ac:dyDescent="0.2">
      <c r="A10" t="s">
        <v>76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77</v>
      </c>
    </row>
    <row r="14" spans="1:1" x14ac:dyDescent="0.2">
      <c r="A14" t="s">
        <v>81</v>
      </c>
    </row>
    <row r="15" spans="1:1" x14ac:dyDescent="0.2">
      <c r="A15" t="s">
        <v>82</v>
      </c>
    </row>
    <row r="16" spans="1:1" x14ac:dyDescent="0.2">
      <c r="A16" t="s">
        <v>83</v>
      </c>
    </row>
    <row r="17" spans="1:1" x14ac:dyDescent="0.2">
      <c r="A17" t="s">
        <v>317</v>
      </c>
    </row>
    <row r="18" spans="1:1" x14ac:dyDescent="0.2">
      <c r="A18" t="s">
        <v>84</v>
      </c>
    </row>
    <row r="19" spans="1:1" x14ac:dyDescent="0.2">
      <c r="A19" t="s">
        <v>85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285</v>
      </c>
    </row>
    <row r="27" spans="1:1" x14ac:dyDescent="0.2">
      <c r="A27" t="s">
        <v>286</v>
      </c>
    </row>
    <row r="28" spans="1:1" x14ac:dyDescent="0.2">
      <c r="A28" t="s">
        <v>283</v>
      </c>
    </row>
    <row r="29" spans="1:1" x14ac:dyDescent="0.2">
      <c r="A29" t="s">
        <v>318</v>
      </c>
    </row>
    <row r="30" spans="1:1" x14ac:dyDescent="0.2">
      <c r="A30" t="s">
        <v>319</v>
      </c>
    </row>
    <row r="31" spans="1:1" x14ac:dyDescent="0.2">
      <c r="A31" t="s">
        <v>284</v>
      </c>
    </row>
    <row r="32" spans="1:1" x14ac:dyDescent="0.2">
      <c r="A32" t="s">
        <v>243</v>
      </c>
    </row>
    <row r="33" spans="1:1" x14ac:dyDescent="0.2">
      <c r="A33" t="s">
        <v>282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3"/>
  <sheetViews>
    <sheetView tabSelected="1" workbookViewId="0"/>
  </sheetViews>
  <sheetFormatPr defaultRowHeight="11.25" x14ac:dyDescent="0.2"/>
  <cols>
    <col min="1" max="1" width="35.83203125" customWidth="1"/>
    <col min="2" max="2" width="15.5" bestFit="1" customWidth="1"/>
    <col min="3" max="3" width="15" customWidth="1"/>
    <col min="4" max="5" width="13.33203125" bestFit="1" customWidth="1"/>
    <col min="6" max="6" width="15" customWidth="1"/>
    <col min="7" max="7" width="15.1640625" bestFit="1" customWidth="1"/>
    <col min="8" max="8" width="7" customWidth="1"/>
    <col min="9" max="9" width="13" customWidth="1"/>
    <col min="10" max="10" width="8" bestFit="1" customWidth="1"/>
    <col min="11" max="11" width="9.6640625" customWidth="1"/>
    <col min="12" max="12" width="22.1640625" bestFit="1" customWidth="1"/>
    <col min="13" max="13" width="13" customWidth="1"/>
    <col min="14" max="14" width="15.6640625" customWidth="1"/>
    <col min="15" max="15" width="14.5" customWidth="1"/>
    <col min="16" max="17" width="12.5" bestFit="1" customWidth="1"/>
    <col min="18" max="18" width="10.1640625" bestFit="1" customWidth="1"/>
  </cols>
  <sheetData>
    <row r="1" spans="1:19" x14ac:dyDescent="0.2">
      <c r="A1" t="s">
        <v>80</v>
      </c>
    </row>
    <row r="2" spans="1:19" x14ac:dyDescent="0.2">
      <c r="A2" s="28" t="s">
        <v>154</v>
      </c>
      <c r="C2" s="26"/>
      <c r="D2" s="26"/>
      <c r="E2" s="26"/>
      <c r="F2" s="26"/>
    </row>
    <row r="3" spans="1:19" x14ac:dyDescent="0.2">
      <c r="B3" s="28" t="s">
        <v>21</v>
      </c>
      <c r="C3" s="28" t="s">
        <v>88</v>
      </c>
      <c r="D3" s="28" t="s">
        <v>89</v>
      </c>
      <c r="E3" s="28" t="s">
        <v>287</v>
      </c>
      <c r="F3" s="28" t="s">
        <v>90</v>
      </c>
      <c r="G3" s="28" t="s">
        <v>232</v>
      </c>
      <c r="L3" s="28" t="s">
        <v>109</v>
      </c>
      <c r="O3" s="28" t="s">
        <v>149</v>
      </c>
    </row>
    <row r="4" spans="1:19" x14ac:dyDescent="0.2">
      <c r="A4" s="28"/>
      <c r="B4" s="39"/>
      <c r="C4" s="26"/>
      <c r="D4" s="26"/>
      <c r="E4" s="26"/>
      <c r="F4" s="26"/>
      <c r="G4" s="40"/>
      <c r="L4" s="28" t="s">
        <v>110</v>
      </c>
      <c r="N4" s="30">
        <v>50000000</v>
      </c>
    </row>
    <row r="5" spans="1:19" x14ac:dyDescent="0.2">
      <c r="A5" s="28" t="s">
        <v>1</v>
      </c>
      <c r="B5" s="84">
        <v>81</v>
      </c>
      <c r="C5" s="85"/>
      <c r="D5" s="85"/>
      <c r="E5" s="85">
        <v>37.880000000000003</v>
      </c>
      <c r="F5" s="85"/>
      <c r="G5" s="85">
        <v>10</v>
      </c>
      <c r="L5" s="28" t="s">
        <v>108</v>
      </c>
      <c r="N5" s="30">
        <v>2500000000</v>
      </c>
    </row>
    <row r="6" spans="1:19" x14ac:dyDescent="0.2">
      <c r="A6" s="28" t="s">
        <v>86</v>
      </c>
      <c r="B6" s="86">
        <v>0.113</v>
      </c>
      <c r="C6" s="86">
        <v>9.6000000000000002E-2</v>
      </c>
      <c r="D6" s="86">
        <v>0.1</v>
      </c>
      <c r="E6" s="86">
        <v>0.10600000000000001</v>
      </c>
      <c r="F6" s="86">
        <v>0.14100000000000001</v>
      </c>
      <c r="G6" s="86">
        <v>0.22800000000000001</v>
      </c>
      <c r="L6" s="28" t="s">
        <v>128</v>
      </c>
      <c r="M6" s="35">
        <v>37636</v>
      </c>
      <c r="O6" s="33">
        <f ca="1">(M6-M16)/M17</f>
        <v>-11.643835616438356</v>
      </c>
    </row>
    <row r="7" spans="1:19" x14ac:dyDescent="0.2">
      <c r="A7" s="28" t="s">
        <v>87</v>
      </c>
      <c r="B7" s="85">
        <v>0</v>
      </c>
      <c r="C7" s="85">
        <v>0</v>
      </c>
      <c r="D7" s="85">
        <v>0</v>
      </c>
      <c r="E7" s="85">
        <v>0</v>
      </c>
      <c r="F7" s="85">
        <v>0</v>
      </c>
      <c r="G7" s="85">
        <v>0</v>
      </c>
      <c r="M7" t="s">
        <v>129</v>
      </c>
    </row>
    <row r="8" spans="1:19" x14ac:dyDescent="0.2">
      <c r="A8" s="28" t="s">
        <v>91</v>
      </c>
      <c r="B8" s="87">
        <f>B5</f>
        <v>81</v>
      </c>
      <c r="C8" s="87">
        <f>'Raptor 1'!I24</f>
        <v>83111757.186700001</v>
      </c>
      <c r="D8" s="87">
        <f>'Raptor 1'!I67</f>
        <v>189464090.16998416</v>
      </c>
      <c r="E8" s="87">
        <f>E5</f>
        <v>37.880000000000003</v>
      </c>
      <c r="F8" s="87">
        <f>'Raptor 2'!I16</f>
        <v>221404000</v>
      </c>
      <c r="G8" s="87">
        <f>G5</f>
        <v>10</v>
      </c>
      <c r="M8" s="28"/>
      <c r="N8" s="28" t="s">
        <v>103</v>
      </c>
      <c r="O8" s="28" t="s">
        <v>146</v>
      </c>
      <c r="P8" s="28" t="s">
        <v>239</v>
      </c>
    </row>
    <row r="9" spans="1:19" x14ac:dyDescent="0.2">
      <c r="A9" s="28" t="s">
        <v>0</v>
      </c>
      <c r="B9" s="86">
        <v>0.3</v>
      </c>
      <c r="C9" s="86">
        <v>0.34</v>
      </c>
      <c r="D9" s="86">
        <v>0.34</v>
      </c>
      <c r="E9" s="86">
        <v>0.35</v>
      </c>
      <c r="F9" s="86">
        <v>0.37</v>
      </c>
      <c r="G9" s="86">
        <v>0.4</v>
      </c>
      <c r="M9" s="28" t="s">
        <v>106</v>
      </c>
      <c r="N9" s="28" t="s">
        <v>104</v>
      </c>
      <c r="O9" s="28" t="s">
        <v>147</v>
      </c>
      <c r="P9" s="28" t="s">
        <v>166</v>
      </c>
      <c r="Q9" s="28" t="s">
        <v>241</v>
      </c>
    </row>
    <row r="10" spans="1:19" x14ac:dyDescent="0.2">
      <c r="A10" s="28" t="s">
        <v>117</v>
      </c>
      <c r="B10" s="85"/>
      <c r="C10" s="88">
        <f>'Raptor 1'!H24</f>
        <v>233020515.51991591</v>
      </c>
      <c r="D10" s="88">
        <f>'Raptor 1'!H67</f>
        <v>245752765.78</v>
      </c>
      <c r="E10" s="85"/>
      <c r="F10" s="88">
        <f>'Raptor 2'!M16</f>
        <v>460000000</v>
      </c>
      <c r="G10" s="85"/>
      <c r="L10" s="28" t="s">
        <v>98</v>
      </c>
      <c r="M10" s="28" t="s">
        <v>107</v>
      </c>
      <c r="N10" s="28" t="s">
        <v>105</v>
      </c>
      <c r="O10" s="28" t="s">
        <v>148</v>
      </c>
      <c r="P10" s="28" t="s">
        <v>240</v>
      </c>
      <c r="Q10" s="28" t="s">
        <v>242</v>
      </c>
    </row>
    <row r="11" spans="1:19" x14ac:dyDescent="0.2">
      <c r="A11" s="28"/>
      <c r="B11" s="85"/>
      <c r="C11" s="85"/>
      <c r="D11" s="85"/>
      <c r="E11" s="85"/>
      <c r="F11" s="85"/>
      <c r="G11" s="85"/>
      <c r="L11" t="s">
        <v>99</v>
      </c>
      <c r="M11" s="35">
        <v>37729</v>
      </c>
      <c r="N11" s="30">
        <v>3876755</v>
      </c>
      <c r="O11" s="33">
        <f>(M11-M6)/M17</f>
        <v>0.25479452054794521</v>
      </c>
      <c r="P11" s="30">
        <v>36000000</v>
      </c>
      <c r="Q11" s="57">
        <f>350000000+93000000</f>
        <v>443000000</v>
      </c>
    </row>
    <row r="12" spans="1:19" x14ac:dyDescent="0.2">
      <c r="A12" s="28" t="s">
        <v>97</v>
      </c>
      <c r="B12" s="86">
        <v>0.05</v>
      </c>
      <c r="C12" s="44">
        <f>B12</f>
        <v>0.05</v>
      </c>
      <c r="D12" s="44">
        <f>B12</f>
        <v>0.05</v>
      </c>
      <c r="E12" s="44">
        <f>B12</f>
        <v>0.05</v>
      </c>
      <c r="F12" s="44">
        <f>B12</f>
        <v>0.05</v>
      </c>
      <c r="G12" s="44">
        <f>B12</f>
        <v>0.05</v>
      </c>
      <c r="L12" t="s">
        <v>100</v>
      </c>
      <c r="M12" s="35">
        <v>37801</v>
      </c>
      <c r="N12" s="30">
        <v>7809790</v>
      </c>
      <c r="O12" s="33">
        <f>(M12-M11)/$M$17</f>
        <v>0.19726027397260273</v>
      </c>
      <c r="P12" s="30">
        <v>31100000</v>
      </c>
      <c r="Q12" s="57">
        <v>375000000</v>
      </c>
    </row>
    <row r="13" spans="1:19" x14ac:dyDescent="0.2">
      <c r="L13" t="s">
        <v>101</v>
      </c>
      <c r="M13" s="35">
        <v>37891</v>
      </c>
      <c r="N13" s="30">
        <v>0</v>
      </c>
      <c r="O13" s="33">
        <f>(M13-M12)/$M$17</f>
        <v>0.24657534246575341</v>
      </c>
      <c r="P13" s="30">
        <v>30000000</v>
      </c>
      <c r="Q13" s="30">
        <f>S13+R13</f>
        <v>299000000</v>
      </c>
      <c r="R13" s="2">
        <v>259000000</v>
      </c>
      <c r="S13" s="2">
        <v>40000000</v>
      </c>
    </row>
    <row r="14" spans="1:19" x14ac:dyDescent="0.2">
      <c r="A14" s="28" t="s">
        <v>95</v>
      </c>
      <c r="L14" t="s">
        <v>102</v>
      </c>
      <c r="M14" s="35">
        <v>37875</v>
      </c>
      <c r="N14" s="30">
        <v>6326045</v>
      </c>
      <c r="O14" s="33">
        <f>(M14-M13)/$M$17</f>
        <v>-4.3835616438356165E-2</v>
      </c>
      <c r="P14" s="30">
        <v>30000000</v>
      </c>
      <c r="Q14" s="30">
        <v>350000000</v>
      </c>
    </row>
    <row r="15" spans="1:19" x14ac:dyDescent="0.2">
      <c r="A15" t="s">
        <v>21</v>
      </c>
      <c r="B15" s="84">
        <v>1</v>
      </c>
      <c r="C15" s="84"/>
      <c r="D15" s="84"/>
      <c r="E15" s="84"/>
      <c r="F15" s="84"/>
      <c r="G15" s="84"/>
      <c r="N15" s="30"/>
    </row>
    <row r="16" spans="1:19" x14ac:dyDescent="0.2">
      <c r="A16" t="s">
        <v>88</v>
      </c>
      <c r="B16" s="84">
        <v>6.2133537780155769E-2</v>
      </c>
      <c r="C16" s="84">
        <v>1</v>
      </c>
      <c r="D16" s="84"/>
      <c r="E16" s="84"/>
      <c r="F16" s="84"/>
      <c r="G16" s="84"/>
      <c r="L16" t="s">
        <v>120</v>
      </c>
      <c r="M16" s="35">
        <f ca="1">TODAY()</f>
        <v>41886</v>
      </c>
    </row>
    <row r="17" spans="1:16" x14ac:dyDescent="0.2">
      <c r="A17" t="s">
        <v>89</v>
      </c>
      <c r="B17" s="84">
        <v>0.25797531633824744</v>
      </c>
      <c r="C17" s="84">
        <v>0.15532633438677035</v>
      </c>
      <c r="D17" s="84">
        <v>1</v>
      </c>
      <c r="E17" s="84"/>
      <c r="F17" s="84"/>
      <c r="G17" s="84"/>
      <c r="L17" t="s">
        <v>121</v>
      </c>
      <c r="M17" s="34">
        <v>365</v>
      </c>
    </row>
    <row r="18" spans="1:16" x14ac:dyDescent="0.2">
      <c r="A18" t="s">
        <v>287</v>
      </c>
      <c r="B18" s="84">
        <v>0.21410829046488672</v>
      </c>
      <c r="C18" s="84">
        <v>0.12029430483784639</v>
      </c>
      <c r="D18" s="84">
        <v>0.20143124786405101</v>
      </c>
      <c r="E18" s="84">
        <v>1</v>
      </c>
      <c r="F18" s="84"/>
      <c r="G18" s="84"/>
    </row>
    <row r="19" spans="1:16" x14ac:dyDescent="0.2">
      <c r="A19" t="s">
        <v>90</v>
      </c>
      <c r="B19" s="84">
        <v>6.3345258429317597E-2</v>
      </c>
      <c r="C19" s="84">
        <v>1.5325810633801598E-2</v>
      </c>
      <c r="D19" s="84">
        <v>0.24322016703998139</v>
      </c>
      <c r="E19" s="84">
        <v>5.1008777126351199E-2</v>
      </c>
      <c r="F19" s="84">
        <v>1</v>
      </c>
      <c r="G19" s="84"/>
      <c r="L19" s="28" t="s">
        <v>113</v>
      </c>
    </row>
    <row r="20" spans="1:16" x14ac:dyDescent="0.2">
      <c r="A20" t="s">
        <v>67</v>
      </c>
      <c r="B20" s="84">
        <v>0.21986195876427173</v>
      </c>
      <c r="C20" s="84">
        <v>0.28357646584069601</v>
      </c>
      <c r="D20" s="84">
        <v>0.26547149466793979</v>
      </c>
      <c r="E20" s="84">
        <v>0.13971079008132944</v>
      </c>
      <c r="F20" s="84">
        <v>0.20063144702592658</v>
      </c>
      <c r="G20" s="84">
        <v>1</v>
      </c>
      <c r="L20" t="s">
        <v>111</v>
      </c>
      <c r="N20" s="31">
        <f>N5/N4</f>
        <v>50</v>
      </c>
    </row>
    <row r="21" spans="1:16" x14ac:dyDescent="0.2">
      <c r="L21" t="s">
        <v>112</v>
      </c>
      <c r="N21" s="31">
        <f>N5/(N4-N11)</f>
        <v>54.202604348414773</v>
      </c>
    </row>
    <row r="22" spans="1:16" x14ac:dyDescent="0.2">
      <c r="A22" s="28" t="s">
        <v>96</v>
      </c>
      <c r="L22" t="s">
        <v>114</v>
      </c>
      <c r="N22" s="31">
        <f>N5/(N4-N11-N12)</f>
        <v>65.251228321747547</v>
      </c>
    </row>
    <row r="23" spans="1:16" x14ac:dyDescent="0.2">
      <c r="B23" s="45" t="e">
        <f t="array" aca="1" ref="B23:G28" ca="1">_xll.xCholeski(B15:G20)</f>
        <v>#NAME?</v>
      </c>
      <c r="C23" s="45" t="e">
        <f ca="1"/>
        <v>#NAME?</v>
      </c>
      <c r="D23" s="45" t="e">
        <f ca="1"/>
        <v>#NAME?</v>
      </c>
      <c r="E23" s="45" t="e">
        <f ca="1"/>
        <v>#NAME?</v>
      </c>
      <c r="F23" s="45" t="e">
        <f ca="1"/>
        <v>#NAME?</v>
      </c>
      <c r="G23" s="45" t="e">
        <f ca="1"/>
        <v>#NAME?</v>
      </c>
      <c r="L23" t="s">
        <v>115</v>
      </c>
      <c r="N23" s="31">
        <f>N5/(N4-N11-N12-N14)</f>
        <v>78.155749402655601</v>
      </c>
    </row>
    <row r="24" spans="1:16" x14ac:dyDescent="0.2">
      <c r="B24" s="45" t="e">
        <f ca="1"/>
        <v>#NAME?</v>
      </c>
      <c r="C24" s="45" t="e">
        <f ca="1"/>
        <v>#NAME?</v>
      </c>
      <c r="D24" s="45" t="e">
        <f ca="1"/>
        <v>#NAME?</v>
      </c>
      <c r="E24" s="45" t="e">
        <f ca="1"/>
        <v>#NAME?</v>
      </c>
      <c r="F24" s="45" t="e">
        <f ca="1"/>
        <v>#NAME?</v>
      </c>
      <c r="G24" s="45" t="e">
        <f ca="1"/>
        <v>#NAME?</v>
      </c>
    </row>
    <row r="25" spans="1:16" x14ac:dyDescent="0.2">
      <c r="B25" s="45" t="e">
        <f ca="1"/>
        <v>#NAME?</v>
      </c>
      <c r="C25" s="45" t="e">
        <f ca="1"/>
        <v>#NAME?</v>
      </c>
      <c r="D25" s="45" t="e">
        <f ca="1"/>
        <v>#NAME?</v>
      </c>
      <c r="E25" s="45" t="e">
        <f ca="1"/>
        <v>#NAME?</v>
      </c>
      <c r="F25" s="45" t="e">
        <f ca="1"/>
        <v>#NAME?</v>
      </c>
      <c r="G25" s="45" t="e">
        <f ca="1"/>
        <v>#NAME?</v>
      </c>
    </row>
    <row r="26" spans="1:16" x14ac:dyDescent="0.2">
      <c r="B26" s="45" t="e">
        <f ca="1"/>
        <v>#NAME?</v>
      </c>
      <c r="C26" s="45" t="e">
        <f ca="1"/>
        <v>#NAME?</v>
      </c>
      <c r="D26" s="45" t="e">
        <f ca="1"/>
        <v>#NAME?</v>
      </c>
      <c r="E26" s="45" t="e">
        <f ca="1"/>
        <v>#NAME?</v>
      </c>
      <c r="F26" s="45" t="e">
        <f ca="1"/>
        <v>#NAME?</v>
      </c>
      <c r="G26" s="45" t="e">
        <f ca="1"/>
        <v>#NAME?</v>
      </c>
      <c r="L26" s="28" t="s">
        <v>144</v>
      </c>
      <c r="M26" s="33"/>
    </row>
    <row r="27" spans="1:16" x14ac:dyDescent="0.2">
      <c r="B27" s="45" t="e">
        <f ca="1"/>
        <v>#NAME?</v>
      </c>
      <c r="C27" s="45" t="e">
        <f ca="1"/>
        <v>#NAME?</v>
      </c>
      <c r="D27" s="45" t="e">
        <f ca="1"/>
        <v>#NAME?</v>
      </c>
      <c r="E27" s="45" t="e">
        <f ca="1"/>
        <v>#NAME?</v>
      </c>
      <c r="F27" s="45" t="e">
        <f ca="1"/>
        <v>#NAME?</v>
      </c>
      <c r="G27" s="45" t="e">
        <f ca="1"/>
        <v>#NAME?</v>
      </c>
      <c r="L27" s="32" t="s">
        <v>133</v>
      </c>
      <c r="M27" s="43">
        <v>3739175</v>
      </c>
    </row>
    <row r="28" spans="1:16" x14ac:dyDescent="0.2">
      <c r="B28" s="45" t="e">
        <f ca="1"/>
        <v>#NAME?</v>
      </c>
      <c r="C28" s="45" t="e">
        <f ca="1"/>
        <v>#NAME?</v>
      </c>
      <c r="D28" s="45" t="e">
        <f ca="1"/>
        <v>#NAME?</v>
      </c>
      <c r="E28" s="45" t="e">
        <f ca="1"/>
        <v>#NAME?</v>
      </c>
      <c r="F28" s="45" t="e">
        <f ca="1"/>
        <v>#NAME?</v>
      </c>
      <c r="G28" s="45" t="e">
        <f ca="1"/>
        <v>#NAME?</v>
      </c>
      <c r="M28" s="38"/>
    </row>
    <row r="29" spans="1:16" x14ac:dyDescent="0.2">
      <c r="A29" s="28" t="s">
        <v>183</v>
      </c>
      <c r="B29" s="89">
        <v>0.12</v>
      </c>
    </row>
    <row r="30" spans="1:16" x14ac:dyDescent="0.2">
      <c r="A30" s="28" t="s">
        <v>182</v>
      </c>
      <c r="B30" s="90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28" t="s">
        <v>262</v>
      </c>
    </row>
    <row r="31" spans="1:16" x14ac:dyDescent="0.2">
      <c r="A31" s="28" t="s">
        <v>181</v>
      </c>
      <c r="B31" s="90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135</v>
      </c>
      <c r="M31" s="43">
        <v>24117800</v>
      </c>
    </row>
    <row r="32" spans="1:16" x14ac:dyDescent="0.2">
      <c r="A32" s="28" t="s">
        <v>122</v>
      </c>
      <c r="B32" s="60">
        <v>1.2789234065440818</v>
      </c>
      <c r="C32" s="60">
        <v>-0.50860339303674296</v>
      </c>
      <c r="D32" s="60">
        <v>-0.8075074832321737</v>
      </c>
      <c r="E32" s="60">
        <v>-2.4394425206028845</v>
      </c>
      <c r="F32" s="60">
        <v>1.219057863877312</v>
      </c>
      <c r="G32" s="60">
        <v>0.2651949176356605</v>
      </c>
      <c r="L32" t="s">
        <v>244</v>
      </c>
      <c r="M32" s="57">
        <v>19000000</v>
      </c>
      <c r="N32" t="s">
        <v>245</v>
      </c>
      <c r="O32" s="2">
        <v>21</v>
      </c>
      <c r="P32" t="s">
        <v>246</v>
      </c>
    </row>
    <row r="33" spans="1:15" x14ac:dyDescent="0.2">
      <c r="A33" s="28" t="s">
        <v>123</v>
      </c>
      <c r="B33" s="60">
        <v>-0.87028173774223705</v>
      </c>
      <c r="C33" s="60">
        <v>0.79310300976815651</v>
      </c>
      <c r="D33" s="60">
        <v>0.70275909236921152</v>
      </c>
      <c r="E33" s="60">
        <v>0.67222084934397963</v>
      </c>
      <c r="F33" s="60">
        <v>-0.44623546193563818</v>
      </c>
      <c r="G33" s="60">
        <v>-0.56715614293136574</v>
      </c>
      <c r="L33" s="28"/>
    </row>
    <row r="34" spans="1:15" x14ac:dyDescent="0.2">
      <c r="A34" s="28" t="s">
        <v>124</v>
      </c>
      <c r="B34" s="60">
        <v>-0.93650265902759533</v>
      </c>
      <c r="C34" s="60">
        <v>0.84174703258125183</v>
      </c>
      <c r="D34" s="60">
        <v>0.10255177068879825</v>
      </c>
      <c r="E34" s="60">
        <v>-0.57225150160406535</v>
      </c>
      <c r="F34" s="60">
        <v>-0.4480180029584141</v>
      </c>
      <c r="G34" s="60">
        <v>-1.5826357318867741</v>
      </c>
      <c r="M34" s="2"/>
    </row>
    <row r="35" spans="1:15" x14ac:dyDescent="0.2">
      <c r="A35" s="28" t="s">
        <v>320</v>
      </c>
      <c r="B35" s="60">
        <v>1.4041388965927324</v>
      </c>
      <c r="C35" s="60">
        <v>0.4625188996071436</v>
      </c>
      <c r="D35" s="60">
        <v>1.2125499200437437</v>
      </c>
      <c r="E35" s="60">
        <v>0.29418761333683036</v>
      </c>
      <c r="F35" s="60">
        <v>0.67043957885085181</v>
      </c>
      <c r="G35" s="60">
        <v>0.56779047748349298</v>
      </c>
      <c r="M35" s="2"/>
    </row>
    <row r="36" spans="1:15" x14ac:dyDescent="0.2">
      <c r="A36" s="28" t="s">
        <v>321</v>
      </c>
      <c r="B36" s="60">
        <v>-1.3078836125532969</v>
      </c>
      <c r="C36" s="60">
        <v>1.0207208703673751</v>
      </c>
      <c r="D36" s="60">
        <v>0.96395341705537496</v>
      </c>
      <c r="E36" s="60">
        <v>-0.72958652155969406</v>
      </c>
      <c r="F36" s="60">
        <v>-1.283179829810758</v>
      </c>
      <c r="G36" s="60">
        <v>-0.15788264879814246</v>
      </c>
      <c r="L36" s="28" t="s">
        <v>157</v>
      </c>
      <c r="N36" t="s">
        <v>162</v>
      </c>
    </row>
    <row r="37" spans="1:15" x14ac:dyDescent="0.2">
      <c r="A37" s="28" t="s">
        <v>125</v>
      </c>
      <c r="B37" s="61" t="e">
        <f t="array" aca="1" ref="B37:G41" ca="1">TRANSPOSE(MMULT(B23:G28,TRANSPOSE(B32:G36)))</f>
        <v>#NAME?</v>
      </c>
      <c r="C37" s="61" t="e">
        <f ca="1"/>
        <v>#NAME?</v>
      </c>
      <c r="D37" s="61" t="e">
        <f ca="1"/>
        <v>#NAME?</v>
      </c>
      <c r="E37" s="61" t="e">
        <f ca="1"/>
        <v>#NAME?</v>
      </c>
      <c r="F37" s="61" t="e">
        <f ca="1"/>
        <v>#NAME?</v>
      </c>
      <c r="G37" s="61" t="e">
        <f ca="1"/>
        <v>#NAME?</v>
      </c>
      <c r="I37" s="32"/>
      <c r="J37" s="33"/>
      <c r="L37" t="s">
        <v>158</v>
      </c>
      <c r="M37" s="2">
        <v>116</v>
      </c>
    </row>
    <row r="38" spans="1:15" x14ac:dyDescent="0.2">
      <c r="A38" s="28" t="s">
        <v>126</v>
      </c>
      <c r="B38" s="61" t="e">
        <f ca="1"/>
        <v>#NAME?</v>
      </c>
      <c r="C38" s="61" t="e">
        <f ca="1"/>
        <v>#NAME?</v>
      </c>
      <c r="D38" s="61" t="e">
        <f ca="1"/>
        <v>#NAME?</v>
      </c>
      <c r="E38" s="61" t="e">
        <f ca="1"/>
        <v>#NAME?</v>
      </c>
      <c r="F38" s="61" t="e">
        <f ca="1"/>
        <v>#NAME?</v>
      </c>
      <c r="G38" s="61" t="e">
        <f ca="1"/>
        <v>#NAME?</v>
      </c>
      <c r="I38" s="41"/>
      <c r="J38" s="33"/>
      <c r="L38" t="s">
        <v>159</v>
      </c>
      <c r="M38" s="2">
        <v>81</v>
      </c>
    </row>
    <row r="39" spans="1:15" x14ac:dyDescent="0.2">
      <c r="A39" s="28" t="s">
        <v>127</v>
      </c>
      <c r="B39" s="61" t="e">
        <f ca="1"/>
        <v>#NAME?</v>
      </c>
      <c r="C39" s="61" t="e">
        <f ca="1"/>
        <v>#NAME?</v>
      </c>
      <c r="D39" s="61" t="e">
        <f ca="1"/>
        <v>#NAME?</v>
      </c>
      <c r="E39" s="61" t="e">
        <f ca="1"/>
        <v>#NAME?</v>
      </c>
      <c r="F39" s="61" t="e">
        <f ca="1"/>
        <v>#NAME?</v>
      </c>
      <c r="G39" s="61" t="e">
        <f ca="1"/>
        <v>#NAME?</v>
      </c>
      <c r="I39" s="41"/>
      <c r="J39" s="33"/>
      <c r="L39" t="s">
        <v>160</v>
      </c>
      <c r="M39" s="2">
        <v>111.8633</v>
      </c>
      <c r="N39" t="s">
        <v>288</v>
      </c>
      <c r="O39" s="2">
        <v>112.41800000000001</v>
      </c>
    </row>
    <row r="40" spans="1:15" x14ac:dyDescent="0.2">
      <c r="A40" s="28" t="s">
        <v>322</v>
      </c>
      <c r="B40" s="61" t="e">
        <f ca="1"/>
        <v>#NAME?</v>
      </c>
      <c r="C40" s="61" t="e">
        <f ca="1"/>
        <v>#NAME?</v>
      </c>
      <c r="D40" s="61" t="e">
        <f ca="1"/>
        <v>#NAME?</v>
      </c>
      <c r="E40" s="61" t="e">
        <f ca="1"/>
        <v>#NAME?</v>
      </c>
      <c r="F40" s="61" t="e">
        <f ca="1"/>
        <v>#NAME?</v>
      </c>
      <c r="G40" s="61" t="e">
        <f ca="1"/>
        <v>#NAME?</v>
      </c>
      <c r="I40" s="41"/>
      <c r="J40" s="33"/>
      <c r="L40" t="s">
        <v>161</v>
      </c>
      <c r="M40" s="2">
        <v>78.875</v>
      </c>
      <c r="N40" t="s">
        <v>289</v>
      </c>
      <c r="O40" s="2">
        <v>83</v>
      </c>
    </row>
    <row r="41" spans="1:15" x14ac:dyDescent="0.2">
      <c r="A41" s="28" t="s">
        <v>323</v>
      </c>
      <c r="B41" s="61" t="e">
        <f ca="1"/>
        <v>#NAME?</v>
      </c>
      <c r="C41" s="61" t="e">
        <f ca="1"/>
        <v>#NAME?</v>
      </c>
      <c r="D41" s="61" t="e">
        <f ca="1"/>
        <v>#NAME?</v>
      </c>
      <c r="E41" s="61" t="e">
        <f ca="1"/>
        <v>#NAME?</v>
      </c>
      <c r="F41" s="61" t="e">
        <f ca="1"/>
        <v>#NAME?</v>
      </c>
      <c r="G41" s="61" t="e">
        <f ca="1"/>
        <v>#NAME?</v>
      </c>
      <c r="I41" s="41"/>
      <c r="J41" s="33"/>
    </row>
    <row r="42" spans="1:15" x14ac:dyDescent="0.2">
      <c r="A42" s="28"/>
      <c r="B42" s="26"/>
      <c r="C42" s="26"/>
      <c r="D42" s="26"/>
      <c r="E42" s="26"/>
      <c r="F42" s="26"/>
      <c r="G42" s="26"/>
      <c r="I42" s="41"/>
      <c r="J42" s="33"/>
    </row>
    <row r="43" spans="1:15" x14ac:dyDescent="0.2">
      <c r="A43" s="28" t="s">
        <v>184</v>
      </c>
      <c r="B43" s="45">
        <f t="shared" ref="B43:G43" si="0">IF(B$31=0,B$6,$B$12)</f>
        <v>0.113</v>
      </c>
      <c r="C43" s="45">
        <f t="shared" si="0"/>
        <v>9.6000000000000002E-2</v>
      </c>
      <c r="D43" s="45">
        <f t="shared" si="0"/>
        <v>0.1</v>
      </c>
      <c r="E43" s="45">
        <f t="shared" si="0"/>
        <v>0.10600000000000001</v>
      </c>
      <c r="F43" s="45">
        <f t="shared" si="0"/>
        <v>0.14100000000000001</v>
      </c>
      <c r="G43" s="45">
        <f t="shared" si="0"/>
        <v>0.22800000000000001</v>
      </c>
      <c r="I43" s="41"/>
      <c r="J43" s="33"/>
    </row>
    <row r="44" spans="1:15" x14ac:dyDescent="0.2">
      <c r="A44" s="28" t="s">
        <v>185</v>
      </c>
      <c r="B44" s="45">
        <f t="shared" ref="B44:G44" si="1">IF($B$30=0,$B$29,$B$12)</f>
        <v>0.05</v>
      </c>
      <c r="C44" s="45">
        <f t="shared" si="1"/>
        <v>0.05</v>
      </c>
      <c r="D44" s="45">
        <f t="shared" si="1"/>
        <v>0.05</v>
      </c>
      <c r="E44" s="45">
        <f t="shared" si="1"/>
        <v>0.05</v>
      </c>
      <c r="F44" s="45">
        <f t="shared" si="1"/>
        <v>0.05</v>
      </c>
      <c r="G44" s="45">
        <f t="shared" si="1"/>
        <v>0.05</v>
      </c>
      <c r="L44" s="28" t="s">
        <v>173</v>
      </c>
      <c r="N44" t="s">
        <v>116</v>
      </c>
      <c r="O44" t="s">
        <v>130</v>
      </c>
    </row>
    <row r="45" spans="1:15" x14ac:dyDescent="0.2">
      <c r="N45" t="s">
        <v>137</v>
      </c>
      <c r="O45" t="s">
        <v>131</v>
      </c>
    </row>
    <row r="46" spans="1:15" x14ac:dyDescent="0.2">
      <c r="A46" s="28"/>
    </row>
    <row r="47" spans="1:15" x14ac:dyDescent="0.2">
      <c r="B47" s="33"/>
      <c r="C47" s="33"/>
      <c r="D47" s="33"/>
      <c r="E47" s="33"/>
      <c r="F47" s="33"/>
      <c r="G47" s="33"/>
      <c r="H47" s="42"/>
      <c r="I47" s="38"/>
      <c r="J47" s="38"/>
      <c r="K47" s="38"/>
      <c r="L47" t="s">
        <v>132</v>
      </c>
      <c r="N47" s="36" t="e">
        <f ca="1">MIN(N4,N5/B51)</f>
        <v>#NAME?</v>
      </c>
      <c r="O47" s="36" t="e">
        <f ca="1">N4-N47</f>
        <v>#NAME?</v>
      </c>
    </row>
    <row r="48" spans="1:15" x14ac:dyDescent="0.2">
      <c r="G48" s="37"/>
      <c r="J48" s="28" t="s">
        <v>179</v>
      </c>
    </row>
    <row r="49" spans="1:15" x14ac:dyDescent="0.2">
      <c r="B49" s="28" t="s">
        <v>139</v>
      </c>
      <c r="C49" s="28" t="s">
        <v>88</v>
      </c>
      <c r="D49" s="28" t="s">
        <v>89</v>
      </c>
      <c r="E49" s="28" t="s">
        <v>287</v>
      </c>
      <c r="F49" s="28" t="s">
        <v>90</v>
      </c>
      <c r="G49" s="28" t="s">
        <v>237</v>
      </c>
      <c r="I49" s="28" t="s">
        <v>153</v>
      </c>
      <c r="J49" s="28" t="s">
        <v>180</v>
      </c>
      <c r="L49" t="s">
        <v>133</v>
      </c>
      <c r="N49" s="36" t="e">
        <f ca="1">MIN(O47,N11)</f>
        <v>#NAME?</v>
      </c>
      <c r="O49" s="36" t="e">
        <f ca="1">MAX(O47-N49,0)</f>
        <v>#NAME?</v>
      </c>
    </row>
    <row r="50" spans="1:15" x14ac:dyDescent="0.2">
      <c r="A50" s="28" t="s">
        <v>178</v>
      </c>
      <c r="B50" s="33">
        <f t="shared" ref="B50:G50" si="2">B8</f>
        <v>81</v>
      </c>
      <c r="C50" s="5">
        <f t="shared" si="2"/>
        <v>83111757.186700001</v>
      </c>
      <c r="D50" s="5">
        <f t="shared" si="2"/>
        <v>189464090.16998416</v>
      </c>
      <c r="E50" s="33">
        <f t="shared" si="2"/>
        <v>37.880000000000003</v>
      </c>
      <c r="F50" s="5">
        <f t="shared" si="2"/>
        <v>221404000</v>
      </c>
      <c r="G50" s="33">
        <f t="shared" si="2"/>
        <v>10</v>
      </c>
      <c r="L50" t="s">
        <v>134</v>
      </c>
      <c r="N50" s="36" t="e">
        <f ca="1">MIN(O49,N12)</f>
        <v>#NAME?</v>
      </c>
      <c r="O50" s="36" t="e">
        <f ca="1">MAX(O49-N50,0)</f>
        <v>#NAME?</v>
      </c>
    </row>
    <row r="51" spans="1:15" x14ac:dyDescent="0.2">
      <c r="A51" s="28" t="s">
        <v>138</v>
      </c>
      <c r="B51" s="33" t="e">
        <f t="shared" ref="B51:G54" ca="1" si="3">B50*EXP((B$43-B$7-0.5*B$9^2)*$J51+B$9*B37*SQRT($J51))</f>
        <v>#NAME?</v>
      </c>
      <c r="C51" s="5" t="e">
        <f t="shared" ca="1" si="3"/>
        <v>#NAME?</v>
      </c>
      <c r="D51" s="5" t="e">
        <f t="shared" ca="1" si="3"/>
        <v>#NAME?</v>
      </c>
      <c r="E51" s="33" t="e">
        <f t="shared" ca="1" si="3"/>
        <v>#NAME?</v>
      </c>
      <c r="F51" s="5" t="e">
        <f t="shared" ca="1" si="3"/>
        <v>#NAME?</v>
      </c>
      <c r="G51" s="33" t="e">
        <f t="shared" ca="1" si="3"/>
        <v>#NAME?</v>
      </c>
      <c r="H51" s="38"/>
      <c r="I51" s="32">
        <f>M6</f>
        <v>37636</v>
      </c>
      <c r="J51" s="33">
        <f ca="1">(I51-TODAY())/$M$17</f>
        <v>-11.643835616438356</v>
      </c>
      <c r="L51" t="s">
        <v>135</v>
      </c>
      <c r="N51" s="36" t="e">
        <f ca="1">MIN(O50,N13)</f>
        <v>#NAME?</v>
      </c>
      <c r="O51" s="36" t="e">
        <f ca="1">MAX(O50-N51,0)</f>
        <v>#NAME?</v>
      </c>
    </row>
    <row r="52" spans="1:15" x14ac:dyDescent="0.2">
      <c r="A52" s="28" t="s">
        <v>140</v>
      </c>
      <c r="B52" s="33" t="e">
        <f t="shared" ca="1" si="3"/>
        <v>#NAME?</v>
      </c>
      <c r="C52" s="5" t="e">
        <f t="shared" ca="1" si="3"/>
        <v>#NAME?</v>
      </c>
      <c r="D52" s="5" t="e">
        <f t="shared" ca="1" si="3"/>
        <v>#NAME?</v>
      </c>
      <c r="E52" s="33" t="e">
        <f t="shared" ca="1" si="3"/>
        <v>#NAME?</v>
      </c>
      <c r="F52" s="5" t="e">
        <f t="shared" ca="1" si="3"/>
        <v>#NAME?</v>
      </c>
      <c r="G52" s="33" t="e">
        <f t="shared" ca="1" si="3"/>
        <v>#NAME?</v>
      </c>
      <c r="I52" s="32">
        <f>M11</f>
        <v>37729</v>
      </c>
      <c r="J52" s="33">
        <f>(I52-I51)/$M$17</f>
        <v>0.25479452054794521</v>
      </c>
      <c r="L52" t="s">
        <v>136</v>
      </c>
      <c r="N52" s="36" t="e">
        <f ca="1">MIN(O51,N14)</f>
        <v>#NAME?</v>
      </c>
      <c r="O52" s="36" t="e">
        <f ca="1">MAX(O51-N52,0)</f>
        <v>#NAME?</v>
      </c>
    </row>
    <row r="53" spans="1:15" x14ac:dyDescent="0.2">
      <c r="A53" s="28" t="s">
        <v>142</v>
      </c>
      <c r="B53" s="33" t="e">
        <f t="shared" ca="1" si="3"/>
        <v>#NAME?</v>
      </c>
      <c r="C53" s="5" t="e">
        <f t="shared" ca="1" si="3"/>
        <v>#NAME?</v>
      </c>
      <c r="D53" s="5" t="e">
        <f t="shared" ca="1" si="3"/>
        <v>#NAME?</v>
      </c>
      <c r="E53" s="33" t="e">
        <f t="shared" ca="1" si="3"/>
        <v>#NAME?</v>
      </c>
      <c r="F53" s="5" t="e">
        <f t="shared" ca="1" si="3"/>
        <v>#NAME?</v>
      </c>
      <c r="G53" s="33" t="e">
        <f t="shared" ca="1" si="3"/>
        <v>#NAME?</v>
      </c>
      <c r="I53" s="32">
        <f>M12</f>
        <v>37801</v>
      </c>
      <c r="J53" s="33">
        <f>(I53-I52)/$M$17</f>
        <v>0.19726027397260273</v>
      </c>
    </row>
    <row r="54" spans="1:15" x14ac:dyDescent="0.2">
      <c r="A54" s="28" t="s">
        <v>151</v>
      </c>
      <c r="B54" s="33" t="e">
        <f t="shared" ca="1" si="3"/>
        <v>#NAME?</v>
      </c>
      <c r="C54" s="5" t="e">
        <f t="shared" ca="1" si="3"/>
        <v>#NAME?</v>
      </c>
      <c r="D54" s="5" t="e">
        <f t="shared" ca="1" si="3"/>
        <v>#NAME?</v>
      </c>
      <c r="E54" s="33" t="e">
        <f t="shared" ca="1" si="3"/>
        <v>#NAME?</v>
      </c>
      <c r="F54" s="5" t="e">
        <f t="shared" ca="1" si="3"/>
        <v>#NAME?</v>
      </c>
      <c r="G54" s="33" t="e">
        <f t="shared" ca="1" si="3"/>
        <v>#NAME?</v>
      </c>
      <c r="H54" s="33"/>
      <c r="I54" s="32">
        <f>M14</f>
        <v>37875</v>
      </c>
      <c r="J54" s="33">
        <f>(I54-I53)/$M$17</f>
        <v>0.20273972602739726</v>
      </c>
    </row>
    <row r="55" spans="1:15" x14ac:dyDescent="0.2">
      <c r="A55" s="28" t="s">
        <v>145</v>
      </c>
      <c r="B55" s="33" t="e">
        <f t="shared" ref="B55:G55" ca="1" si="4">B54*EXP((B$43-B$7-0.5*B$9^2)*$J55+B$9*B41*SQRT($J55))</f>
        <v>#NAME?</v>
      </c>
      <c r="C55" s="5" t="e">
        <f t="shared" ca="1" si="4"/>
        <v>#NAME?</v>
      </c>
      <c r="D55" s="5" t="e">
        <f t="shared" ca="1" si="4"/>
        <v>#NAME?</v>
      </c>
      <c r="E55" s="33" t="e">
        <f t="shared" ca="1" si="4"/>
        <v>#NAME?</v>
      </c>
      <c r="F55" s="5" t="e">
        <f t="shared" ca="1" si="4"/>
        <v>#NAME?</v>
      </c>
      <c r="G55" s="33" t="e">
        <f t="shared" ca="1" si="4"/>
        <v>#NAME?</v>
      </c>
      <c r="I55" s="32">
        <f>M13</f>
        <v>37891</v>
      </c>
      <c r="J55" s="33">
        <f>(I55-I54)/$M$17</f>
        <v>4.3835616438356165E-2</v>
      </c>
      <c r="L55" t="s">
        <v>170</v>
      </c>
      <c r="M55" s="51">
        <v>7.0000000000000007E-2</v>
      </c>
    </row>
    <row r="56" spans="1:15" x14ac:dyDescent="0.2">
      <c r="L56" t="s">
        <v>171</v>
      </c>
    </row>
    <row r="58" spans="1:15" x14ac:dyDescent="0.2">
      <c r="A58" s="28" t="s">
        <v>141</v>
      </c>
    </row>
    <row r="59" spans="1:15" x14ac:dyDescent="0.2">
      <c r="A59" t="s">
        <v>155</v>
      </c>
      <c r="B59" s="36" t="e">
        <f ca="1">B52*(M27+N49)</f>
        <v>#NAME?</v>
      </c>
      <c r="L59" s="28" t="s">
        <v>227</v>
      </c>
    </row>
    <row r="60" spans="1:15" x14ac:dyDescent="0.2">
      <c r="A60" t="s">
        <v>156</v>
      </c>
      <c r="B60" s="36" t="e">
        <f ca="1">(MAX(M38-B52,0)-MAX(B52-M37,0))*(M27+N11)</f>
        <v>#NAME?</v>
      </c>
      <c r="C60" s="33"/>
    </row>
    <row r="61" spans="1:15" x14ac:dyDescent="0.2">
      <c r="A61" t="s">
        <v>163</v>
      </c>
      <c r="B61" s="36" t="e">
        <f ca="1">C52-C10</f>
        <v>#NAME?</v>
      </c>
      <c r="L61" t="s">
        <v>228</v>
      </c>
      <c r="M61" s="50">
        <v>0.16</v>
      </c>
    </row>
    <row r="62" spans="1:15" x14ac:dyDescent="0.2">
      <c r="A62" t="s">
        <v>164</v>
      </c>
      <c r="B62" s="36" t="e">
        <f ca="1">D52-D10</f>
        <v>#NAME?</v>
      </c>
      <c r="L62" t="s">
        <v>229</v>
      </c>
      <c r="M62" s="50">
        <v>0.06</v>
      </c>
    </row>
    <row r="63" spans="1:15" x14ac:dyDescent="0.2">
      <c r="A63" t="s">
        <v>226</v>
      </c>
      <c r="B63" s="36">
        <f>-'Raptor 1'!G92</f>
        <v>0</v>
      </c>
    </row>
    <row r="64" spans="1:15" x14ac:dyDescent="0.2">
      <c r="A64" t="s">
        <v>165</v>
      </c>
      <c r="B64" s="36">
        <f>-Q11</f>
        <v>-443000000</v>
      </c>
      <c r="L64" s="28" t="s">
        <v>234</v>
      </c>
      <c r="M64" s="28" t="s">
        <v>230</v>
      </c>
      <c r="N64" s="28" t="s">
        <v>231</v>
      </c>
    </row>
    <row r="65" spans="1:17" x14ac:dyDescent="0.2">
      <c r="A65" t="s">
        <v>169</v>
      </c>
      <c r="B65" s="36" t="e">
        <f ca="1">SUM(B59:B64)</f>
        <v>#NAME?</v>
      </c>
      <c r="L65" s="28" t="s">
        <v>21</v>
      </c>
      <c r="M65" s="2">
        <v>0.53</v>
      </c>
      <c r="N65" s="44">
        <f>$M$62+($M$61-$M$62)*M65</f>
        <v>0.113</v>
      </c>
    </row>
    <row r="66" spans="1:17" x14ac:dyDescent="0.2">
      <c r="A66" t="s">
        <v>174</v>
      </c>
      <c r="B66" s="46" t="e">
        <f ca="1">MIN(MAX(B65,0),P11)</f>
        <v>#NAME?</v>
      </c>
      <c r="C66" s="36" t="e">
        <f ca="1">B66*EXP(-$B$44*SUM(J51:J52))</f>
        <v>#NAME?</v>
      </c>
      <c r="D66" s="28" t="s">
        <v>186</v>
      </c>
      <c r="E66" s="79"/>
      <c r="L66" s="28" t="s">
        <v>232</v>
      </c>
      <c r="M66" s="2">
        <v>1.68</v>
      </c>
      <c r="N66" s="44">
        <f>$M$62+($M$61-$M$62)*M66</f>
        <v>0.22800000000000001</v>
      </c>
    </row>
    <row r="67" spans="1:17" x14ac:dyDescent="0.2">
      <c r="L67" s="28" t="s">
        <v>233</v>
      </c>
      <c r="M67" s="2">
        <v>0.81</v>
      </c>
      <c r="N67" s="44">
        <f>$M$62+($M$61-$M$62)*M67</f>
        <v>0.14100000000000001</v>
      </c>
    </row>
    <row r="68" spans="1:17" x14ac:dyDescent="0.2">
      <c r="A68" s="28" t="s">
        <v>143</v>
      </c>
      <c r="L68" s="28" t="s">
        <v>235</v>
      </c>
      <c r="M68" s="2">
        <v>0.36</v>
      </c>
      <c r="N68" s="44">
        <f>$M$62+($M$61-$M$62)*M68</f>
        <v>9.6000000000000002E-2</v>
      </c>
    </row>
    <row r="69" spans="1:17" x14ac:dyDescent="0.2">
      <c r="A69" t="s">
        <v>167</v>
      </c>
      <c r="B69" s="36" t="e">
        <f ca="1">B53*N50</f>
        <v>#NAME?</v>
      </c>
      <c r="L69" s="28" t="s">
        <v>301</v>
      </c>
      <c r="M69" s="2">
        <v>0.46</v>
      </c>
      <c r="N69" s="44">
        <f>$M$62+($M$61-$M$62)*M69</f>
        <v>0.10600000000000001</v>
      </c>
    </row>
    <row r="70" spans="1:17" x14ac:dyDescent="0.2">
      <c r="A70" t="s">
        <v>156</v>
      </c>
      <c r="B70" s="36" t="e">
        <f ca="1">(MAX(M40-B53,0)-MAX(B53-M39,0))*N12</f>
        <v>#NAME?</v>
      </c>
      <c r="C70" s="33"/>
    </row>
    <row r="71" spans="1:17" x14ac:dyDescent="0.2">
      <c r="A71" t="s">
        <v>168</v>
      </c>
      <c r="B71" s="36" t="e">
        <f ca="1">F53-F10</f>
        <v>#NAME?</v>
      </c>
      <c r="L71" s="28" t="s">
        <v>247</v>
      </c>
    </row>
    <row r="72" spans="1:17" x14ac:dyDescent="0.2">
      <c r="A72" t="s">
        <v>304</v>
      </c>
      <c r="B72" s="36" t="e">
        <f ca="1">MAX('Raptor 2'!E20-E53,0)*'Raptor 2'!C20-MAX(E53-'Raptor 2'!E19,0)*'Raptor 2'!C19+(E53-'Raptor 2'!E21)*'Raptor 2'!C21</f>
        <v>#NAME?</v>
      </c>
      <c r="L72" s="28" t="s">
        <v>248</v>
      </c>
      <c r="M72" s="35">
        <f>M13</f>
        <v>37891</v>
      </c>
      <c r="P72" s="28" t="s">
        <v>278</v>
      </c>
      <c r="Q72" s="28" t="s">
        <v>279</v>
      </c>
    </row>
    <row r="73" spans="1:17" x14ac:dyDescent="0.2">
      <c r="A73" t="s">
        <v>165</v>
      </c>
      <c r="B73" s="36">
        <f>-Q12</f>
        <v>-375000000</v>
      </c>
      <c r="M73" s="66" t="s">
        <v>262</v>
      </c>
      <c r="N73" s="28" t="s">
        <v>263</v>
      </c>
      <c r="O73" s="28" t="s">
        <v>264</v>
      </c>
      <c r="P73" s="67">
        <v>21</v>
      </c>
      <c r="Q73" s="28" t="s">
        <v>280</v>
      </c>
    </row>
    <row r="74" spans="1:17" x14ac:dyDescent="0.2">
      <c r="A74" t="s">
        <v>169</v>
      </c>
      <c r="B74" s="36" t="e">
        <f ca="1">SUM(B69:B73)</f>
        <v>#NAME?</v>
      </c>
      <c r="L74" s="28" t="s">
        <v>259</v>
      </c>
      <c r="M74" s="65">
        <f>'Raptor 3'!C12*200</f>
        <v>6766400</v>
      </c>
      <c r="N74" s="5">
        <f>'Raptor 3'!G12</f>
        <v>18122379.965277776</v>
      </c>
      <c r="O74" s="5">
        <f>'Raptor 3'!K12</f>
        <v>1996835.9375</v>
      </c>
      <c r="P74" s="68">
        <f>N74-MAX(0,N74-M74*$P$73)+MAX(0,$P$73*M74-O74-N74)</f>
        <v>140097564.0625</v>
      </c>
      <c r="Q74" s="36" t="e">
        <f ca="1">N74-MAX(0,N74-M74*$G$55)+MAX(0,$G$55*M74-O74-N74)-P74</f>
        <v>#NAME?</v>
      </c>
    </row>
    <row r="75" spans="1:17" x14ac:dyDescent="0.2">
      <c r="A75" t="s">
        <v>175</v>
      </c>
      <c r="B75" s="46" t="e">
        <f ca="1">MIN(MAX(B74,0),P12)</f>
        <v>#NAME?</v>
      </c>
      <c r="C75" s="36" t="e">
        <f ca="1">B75*EXP(-$B$44*SUM(J51:J53))</f>
        <v>#NAME?</v>
      </c>
      <c r="D75" s="28" t="s">
        <v>186</v>
      </c>
      <c r="E75" s="79"/>
      <c r="L75" s="28" t="s">
        <v>260</v>
      </c>
      <c r="M75" s="65">
        <f>'Raptor 3'!C13*200</f>
        <v>8458200</v>
      </c>
      <c r="N75" s="5">
        <f>'Raptor 3'!G13</f>
        <v>87485505.588640004</v>
      </c>
      <c r="O75" s="5">
        <f>'Raptor 3'!K13</f>
        <v>3998630.1425000001</v>
      </c>
      <c r="P75" s="68">
        <f>N75-MAX(0,N75-M75*$P$73)+MAX(0,$P$73*M75-O75-N75)</f>
        <v>173623569.85749999</v>
      </c>
      <c r="Q75" s="36" t="e">
        <f ca="1">N75-MAX(0,N75-M75*$G$55)+MAX(0,$G$55*M75-O75-N75)-P75</f>
        <v>#NAME?</v>
      </c>
    </row>
    <row r="76" spans="1:17" x14ac:dyDescent="0.2">
      <c r="L76" s="28" t="s">
        <v>261</v>
      </c>
      <c r="M76" s="65">
        <f>'Raptor 3'!C14*200</f>
        <v>2791000</v>
      </c>
      <c r="N76" s="5">
        <f>'Raptor 3'!G14</f>
        <v>29289916.118244443</v>
      </c>
      <c r="O76" s="5">
        <f>'Raptor 3'!K14</f>
        <v>910859.14166666672</v>
      </c>
      <c r="P76" s="68">
        <f>N76-MAX(0,N76-M76*$P$73)+MAX(0,$P$73*M76-O76-N76)</f>
        <v>57700140.858333334</v>
      </c>
      <c r="Q76" s="36" t="e">
        <f ca="1">N76-MAX(0,N76-M76*$G$55)+MAX(0,$G$55*M76-O76-N76)-P76</f>
        <v>#NAME?</v>
      </c>
    </row>
    <row r="77" spans="1:17" x14ac:dyDescent="0.2">
      <c r="A77" s="28" t="s">
        <v>150</v>
      </c>
      <c r="M77" s="35"/>
      <c r="Q77" s="36" t="e">
        <f ca="1">SUM(Q74:Q76)</f>
        <v>#NAME?</v>
      </c>
    </row>
    <row r="78" spans="1:17" x14ac:dyDescent="0.2">
      <c r="A78" t="s">
        <v>324</v>
      </c>
      <c r="B78" s="36" t="e">
        <f ca="1">G55*M31</f>
        <v>#NAME?</v>
      </c>
      <c r="L78" t="s">
        <v>116</v>
      </c>
      <c r="M78" s="57">
        <v>19000000</v>
      </c>
    </row>
    <row r="79" spans="1:17" x14ac:dyDescent="0.2">
      <c r="A79" t="s">
        <v>165</v>
      </c>
      <c r="B79" s="36">
        <f>-Q13</f>
        <v>-299000000</v>
      </c>
      <c r="L79" t="s">
        <v>249</v>
      </c>
      <c r="M79" s="57">
        <v>134767608.76449335</v>
      </c>
      <c r="N79" s="50">
        <v>0.1</v>
      </c>
      <c r="O79" s="63">
        <f ca="1">M79*EXP(N79*($M$72-$M$16)/$M$17)</f>
        <v>45106724.193467699</v>
      </c>
    </row>
    <row r="80" spans="1:17" x14ac:dyDescent="0.2">
      <c r="A80" t="s">
        <v>281</v>
      </c>
      <c r="B80" s="36" t="e">
        <f ca="1">Q77</f>
        <v>#NAME?</v>
      </c>
      <c r="L80" t="s">
        <v>250</v>
      </c>
      <c r="M80" s="57">
        <v>6901586.5141666699</v>
      </c>
      <c r="N80" s="50">
        <v>0.15</v>
      </c>
      <c r="O80" s="63">
        <f ca="1">M80*EXP(N80*($M$72-$M$16)/$M$17)</f>
        <v>1336388.0544342543</v>
      </c>
    </row>
    <row r="81" spans="1:15" x14ac:dyDescent="0.2">
      <c r="A81" t="s">
        <v>169</v>
      </c>
      <c r="B81" s="36" t="e">
        <f ca="1">SUM(B78:B80)</f>
        <v>#NAME?</v>
      </c>
    </row>
    <row r="82" spans="1:15" x14ac:dyDescent="0.2">
      <c r="A82" t="s">
        <v>176</v>
      </c>
      <c r="B82" s="46" t="e">
        <f ca="1">MIN(MAX(B81,0),P13)</f>
        <v>#NAME?</v>
      </c>
      <c r="C82" s="36" t="e">
        <f ca="1">B82*EXP(-$B$44*SUM(J51:J55))</f>
        <v>#NAME?</v>
      </c>
      <c r="D82" s="28" t="s">
        <v>186</v>
      </c>
      <c r="L82" t="s">
        <v>251</v>
      </c>
      <c r="M82" s="64">
        <f ca="1">$O$79-MAX(0,$O$79-$M$78*$O$82)+MAX(0,$O$82*$M$78-$O$80-$O$79)</f>
        <v>397663611.94556576</v>
      </c>
      <c r="N82" t="s">
        <v>252</v>
      </c>
      <c r="O82" s="2">
        <v>21</v>
      </c>
    </row>
    <row r="84" spans="1:15" x14ac:dyDescent="0.2">
      <c r="A84" s="28" t="s">
        <v>152</v>
      </c>
      <c r="M84" s="39">
        <f ca="1">O82*M78-O80</f>
        <v>397663611.94556576</v>
      </c>
    </row>
    <row r="85" spans="1:15" x14ac:dyDescent="0.2">
      <c r="A85" t="s">
        <v>167</v>
      </c>
      <c r="B85" s="36" t="e">
        <f ca="1">B54*N52</f>
        <v>#NAME?</v>
      </c>
      <c r="M85" s="39"/>
    </row>
    <row r="86" spans="1:15" x14ac:dyDescent="0.2">
      <c r="A86" t="s">
        <v>156</v>
      </c>
      <c r="B86" s="36" t="e">
        <f ca="1">(MAX(O40-B54,0)-MAX(B54-O39,0))*N14</f>
        <v>#NAME?</v>
      </c>
      <c r="L86" s="28"/>
      <c r="M86" s="39"/>
    </row>
    <row r="87" spans="1:15" x14ac:dyDescent="0.2">
      <c r="A87" t="s">
        <v>165</v>
      </c>
      <c r="B87" s="58">
        <f>-Q14</f>
        <v>-350000000</v>
      </c>
    </row>
    <row r="88" spans="1:15" x14ac:dyDescent="0.2">
      <c r="A88" t="s">
        <v>169</v>
      </c>
      <c r="B88" s="36" t="e">
        <f ca="1">SUM(B85:B87)</f>
        <v>#NAME?</v>
      </c>
      <c r="L88" s="1"/>
      <c r="M88" s="5"/>
      <c r="O88" s="81"/>
    </row>
    <row r="89" spans="1:15" x14ac:dyDescent="0.2">
      <c r="A89" t="s">
        <v>177</v>
      </c>
      <c r="B89" s="46" t="e">
        <f ca="1">MIN(MAX(B88,0),P14)</f>
        <v>#NAME?</v>
      </c>
      <c r="C89" s="36" t="e">
        <f ca="1">B89*EXP(-$B$44*SUM(J51:J54))</f>
        <v>#NAME?</v>
      </c>
      <c r="D89" s="28" t="s">
        <v>186</v>
      </c>
      <c r="G89" s="36"/>
      <c r="L89" s="1"/>
      <c r="M89" s="5"/>
      <c r="O89" s="80"/>
    </row>
    <row r="90" spans="1:15" x14ac:dyDescent="0.2">
      <c r="A90" t="s">
        <v>254</v>
      </c>
      <c r="B90" s="59" t="e">
        <f ca="1">SUM(B66,B75,B82,B89)</f>
        <v>#NAME?</v>
      </c>
      <c r="C90" s="36" t="e">
        <f ca="1">SUM(C66,C75,C82,C89)</f>
        <v>#NAME?</v>
      </c>
      <c r="L90" s="1"/>
      <c r="M90" s="5"/>
      <c r="O90" s="80"/>
    </row>
    <row r="92" spans="1:15" x14ac:dyDescent="0.2">
      <c r="A92" s="28" t="s">
        <v>255</v>
      </c>
    </row>
    <row r="93" spans="1:15" x14ac:dyDescent="0.2">
      <c r="A93" t="s">
        <v>258</v>
      </c>
      <c r="B93" s="36" t="e">
        <f ca="1">B65*EXP(M55*(SUM(O12:O14)))+B74*EXP(M55*SUM(O13:O14))+(MAX(B81,0)-MIN(S13,MAX(-R13-B81,0)))*EXP(M55*O14)+B88</f>
        <v>#NAME?</v>
      </c>
      <c r="C93" s="38" t="e">
        <f ca="1">SUM(B65,B74,B81,B88)</f>
        <v>#NAME?</v>
      </c>
      <c r="D93" t="s">
        <v>172</v>
      </c>
    </row>
    <row r="94" spans="1:15" x14ac:dyDescent="0.2">
      <c r="A94" t="s">
        <v>253</v>
      </c>
      <c r="B94" s="46" t="e">
        <f ca="1">MIN(MAX(B93,0),SUM(P11:P14))</f>
        <v>#NAME?</v>
      </c>
      <c r="C94" s="36" t="e">
        <f ca="1">B94*EXP(-$B$44*SUM(J51:J55))</f>
        <v>#NAME?</v>
      </c>
      <c r="D94" s="28" t="s">
        <v>186</v>
      </c>
    </row>
    <row r="95" spans="1:15" x14ac:dyDescent="0.2">
      <c r="B95" s="28" t="s">
        <v>187</v>
      </c>
    </row>
    <row r="96" spans="1:15" x14ac:dyDescent="0.2">
      <c r="B96" s="28" t="s">
        <v>188</v>
      </c>
    </row>
    <row r="97" spans="1:7" x14ac:dyDescent="0.2">
      <c r="A97" t="s">
        <v>307</v>
      </c>
      <c r="B97" s="36" t="e">
        <f ca="1">-(MIN(0,B65)+MIN(0,B74)+MIN(0,B81+R13)+MIN(0,B88))</f>
        <v>#NAME?</v>
      </c>
    </row>
    <row r="98" spans="1:7" x14ac:dyDescent="0.2">
      <c r="A98" t="s">
        <v>256</v>
      </c>
      <c r="B98" s="36" t="e">
        <f ca="1">MIN(B97,B90)</f>
        <v>#NAME?</v>
      </c>
    </row>
    <row r="99" spans="1:7" x14ac:dyDescent="0.2">
      <c r="A99" t="s">
        <v>257</v>
      </c>
      <c r="B99" s="59" t="e">
        <f ca="1">B90-B98</f>
        <v>#NAME?</v>
      </c>
    </row>
    <row r="101" spans="1:7" x14ac:dyDescent="0.2">
      <c r="B101" s="39"/>
    </row>
    <row r="105" spans="1:7" x14ac:dyDescent="0.2">
      <c r="C105" t="s">
        <v>312</v>
      </c>
      <c r="D105" t="s">
        <v>311</v>
      </c>
      <c r="F105" t="s">
        <v>312</v>
      </c>
      <c r="G105" t="s">
        <v>311</v>
      </c>
    </row>
    <row r="106" spans="1:7" x14ac:dyDescent="0.2">
      <c r="C106" t="s">
        <v>310</v>
      </c>
      <c r="D106" t="s">
        <v>310</v>
      </c>
      <c r="F106" t="s">
        <v>86</v>
      </c>
      <c r="G106" t="s">
        <v>86</v>
      </c>
    </row>
    <row r="107" spans="1:7" x14ac:dyDescent="0.2">
      <c r="A107" t="s">
        <v>308</v>
      </c>
      <c r="C107" s="91">
        <v>0.41</v>
      </c>
      <c r="D107" s="91">
        <v>0.3</v>
      </c>
      <c r="F107" s="44">
        <v>0.113</v>
      </c>
      <c r="G107" s="44">
        <v>0.06</v>
      </c>
    </row>
    <row r="108" spans="1:7" x14ac:dyDescent="0.2">
      <c r="A108" t="s">
        <v>28</v>
      </c>
      <c r="C108" s="91">
        <v>0.47</v>
      </c>
      <c r="D108" s="91">
        <v>0.34</v>
      </c>
      <c r="F108" s="44">
        <v>9.6000000000000002E-2</v>
      </c>
      <c r="G108" s="44">
        <v>0.06</v>
      </c>
    </row>
    <row r="109" spans="1:7" x14ac:dyDescent="0.2">
      <c r="A109" t="s">
        <v>29</v>
      </c>
      <c r="C109" s="91">
        <v>0.47</v>
      </c>
      <c r="D109" s="91">
        <v>0.34</v>
      </c>
      <c r="F109" s="44">
        <v>0.1</v>
      </c>
      <c r="G109" s="44">
        <v>0.06</v>
      </c>
    </row>
    <row r="110" spans="1:7" x14ac:dyDescent="0.2">
      <c r="A110" t="s">
        <v>287</v>
      </c>
      <c r="C110" s="91">
        <v>0.5</v>
      </c>
      <c r="D110" s="91">
        <v>0.35</v>
      </c>
      <c r="F110" s="44">
        <v>0.10600000000000001</v>
      </c>
      <c r="G110" s="44">
        <v>0.06</v>
      </c>
    </row>
    <row r="111" spans="1:7" x14ac:dyDescent="0.2">
      <c r="A111" t="s">
        <v>309</v>
      </c>
      <c r="C111" s="91">
        <v>0.65</v>
      </c>
      <c r="D111" s="91">
        <v>0.37</v>
      </c>
      <c r="F111" s="44">
        <v>0.14100000000000001</v>
      </c>
      <c r="G111" s="44">
        <v>0.06</v>
      </c>
    </row>
    <row r="112" spans="1:7" x14ac:dyDescent="0.2">
      <c r="A112" t="s">
        <v>232</v>
      </c>
      <c r="C112" s="91">
        <v>0.7</v>
      </c>
      <c r="D112" s="91">
        <v>0.4</v>
      </c>
      <c r="F112" s="44">
        <v>0.22800000000000001</v>
      </c>
      <c r="G112" s="44">
        <v>0.06</v>
      </c>
    </row>
    <row r="113" spans="3:4" x14ac:dyDescent="0.2">
      <c r="C113" s="91"/>
      <c r="D113" s="91"/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N93"/>
  <sheetViews>
    <sheetView workbookViewId="0">
      <selection activeCell="G92" sqref="G92"/>
    </sheetView>
  </sheetViews>
  <sheetFormatPr defaultRowHeight="11.25" x14ac:dyDescent="0.2"/>
  <cols>
    <col min="1" max="1" width="25" bestFit="1" customWidth="1"/>
    <col min="2" max="2" width="12.5" bestFit="1" customWidth="1"/>
    <col min="3" max="3" width="12.83203125" customWidth="1"/>
    <col min="4" max="4" width="7.83203125" bestFit="1" customWidth="1"/>
    <col min="5" max="5" width="14.1640625" bestFit="1" customWidth="1"/>
    <col min="6" max="6" width="12.83203125" customWidth="1"/>
    <col min="7" max="7" width="12.33203125" customWidth="1"/>
    <col min="8" max="8" width="15.33203125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5" bestFit="1" customWidth="1"/>
    <col min="14" max="14" width="13" bestFit="1" customWidth="1"/>
  </cols>
  <sheetData>
    <row r="2" spans="1:14" ht="39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s="3"/>
      <c r="H2" s="28" t="s">
        <v>118</v>
      </c>
      <c r="I2" s="28" t="s">
        <v>238</v>
      </c>
      <c r="J2" t="s">
        <v>86</v>
      </c>
      <c r="K2" t="s">
        <v>92</v>
      </c>
      <c r="L2" t="s">
        <v>0</v>
      </c>
      <c r="M2" s="28" t="s">
        <v>290</v>
      </c>
      <c r="N2" t="s">
        <v>119</v>
      </c>
    </row>
    <row r="3" spans="1:14" x14ac:dyDescent="0.2">
      <c r="A3" t="s">
        <v>21</v>
      </c>
      <c r="B3" s="1" t="s">
        <v>23</v>
      </c>
      <c r="C3" s="5">
        <v>3739175</v>
      </c>
      <c r="D3" s="5" t="s">
        <v>6</v>
      </c>
      <c r="E3" s="6">
        <v>70.5</v>
      </c>
      <c r="F3" s="7"/>
      <c r="G3" s="7"/>
      <c r="H3" s="26"/>
      <c r="I3" s="26"/>
      <c r="J3" s="94"/>
      <c r="K3" s="94"/>
      <c r="L3" s="94"/>
      <c r="N3" s="26"/>
    </row>
    <row r="4" spans="1:14" x14ac:dyDescent="0.2">
      <c r="A4" t="s">
        <v>26</v>
      </c>
      <c r="B4" s="1" t="s">
        <v>22</v>
      </c>
      <c r="C4" s="5">
        <v>3876755</v>
      </c>
      <c r="D4" s="5" t="s">
        <v>7</v>
      </c>
      <c r="E4" s="6">
        <v>70.5</v>
      </c>
      <c r="F4" s="7"/>
      <c r="G4" s="7"/>
    </row>
    <row r="5" spans="1:14" x14ac:dyDescent="0.2">
      <c r="A5" t="s">
        <v>25</v>
      </c>
      <c r="B5" s="1"/>
      <c r="C5" s="5"/>
      <c r="D5" s="5"/>
      <c r="E5" s="6"/>
      <c r="F5" s="7"/>
      <c r="G5" s="7"/>
    </row>
    <row r="6" spans="1:14" x14ac:dyDescent="0.2">
      <c r="A6" t="s">
        <v>2</v>
      </c>
      <c r="B6" s="1"/>
      <c r="C6" s="5"/>
      <c r="D6" s="5"/>
      <c r="E6" s="6"/>
      <c r="F6" s="7"/>
      <c r="G6" s="7"/>
    </row>
    <row r="7" spans="1:14" x14ac:dyDescent="0.2">
      <c r="A7" t="s">
        <v>3</v>
      </c>
      <c r="B7" s="1"/>
      <c r="C7" s="5"/>
      <c r="D7" s="5"/>
      <c r="E7" s="6"/>
      <c r="F7" s="29"/>
      <c r="G7" s="29"/>
    </row>
    <row r="8" spans="1:14" ht="12.75" x14ac:dyDescent="0.2">
      <c r="A8" s="8" t="s">
        <v>8</v>
      </c>
      <c r="B8" s="9"/>
      <c r="C8" s="5"/>
      <c r="D8" s="5"/>
      <c r="E8" s="6"/>
      <c r="F8" s="7"/>
      <c r="G8" s="7"/>
    </row>
    <row r="9" spans="1:14" ht="12.75" x14ac:dyDescent="0.2">
      <c r="A9" s="8"/>
      <c r="B9" s="9"/>
      <c r="C9" s="5"/>
      <c r="D9" s="5"/>
      <c r="E9" s="6"/>
      <c r="F9" s="7"/>
      <c r="G9" s="7"/>
    </row>
    <row r="10" spans="1:14" ht="12.75" x14ac:dyDescent="0.2">
      <c r="A10" s="10" t="s">
        <v>27</v>
      </c>
      <c r="B10" s="9"/>
      <c r="C10" s="5"/>
      <c r="D10" s="5"/>
      <c r="E10" s="6"/>
      <c r="F10" s="7"/>
      <c r="G10" s="7"/>
    </row>
    <row r="11" spans="1:14" ht="12.75" x14ac:dyDescent="0.2">
      <c r="A11" s="8"/>
      <c r="B11" s="9"/>
      <c r="C11" s="78" t="s">
        <v>298</v>
      </c>
      <c r="D11" s="5"/>
      <c r="E11" s="6"/>
      <c r="F11" s="7"/>
      <c r="G11" s="7"/>
    </row>
    <row r="12" spans="1:14" ht="12.75" x14ac:dyDescent="0.2">
      <c r="A12" s="8"/>
      <c r="B12" s="9"/>
      <c r="C12" s="78" t="s">
        <v>299</v>
      </c>
      <c r="D12" s="5"/>
      <c r="E12" s="6"/>
      <c r="F12" s="7"/>
      <c r="G12" s="7"/>
    </row>
    <row r="13" spans="1:14" ht="12.75" x14ac:dyDescent="0.2">
      <c r="A13" s="11" t="s">
        <v>28</v>
      </c>
      <c r="B13" s="1"/>
      <c r="C13" s="28" t="s">
        <v>300</v>
      </c>
      <c r="E13" s="12" t="s">
        <v>31</v>
      </c>
    </row>
    <row r="14" spans="1:14" x14ac:dyDescent="0.2">
      <c r="A14" t="s">
        <v>9</v>
      </c>
      <c r="B14" s="1" t="s">
        <v>10</v>
      </c>
      <c r="C14" s="5">
        <f>78000*(1+0.3612/0.6)</f>
        <v>124956</v>
      </c>
      <c r="D14" s="1" t="s">
        <v>11</v>
      </c>
      <c r="E14" s="6">
        <v>1.17868389193476</v>
      </c>
      <c r="F14" s="52">
        <v>16.25</v>
      </c>
      <c r="H14" s="58">
        <f t="shared" ref="H14:H23" si="0">C14*E14</f>
        <v>147283.62440059986</v>
      </c>
      <c r="I14" s="58">
        <f>C14*F14</f>
        <v>2030535</v>
      </c>
      <c r="M14" s="48">
        <f t="shared" ref="M14:M23" si="1">+I14-H14</f>
        <v>1883251.3755994001</v>
      </c>
    </row>
    <row r="15" spans="1:14" x14ac:dyDescent="0.2">
      <c r="A15" t="s">
        <v>12</v>
      </c>
      <c r="B15" s="1" t="s">
        <v>10</v>
      </c>
      <c r="C15" s="5">
        <f>1276383-255276</f>
        <v>1021107</v>
      </c>
      <c r="D15" s="1" t="s">
        <v>11</v>
      </c>
      <c r="E15" s="6">
        <v>53.000000195865972</v>
      </c>
      <c r="F15" s="52">
        <v>22.875</v>
      </c>
      <c r="H15" s="58">
        <f t="shared" si="0"/>
        <v>54118671.200000115</v>
      </c>
      <c r="I15" s="58">
        <f t="shared" ref="I15:I23" si="2">C15*F15</f>
        <v>23357822.625</v>
      </c>
      <c r="M15" s="48">
        <f t="shared" si="1"/>
        <v>-30760848.575000115</v>
      </c>
    </row>
    <row r="16" spans="1:14" x14ac:dyDescent="0.2">
      <c r="A16" t="s">
        <v>13</v>
      </c>
      <c r="B16" s="1" t="s">
        <v>10</v>
      </c>
      <c r="C16" s="5">
        <f>1093426-1000</f>
        <v>1092426</v>
      </c>
      <c r="D16" s="1" t="s">
        <v>11</v>
      </c>
      <c r="E16" s="6">
        <v>162.5</v>
      </c>
      <c r="F16" s="53">
        <v>32.9375</v>
      </c>
      <c r="H16" s="58">
        <f t="shared" si="0"/>
        <v>177519225</v>
      </c>
      <c r="I16" s="58">
        <f t="shared" si="2"/>
        <v>35981781.375</v>
      </c>
      <c r="M16" s="48">
        <f t="shared" si="1"/>
        <v>-141537443.625</v>
      </c>
    </row>
    <row r="17" spans="1:14" x14ac:dyDescent="0.2">
      <c r="A17" t="s">
        <v>14</v>
      </c>
      <c r="B17" s="1" t="s">
        <v>10</v>
      </c>
      <c r="C17" s="5">
        <v>156250</v>
      </c>
      <c r="D17" s="1" t="s">
        <v>11</v>
      </c>
      <c r="E17" s="6">
        <v>4.1954025145547202</v>
      </c>
      <c r="F17">
        <v>10</v>
      </c>
      <c r="H17" s="58">
        <f t="shared" si="0"/>
        <v>655531.64289917506</v>
      </c>
      <c r="I17" s="58">
        <f t="shared" si="2"/>
        <v>1562500</v>
      </c>
      <c r="M17" s="48">
        <f t="shared" si="1"/>
        <v>906968.35710082494</v>
      </c>
    </row>
    <row r="18" spans="1:14" x14ac:dyDescent="0.2">
      <c r="A18" t="s">
        <v>15</v>
      </c>
      <c r="B18" s="1" t="s">
        <v>10</v>
      </c>
      <c r="C18" s="5">
        <v>1339286</v>
      </c>
      <c r="D18" s="1" t="s">
        <v>11</v>
      </c>
      <c r="E18" s="6">
        <v>0</v>
      </c>
      <c r="F18" s="52">
        <v>14.75</v>
      </c>
      <c r="H18" s="58">
        <f t="shared" si="0"/>
        <v>0</v>
      </c>
      <c r="I18" s="58">
        <f t="shared" si="2"/>
        <v>19754468.5</v>
      </c>
      <c r="M18" s="48">
        <f t="shared" si="1"/>
        <v>19754468.5</v>
      </c>
    </row>
    <row r="19" spans="1:14" x14ac:dyDescent="0.2">
      <c r="A19" t="s">
        <v>16</v>
      </c>
      <c r="B19" s="1" t="s">
        <v>10</v>
      </c>
      <c r="C19" s="5">
        <v>59891</v>
      </c>
      <c r="D19" s="1" t="s">
        <v>11</v>
      </c>
      <c r="E19" s="6">
        <v>5.875</v>
      </c>
      <c r="F19" s="52">
        <v>5.125</v>
      </c>
      <c r="H19" s="58">
        <f t="shared" si="0"/>
        <v>351859.625</v>
      </c>
      <c r="I19" s="58">
        <f t="shared" si="2"/>
        <v>306941.375</v>
      </c>
      <c r="M19" s="48">
        <f t="shared" si="1"/>
        <v>-44918.25</v>
      </c>
    </row>
    <row r="20" spans="1:14" x14ac:dyDescent="0.2">
      <c r="A20" t="s">
        <v>17</v>
      </c>
      <c r="B20" s="1" t="s">
        <v>10</v>
      </c>
      <c r="C20" s="5">
        <v>0</v>
      </c>
      <c r="D20" s="1" t="s">
        <v>11</v>
      </c>
      <c r="E20" s="6">
        <v>1.6839500000000001</v>
      </c>
      <c r="F20">
        <v>2.75</v>
      </c>
      <c r="H20" s="58">
        <f t="shared" si="0"/>
        <v>0</v>
      </c>
      <c r="I20" s="58">
        <f t="shared" si="2"/>
        <v>0</v>
      </c>
      <c r="M20" s="48">
        <f t="shared" si="1"/>
        <v>0</v>
      </c>
    </row>
    <row r="21" spans="1:14" x14ac:dyDescent="0.2">
      <c r="A21" t="s">
        <v>18</v>
      </c>
      <c r="B21" s="1" t="s">
        <v>10</v>
      </c>
      <c r="C21" s="5">
        <f>10134.6*(1+0.3612/0.6)</f>
        <v>16235.629200000001</v>
      </c>
      <c r="D21" s="1" t="s">
        <v>11</v>
      </c>
      <c r="E21" s="6">
        <v>14.039765555621337</v>
      </c>
      <c r="F21" s="52">
        <v>7.25</v>
      </c>
      <c r="H21" s="58">
        <f t="shared" si="0"/>
        <v>227944.427616</v>
      </c>
      <c r="I21" s="58">
        <f t="shared" si="2"/>
        <v>117708.31170000001</v>
      </c>
      <c r="M21" s="48">
        <f t="shared" si="1"/>
        <v>-110236.115916</v>
      </c>
    </row>
    <row r="22" spans="1:14" x14ac:dyDescent="0.2">
      <c r="A22" t="s">
        <v>19</v>
      </c>
      <c r="B22" s="1" t="s">
        <v>10</v>
      </c>
      <c r="C22" s="5">
        <v>0</v>
      </c>
      <c r="D22" s="1" t="s">
        <v>11</v>
      </c>
      <c r="E22" s="6">
        <v>4.0658823529411761</v>
      </c>
      <c r="H22" s="58">
        <f t="shared" si="0"/>
        <v>0</v>
      </c>
      <c r="I22" s="58">
        <f t="shared" si="2"/>
        <v>0</v>
      </c>
      <c r="M22" s="48">
        <f t="shared" si="1"/>
        <v>0</v>
      </c>
    </row>
    <row r="23" spans="1:14" x14ac:dyDescent="0.2">
      <c r="A23" t="s">
        <v>20</v>
      </c>
      <c r="B23" s="1" t="s">
        <v>10</v>
      </c>
      <c r="C23" s="5">
        <v>0</v>
      </c>
      <c r="D23" s="1" t="s">
        <v>11</v>
      </c>
      <c r="E23" s="6">
        <v>7.625</v>
      </c>
      <c r="F23">
        <v>9.6</v>
      </c>
      <c r="H23" s="58">
        <f t="shared" si="0"/>
        <v>0</v>
      </c>
      <c r="I23" s="58">
        <f t="shared" si="2"/>
        <v>0</v>
      </c>
      <c r="M23" s="48">
        <f t="shared" si="1"/>
        <v>0</v>
      </c>
    </row>
    <row r="24" spans="1:14" x14ac:dyDescent="0.2">
      <c r="A24" s="28" t="s">
        <v>78</v>
      </c>
      <c r="E24" s="5"/>
      <c r="H24" s="71">
        <f>SUM(H14:H23)</f>
        <v>233020515.51991591</v>
      </c>
      <c r="I24" s="71">
        <f>SUM(I14:I23)</f>
        <v>83111757.186700001</v>
      </c>
      <c r="J24" s="92"/>
      <c r="K24" s="92"/>
      <c r="L24" s="92"/>
      <c r="M24" s="93">
        <f>+I24-H24</f>
        <v>-149908758.33321589</v>
      </c>
      <c r="N24" t="s">
        <v>291</v>
      </c>
    </row>
    <row r="25" spans="1:14" x14ac:dyDescent="0.2">
      <c r="F25" s="28" t="s">
        <v>292</v>
      </c>
      <c r="H25" s="28" t="s">
        <v>293</v>
      </c>
      <c r="I25" s="28" t="s">
        <v>294</v>
      </c>
      <c r="J25" s="26"/>
      <c r="K25" s="26"/>
      <c r="L25" s="26"/>
      <c r="M25" s="72">
        <f>+M24+M26</f>
        <v>-205800588.73323172</v>
      </c>
      <c r="N25" t="s">
        <v>295</v>
      </c>
    </row>
    <row r="26" spans="1:14" ht="22.5" x14ac:dyDescent="0.2">
      <c r="A26" s="11" t="s">
        <v>29</v>
      </c>
      <c r="H26" s="73">
        <f>+SUM(H27:H57)</f>
        <v>242722063</v>
      </c>
      <c r="I26" s="73">
        <f>+SUM(I27:I57)</f>
        <v>186830232.59998417</v>
      </c>
      <c r="J26" s="74"/>
      <c r="K26" s="74"/>
      <c r="L26" s="74"/>
      <c r="M26" s="73">
        <f>+SUM(M27:M57)</f>
        <v>-55891830.400015831</v>
      </c>
      <c r="N26" s="75" t="s">
        <v>296</v>
      </c>
    </row>
    <row r="27" spans="1:14" x14ac:dyDescent="0.2">
      <c r="A27" s="13" t="s">
        <v>32</v>
      </c>
      <c r="B27" s="1" t="s">
        <v>10</v>
      </c>
      <c r="C27" s="14"/>
      <c r="D27" s="1" t="s">
        <v>11</v>
      </c>
      <c r="E27" s="6"/>
      <c r="F27" s="14">
        <v>1250000</v>
      </c>
      <c r="G27" s="14" t="s">
        <v>189</v>
      </c>
      <c r="H27" s="5">
        <f>+F27</f>
        <v>1250000</v>
      </c>
      <c r="I27" s="76">
        <v>1250000</v>
      </c>
      <c r="K27" s="14"/>
      <c r="L27" s="76"/>
      <c r="M27" s="48">
        <f t="shared" ref="M27:M57" si="3">+I27-H27</f>
        <v>0</v>
      </c>
      <c r="N27" s="14">
        <v>0</v>
      </c>
    </row>
    <row r="28" spans="1:14" x14ac:dyDescent="0.2">
      <c r="A28" s="15" t="s">
        <v>33</v>
      </c>
      <c r="B28" s="1" t="s">
        <v>10</v>
      </c>
      <c r="C28" s="14"/>
      <c r="D28" s="1" t="s">
        <v>11</v>
      </c>
      <c r="E28" s="6"/>
      <c r="F28" s="14">
        <v>4563600</v>
      </c>
      <c r="G28" s="14" t="s">
        <v>189</v>
      </c>
      <c r="H28" s="5">
        <f t="shared" ref="H28:H57" si="4">+F28</f>
        <v>4563600</v>
      </c>
      <c r="I28" s="76">
        <v>4375178.6900000004</v>
      </c>
      <c r="K28" s="14"/>
      <c r="L28" s="76"/>
      <c r="M28" s="48">
        <f t="shared" si="3"/>
        <v>-188421.30999999959</v>
      </c>
      <c r="N28" s="14">
        <v>-188421.31</v>
      </c>
    </row>
    <row r="29" spans="1:14" x14ac:dyDescent="0.2">
      <c r="A29" s="15" t="s">
        <v>197</v>
      </c>
      <c r="B29" s="1" t="s">
        <v>10</v>
      </c>
      <c r="C29" s="14"/>
      <c r="D29" s="1" t="s">
        <v>11</v>
      </c>
      <c r="E29" s="6"/>
      <c r="F29" s="14">
        <v>2136334</v>
      </c>
      <c r="G29" s="14" t="s">
        <v>190</v>
      </c>
      <c r="H29" s="5">
        <f t="shared" si="4"/>
        <v>2136334</v>
      </c>
      <c r="I29" s="76">
        <v>1247943.5</v>
      </c>
      <c r="K29" s="14"/>
      <c r="L29" s="76"/>
      <c r="M29" s="48">
        <f t="shared" si="3"/>
        <v>-888390.5</v>
      </c>
      <c r="N29" s="14">
        <v>-888390.5</v>
      </c>
    </row>
    <row r="30" spans="1:14" x14ac:dyDescent="0.2">
      <c r="A30" s="15" t="s">
        <v>34</v>
      </c>
      <c r="B30" s="1" t="s">
        <v>10</v>
      </c>
      <c r="C30" s="14"/>
      <c r="D30" s="1" t="s">
        <v>11</v>
      </c>
      <c r="E30" s="6" t="s">
        <v>297</v>
      </c>
      <c r="F30" s="14">
        <v>429975</v>
      </c>
      <c r="G30" s="14" t="s">
        <v>189</v>
      </c>
      <c r="H30" s="5">
        <v>0</v>
      </c>
      <c r="I30" s="76">
        <v>0</v>
      </c>
      <c r="K30" s="14"/>
      <c r="L30" s="76"/>
      <c r="M30" s="48">
        <f t="shared" si="3"/>
        <v>0</v>
      </c>
      <c r="N30" s="14">
        <v>0</v>
      </c>
    </row>
    <row r="31" spans="1:14" x14ac:dyDescent="0.2">
      <c r="A31" s="15" t="s">
        <v>35</v>
      </c>
      <c r="B31" s="1" t="s">
        <v>10</v>
      </c>
      <c r="C31" s="14"/>
      <c r="D31" s="1" t="s">
        <v>11</v>
      </c>
      <c r="E31" s="6" t="s">
        <v>297</v>
      </c>
      <c r="F31" s="14">
        <v>12500000</v>
      </c>
      <c r="G31" s="14" t="s">
        <v>191</v>
      </c>
      <c r="H31" s="5">
        <v>0</v>
      </c>
      <c r="I31" s="76">
        <v>0</v>
      </c>
      <c r="K31" s="14"/>
      <c r="L31" s="76"/>
      <c r="M31" s="48">
        <f t="shared" si="3"/>
        <v>0</v>
      </c>
      <c r="N31" s="14">
        <v>0</v>
      </c>
    </row>
    <row r="32" spans="1:14" x14ac:dyDescent="0.2">
      <c r="A32" s="15" t="s">
        <v>36</v>
      </c>
      <c r="B32" s="1" t="s">
        <v>10</v>
      </c>
      <c r="C32" s="14"/>
      <c r="D32" s="1" t="s">
        <v>11</v>
      </c>
      <c r="E32" s="6"/>
      <c r="F32" s="14">
        <v>0</v>
      </c>
      <c r="G32" s="14"/>
      <c r="H32" s="5">
        <f t="shared" si="4"/>
        <v>0</v>
      </c>
      <c r="I32" s="76">
        <v>0</v>
      </c>
      <c r="K32" s="14"/>
      <c r="L32" s="76"/>
      <c r="M32" s="48">
        <f t="shared" si="3"/>
        <v>0</v>
      </c>
      <c r="N32" s="14">
        <v>0</v>
      </c>
    </row>
    <row r="33" spans="1:14" x14ac:dyDescent="0.2">
      <c r="A33" s="15" t="s">
        <v>37</v>
      </c>
      <c r="B33" s="1" t="s">
        <v>10</v>
      </c>
      <c r="C33" s="14"/>
      <c r="D33" s="1" t="s">
        <v>11</v>
      </c>
      <c r="E33" s="6"/>
      <c r="F33" s="14">
        <v>1663000</v>
      </c>
      <c r="G33" s="14" t="s">
        <v>191</v>
      </c>
      <c r="H33" s="5">
        <f t="shared" si="4"/>
        <v>1663000</v>
      </c>
      <c r="I33" s="76">
        <v>1663000</v>
      </c>
      <c r="K33" s="14"/>
      <c r="L33" s="76"/>
      <c r="M33" s="48">
        <f t="shared" si="3"/>
        <v>0</v>
      </c>
      <c r="N33" s="14">
        <v>0</v>
      </c>
    </row>
    <row r="34" spans="1:14" x14ac:dyDescent="0.2">
      <c r="A34" t="s">
        <v>38</v>
      </c>
      <c r="B34" s="1" t="s">
        <v>10</v>
      </c>
      <c r="C34" s="14"/>
      <c r="D34" s="1" t="s">
        <v>11</v>
      </c>
      <c r="E34" s="6"/>
      <c r="F34" s="14">
        <v>12878050</v>
      </c>
      <c r="G34" s="14" t="s">
        <v>191</v>
      </c>
      <c r="H34" s="5">
        <f t="shared" si="4"/>
        <v>12878050</v>
      </c>
      <c r="I34" s="76">
        <v>0</v>
      </c>
      <c r="K34" s="14"/>
      <c r="L34" s="76"/>
      <c r="M34" s="48">
        <f t="shared" si="3"/>
        <v>-12878050</v>
      </c>
      <c r="N34" s="14">
        <v>-12878050</v>
      </c>
    </row>
    <row r="35" spans="1:14" x14ac:dyDescent="0.2">
      <c r="A35" s="15" t="s">
        <v>39</v>
      </c>
      <c r="B35" s="1" t="s">
        <v>10</v>
      </c>
      <c r="C35" s="14"/>
      <c r="D35" s="1" t="s">
        <v>11</v>
      </c>
      <c r="E35" s="6" t="s">
        <v>297</v>
      </c>
      <c r="F35" s="14">
        <v>1012500</v>
      </c>
      <c r="G35" s="14" t="s">
        <v>189</v>
      </c>
      <c r="H35" s="5">
        <v>0</v>
      </c>
      <c r="I35" s="76">
        <v>0</v>
      </c>
      <c r="K35" s="14"/>
      <c r="L35" s="76"/>
      <c r="M35" s="48">
        <f t="shared" si="3"/>
        <v>0</v>
      </c>
      <c r="N35" s="14">
        <v>0</v>
      </c>
    </row>
    <row r="36" spans="1:14" x14ac:dyDescent="0.2">
      <c r="A36" s="15" t="s">
        <v>40</v>
      </c>
      <c r="B36" s="1" t="s">
        <v>10</v>
      </c>
      <c r="C36" s="16">
        <v>172031</v>
      </c>
      <c r="D36" s="1" t="s">
        <v>11</v>
      </c>
      <c r="E36" s="6">
        <v>136.64929576646099</v>
      </c>
      <c r="F36" s="14">
        <v>23507915</v>
      </c>
      <c r="G36" s="14" t="s">
        <v>189</v>
      </c>
      <c r="H36" s="5">
        <f t="shared" si="4"/>
        <v>23507915</v>
      </c>
      <c r="I36" s="76">
        <v>2.8312206268310547E-7</v>
      </c>
      <c r="K36" s="14"/>
      <c r="L36" s="76"/>
      <c r="M36" s="48">
        <f t="shared" si="3"/>
        <v>-23507914.999999717</v>
      </c>
      <c r="N36" s="14">
        <v>-23507914.999999717</v>
      </c>
    </row>
    <row r="37" spans="1:14" x14ac:dyDescent="0.2">
      <c r="A37" s="15" t="s">
        <v>41</v>
      </c>
      <c r="B37" s="1" t="s">
        <v>10</v>
      </c>
      <c r="C37" s="14"/>
      <c r="D37" s="1" t="s">
        <v>11</v>
      </c>
      <c r="E37" s="6"/>
      <c r="F37" s="14">
        <v>10372212</v>
      </c>
      <c r="G37" s="14" t="s">
        <v>189</v>
      </c>
      <c r="H37" s="5">
        <f t="shared" si="4"/>
        <v>10372212</v>
      </c>
      <c r="I37" s="76">
        <v>0</v>
      </c>
      <c r="K37" s="14"/>
      <c r="L37" s="76"/>
      <c r="M37" s="48">
        <f t="shared" si="3"/>
        <v>-10372212</v>
      </c>
      <c r="N37" s="14">
        <v>-10372212</v>
      </c>
    </row>
    <row r="38" spans="1:14" x14ac:dyDescent="0.2">
      <c r="A38" s="15" t="s">
        <v>42</v>
      </c>
      <c r="B38" s="1" t="s">
        <v>10</v>
      </c>
      <c r="C38" s="14"/>
      <c r="D38" s="1" t="s">
        <v>11</v>
      </c>
      <c r="E38" s="6"/>
      <c r="F38" s="14">
        <v>1302980</v>
      </c>
      <c r="G38" s="14" t="s">
        <v>191</v>
      </c>
      <c r="H38" s="5">
        <f t="shared" si="4"/>
        <v>1302980</v>
      </c>
      <c r="I38" s="76">
        <v>137317.57</v>
      </c>
      <c r="K38" s="14"/>
      <c r="L38" s="76"/>
      <c r="M38" s="48">
        <f t="shared" si="3"/>
        <v>-1165662.43</v>
      </c>
      <c r="N38" s="14">
        <v>-1165662.43</v>
      </c>
    </row>
    <row r="39" spans="1:14" x14ac:dyDescent="0.2">
      <c r="A39" s="15" t="s">
        <v>43</v>
      </c>
      <c r="B39" s="1" t="s">
        <v>10</v>
      </c>
      <c r="C39" s="14"/>
      <c r="D39" s="1" t="s">
        <v>11</v>
      </c>
      <c r="E39" s="6"/>
      <c r="F39" s="14">
        <v>3486752</v>
      </c>
      <c r="G39" s="14" t="s">
        <v>192</v>
      </c>
      <c r="H39" s="5">
        <f t="shared" si="4"/>
        <v>3486752</v>
      </c>
      <c r="I39" s="76">
        <v>0</v>
      </c>
      <c r="K39" s="14"/>
      <c r="L39" s="76"/>
      <c r="M39" s="48">
        <f t="shared" si="3"/>
        <v>-3486752</v>
      </c>
      <c r="N39" s="14">
        <v>-3486752</v>
      </c>
    </row>
    <row r="40" spans="1:14" x14ac:dyDescent="0.2">
      <c r="A40" s="15" t="s">
        <v>44</v>
      </c>
      <c r="B40" s="1" t="s">
        <v>10</v>
      </c>
      <c r="C40" s="14"/>
      <c r="D40" s="1" t="s">
        <v>11</v>
      </c>
      <c r="E40" s="6"/>
      <c r="F40" s="14">
        <v>429210</v>
      </c>
      <c r="G40" s="14" t="s">
        <v>191</v>
      </c>
      <c r="H40" s="5">
        <f t="shared" si="4"/>
        <v>429210</v>
      </c>
      <c r="I40" s="76">
        <v>1000000</v>
      </c>
      <c r="K40" s="14"/>
      <c r="L40" s="76"/>
      <c r="M40" s="48">
        <f t="shared" si="3"/>
        <v>570790</v>
      </c>
      <c r="N40" s="14">
        <v>570790</v>
      </c>
    </row>
    <row r="41" spans="1:14" x14ac:dyDescent="0.2">
      <c r="A41" s="15" t="s">
        <v>45</v>
      </c>
      <c r="B41" s="1" t="s">
        <v>10</v>
      </c>
      <c r="C41" s="14"/>
      <c r="D41" s="1" t="s">
        <v>11</v>
      </c>
      <c r="E41" s="6"/>
      <c r="F41" s="14">
        <v>470790</v>
      </c>
      <c r="G41" s="14" t="s">
        <v>191</v>
      </c>
      <c r="H41" s="5">
        <f t="shared" si="4"/>
        <v>470790</v>
      </c>
      <c r="I41" s="76">
        <v>0</v>
      </c>
      <c r="K41" s="14"/>
      <c r="L41" s="76"/>
      <c r="M41" s="48">
        <f t="shared" si="3"/>
        <v>-470790</v>
      </c>
      <c r="N41" s="14">
        <v>-470790</v>
      </c>
    </row>
    <row r="42" spans="1:14" x14ac:dyDescent="0.2">
      <c r="A42" s="15" t="s">
        <v>46</v>
      </c>
      <c r="B42" s="1" t="s">
        <v>10</v>
      </c>
      <c r="C42" s="14"/>
      <c r="D42" s="1" t="s">
        <v>11</v>
      </c>
      <c r="E42" s="6"/>
      <c r="F42" s="14">
        <v>27082500</v>
      </c>
      <c r="G42" s="14" t="s">
        <v>192</v>
      </c>
      <c r="H42" s="5">
        <f t="shared" si="4"/>
        <v>27082500</v>
      </c>
      <c r="I42" s="76">
        <v>23513434.5</v>
      </c>
      <c r="K42" s="14"/>
      <c r="L42" s="76"/>
      <c r="M42" s="48">
        <f t="shared" si="3"/>
        <v>-3569065.5</v>
      </c>
      <c r="N42" s="14">
        <v>-3569065.5</v>
      </c>
    </row>
    <row r="43" spans="1:14" x14ac:dyDescent="0.2">
      <c r="A43" s="15" t="s">
        <v>47</v>
      </c>
      <c r="B43" s="1" t="s">
        <v>10</v>
      </c>
      <c r="C43" s="14"/>
      <c r="D43" s="1" t="s">
        <v>11</v>
      </c>
      <c r="E43" s="6"/>
      <c r="F43" s="14">
        <v>7121810</v>
      </c>
      <c r="G43" s="14" t="s">
        <v>191</v>
      </c>
      <c r="H43" s="5">
        <f t="shared" si="4"/>
        <v>7121810</v>
      </c>
      <c r="I43" s="76">
        <v>7121810</v>
      </c>
      <c r="K43" s="14"/>
      <c r="L43" s="76"/>
      <c r="M43" s="48">
        <f t="shared" si="3"/>
        <v>0</v>
      </c>
      <c r="N43" s="14">
        <v>0</v>
      </c>
    </row>
    <row r="44" spans="1:14" x14ac:dyDescent="0.2">
      <c r="A44" s="15" t="s">
        <v>48</v>
      </c>
      <c r="B44" s="1" t="s">
        <v>10</v>
      </c>
      <c r="C44" s="14"/>
      <c r="D44" s="1" t="s">
        <v>11</v>
      </c>
      <c r="E44" s="6"/>
      <c r="F44" s="14">
        <v>5644007</v>
      </c>
      <c r="G44" s="14" t="s">
        <v>189</v>
      </c>
      <c r="H44" s="5">
        <f t="shared" si="4"/>
        <v>5644007</v>
      </c>
      <c r="I44" s="76">
        <v>5644007</v>
      </c>
      <c r="K44" s="14"/>
      <c r="L44" s="76"/>
      <c r="M44" s="48">
        <f t="shared" si="3"/>
        <v>0</v>
      </c>
      <c r="N44" s="14">
        <v>0</v>
      </c>
    </row>
    <row r="45" spans="1:14" x14ac:dyDescent="0.2">
      <c r="A45" s="15" t="s">
        <v>49</v>
      </c>
      <c r="B45" s="1" t="s">
        <v>10</v>
      </c>
      <c r="C45" s="14"/>
      <c r="D45" s="1" t="s">
        <v>11</v>
      </c>
      <c r="E45" s="6"/>
      <c r="F45" s="14">
        <v>20916875</v>
      </c>
      <c r="G45" s="14" t="s">
        <v>189</v>
      </c>
      <c r="H45" s="5">
        <f t="shared" si="4"/>
        <v>20916875</v>
      </c>
      <c r="I45" s="76">
        <v>20999559.859999999</v>
      </c>
      <c r="K45" s="14"/>
      <c r="L45" s="76"/>
      <c r="M45" s="48">
        <f t="shared" si="3"/>
        <v>82684.859999999404</v>
      </c>
      <c r="N45" s="14">
        <v>82684.859999999404</v>
      </c>
    </row>
    <row r="46" spans="1:14" x14ac:dyDescent="0.2">
      <c r="A46" s="15" t="s">
        <v>50</v>
      </c>
      <c r="B46" s="1" t="s">
        <v>10</v>
      </c>
      <c r="C46" s="14"/>
      <c r="D46" s="1" t="s">
        <v>11</v>
      </c>
      <c r="E46" s="6"/>
      <c r="F46" s="14">
        <v>2560525</v>
      </c>
      <c r="G46" s="14" t="s">
        <v>189</v>
      </c>
      <c r="H46" s="5">
        <f t="shared" si="4"/>
        <v>2560525</v>
      </c>
      <c r="I46" s="76">
        <v>2560525</v>
      </c>
      <c r="K46" s="14"/>
      <c r="L46" s="76"/>
      <c r="M46" s="48">
        <f t="shared" si="3"/>
        <v>0</v>
      </c>
      <c r="N46" s="14">
        <v>0</v>
      </c>
    </row>
    <row r="47" spans="1:14" x14ac:dyDescent="0.2">
      <c r="A47" s="15" t="s">
        <v>51</v>
      </c>
      <c r="B47" s="1" t="s">
        <v>10</v>
      </c>
      <c r="C47" s="14"/>
      <c r="D47" s="1" t="s">
        <v>11</v>
      </c>
      <c r="E47" s="6" t="s">
        <v>297</v>
      </c>
      <c r="F47" s="14">
        <v>4774950</v>
      </c>
      <c r="G47" s="14" t="s">
        <v>189</v>
      </c>
      <c r="H47" s="5">
        <v>0</v>
      </c>
      <c r="I47" s="76">
        <v>0</v>
      </c>
      <c r="K47" s="14"/>
      <c r="L47" s="76"/>
      <c r="M47" s="48">
        <f t="shared" si="3"/>
        <v>0</v>
      </c>
      <c r="N47" s="14">
        <v>0</v>
      </c>
    </row>
    <row r="48" spans="1:14" x14ac:dyDescent="0.2">
      <c r="A48" s="15" t="s">
        <v>52</v>
      </c>
      <c r="B48" s="1" t="s">
        <v>10</v>
      </c>
      <c r="C48" s="14"/>
      <c r="D48" s="1" t="s">
        <v>11</v>
      </c>
      <c r="E48" s="6"/>
      <c r="F48" s="14">
        <v>1822363</v>
      </c>
      <c r="G48" s="14" t="s">
        <v>190</v>
      </c>
      <c r="H48" s="5">
        <f t="shared" si="4"/>
        <v>1822363</v>
      </c>
      <c r="I48" s="76">
        <v>2013591.6599838899</v>
      </c>
      <c r="K48" s="14"/>
      <c r="L48" s="76"/>
      <c r="M48" s="48">
        <f t="shared" si="3"/>
        <v>191228.6599838899</v>
      </c>
      <c r="N48" s="14">
        <v>191228.6599838899</v>
      </c>
    </row>
    <row r="49" spans="1:14" x14ac:dyDescent="0.2">
      <c r="A49" s="15" t="s">
        <v>53</v>
      </c>
      <c r="B49" s="1" t="s">
        <v>10</v>
      </c>
      <c r="C49" s="14"/>
      <c r="D49" s="1" t="s">
        <v>11</v>
      </c>
      <c r="E49" s="6"/>
      <c r="F49" s="14">
        <v>1374750</v>
      </c>
      <c r="G49" s="14" t="s">
        <v>192</v>
      </c>
      <c r="H49" s="5">
        <f t="shared" si="4"/>
        <v>1374750</v>
      </c>
      <c r="I49" s="76">
        <v>1374750</v>
      </c>
      <c r="K49" s="14"/>
      <c r="L49" s="76"/>
      <c r="M49" s="48">
        <f t="shared" si="3"/>
        <v>0</v>
      </c>
      <c r="N49" s="14">
        <v>0</v>
      </c>
    </row>
    <row r="50" spans="1:14" x14ac:dyDescent="0.2">
      <c r="A50" s="15" t="s">
        <v>54</v>
      </c>
      <c r="B50" s="1" t="s">
        <v>10</v>
      </c>
      <c r="C50" s="14"/>
      <c r="D50" s="1" t="s">
        <v>11</v>
      </c>
      <c r="E50" s="6"/>
      <c r="F50" s="14">
        <v>1803840</v>
      </c>
      <c r="G50" s="14" t="s">
        <v>189</v>
      </c>
      <c r="H50" s="5">
        <f t="shared" si="4"/>
        <v>1803840</v>
      </c>
      <c r="I50" s="76">
        <v>1803840</v>
      </c>
      <c r="K50" s="14"/>
      <c r="L50" s="76"/>
      <c r="M50" s="48">
        <f t="shared" si="3"/>
        <v>0</v>
      </c>
      <c r="N50" s="14">
        <v>0</v>
      </c>
    </row>
    <row r="51" spans="1:14" x14ac:dyDescent="0.2">
      <c r="A51" s="15" t="s">
        <v>55</v>
      </c>
      <c r="B51" s="1" t="s">
        <v>10</v>
      </c>
      <c r="C51" s="14"/>
      <c r="D51" s="1" t="s">
        <v>11</v>
      </c>
      <c r="E51" s="6"/>
      <c r="F51" s="14">
        <v>2300803</v>
      </c>
      <c r="G51" s="14" t="s">
        <v>191</v>
      </c>
      <c r="H51" s="5">
        <f t="shared" si="4"/>
        <v>2300803</v>
      </c>
      <c r="I51" s="76">
        <v>2300803</v>
      </c>
      <c r="K51" s="14"/>
      <c r="L51" s="76"/>
      <c r="M51" s="48">
        <f t="shared" si="3"/>
        <v>0</v>
      </c>
      <c r="N51" s="14">
        <v>0</v>
      </c>
    </row>
    <row r="52" spans="1:14" x14ac:dyDescent="0.2">
      <c r="A52" s="15" t="s">
        <v>56</v>
      </c>
      <c r="B52" s="1" t="s">
        <v>10</v>
      </c>
      <c r="C52" s="14"/>
      <c r="D52" s="1" t="s">
        <v>11</v>
      </c>
      <c r="E52" s="6"/>
      <c r="F52" s="14">
        <v>7483750</v>
      </c>
      <c r="G52" s="14" t="s">
        <v>189</v>
      </c>
      <c r="H52" s="5">
        <f t="shared" si="4"/>
        <v>7483750</v>
      </c>
      <c r="I52" s="76">
        <v>8551988.3399999999</v>
      </c>
      <c r="K52" s="14"/>
      <c r="L52" s="76"/>
      <c r="M52" s="48">
        <f t="shared" si="3"/>
        <v>1068238.3399999999</v>
      </c>
      <c r="N52" s="14">
        <v>1068238.3400000001</v>
      </c>
    </row>
    <row r="53" spans="1:14" x14ac:dyDescent="0.2">
      <c r="A53" s="15" t="s">
        <v>57</v>
      </c>
      <c r="B53" s="1" t="s">
        <v>10</v>
      </c>
      <c r="C53" s="14"/>
      <c r="D53" s="1" t="s">
        <v>11</v>
      </c>
      <c r="E53" s="6"/>
      <c r="F53" s="14">
        <v>2343750</v>
      </c>
      <c r="G53" s="14" t="s">
        <v>189</v>
      </c>
      <c r="H53" s="5">
        <f t="shared" si="4"/>
        <v>2343750</v>
      </c>
      <c r="I53" s="76">
        <v>2343750</v>
      </c>
      <c r="K53" s="14"/>
      <c r="L53" s="76"/>
      <c r="M53" s="48">
        <f t="shared" si="3"/>
        <v>0</v>
      </c>
      <c r="N53" s="14">
        <v>0</v>
      </c>
    </row>
    <row r="54" spans="1:14" x14ac:dyDescent="0.2">
      <c r="A54" t="s">
        <v>58</v>
      </c>
      <c r="B54" s="1" t="s">
        <v>10</v>
      </c>
      <c r="C54" s="14"/>
      <c r="D54" s="1" t="s">
        <v>11</v>
      </c>
      <c r="E54" s="6"/>
      <c r="F54" s="14">
        <v>16316247</v>
      </c>
      <c r="G54" s="14" t="s">
        <v>189</v>
      </c>
      <c r="H54" s="5">
        <f t="shared" si="4"/>
        <v>16316247</v>
      </c>
      <c r="I54" s="76">
        <v>16316247</v>
      </c>
      <c r="K54" s="14"/>
      <c r="L54" s="76"/>
      <c r="M54" s="48">
        <f t="shared" si="3"/>
        <v>0</v>
      </c>
      <c r="N54" s="14">
        <v>0</v>
      </c>
    </row>
    <row r="55" spans="1:14" x14ac:dyDescent="0.2">
      <c r="A55" t="s">
        <v>59</v>
      </c>
      <c r="B55" s="1" t="s">
        <v>10</v>
      </c>
      <c r="C55" s="14"/>
      <c r="D55" s="1" t="s">
        <v>11</v>
      </c>
      <c r="E55" s="6"/>
      <c r="F55" s="14">
        <v>1050000</v>
      </c>
      <c r="G55" s="14" t="s">
        <v>189</v>
      </c>
      <c r="H55" s="5">
        <f t="shared" si="4"/>
        <v>1050000</v>
      </c>
      <c r="I55" s="76">
        <v>1050000</v>
      </c>
      <c r="K55" s="14"/>
      <c r="L55" s="76"/>
      <c r="M55" s="48">
        <f t="shared" si="3"/>
        <v>0</v>
      </c>
      <c r="N55" s="14">
        <v>0</v>
      </c>
    </row>
    <row r="56" spans="1:14" x14ac:dyDescent="0.2">
      <c r="A56" s="15" t="s">
        <v>60</v>
      </c>
      <c r="B56" s="1" t="s">
        <v>10</v>
      </c>
      <c r="C56" s="5">
        <v>375000</v>
      </c>
      <c r="D56" s="1" t="s">
        <v>11</v>
      </c>
      <c r="E56" s="6">
        <v>217.28</v>
      </c>
      <c r="F56" s="14">
        <v>81480000</v>
      </c>
      <c r="G56" s="14" t="s">
        <v>193</v>
      </c>
      <c r="H56" s="5">
        <f t="shared" si="4"/>
        <v>81480000</v>
      </c>
      <c r="I56" s="76">
        <v>80202486.480000004</v>
      </c>
      <c r="K56" s="14"/>
      <c r="L56" s="76"/>
      <c r="M56" s="48">
        <f t="shared" si="3"/>
        <v>-1277513.5199999958</v>
      </c>
      <c r="N56" s="14">
        <v>-1277513.52</v>
      </c>
    </row>
    <row r="57" spans="1:14" x14ac:dyDescent="0.2">
      <c r="A57" s="15" t="s">
        <v>61</v>
      </c>
      <c r="B57" s="1" t="s">
        <v>10</v>
      </c>
      <c r="C57" s="5">
        <v>1000</v>
      </c>
      <c r="D57" s="1" t="s">
        <v>11</v>
      </c>
      <c r="E57" s="6">
        <v>1360</v>
      </c>
      <c r="F57" s="14">
        <v>1360000</v>
      </c>
      <c r="G57" s="14" t="s">
        <v>189</v>
      </c>
      <c r="H57" s="5">
        <f t="shared" si="4"/>
        <v>1360000</v>
      </c>
      <c r="I57" s="76">
        <v>1360000</v>
      </c>
      <c r="K57" s="14"/>
      <c r="L57" s="76"/>
      <c r="M57" s="48">
        <f t="shared" si="3"/>
        <v>0</v>
      </c>
      <c r="N57" s="14">
        <v>0</v>
      </c>
    </row>
    <row r="58" spans="1:14" x14ac:dyDescent="0.2">
      <c r="A58" s="15"/>
      <c r="B58" s="1"/>
      <c r="C58" s="14"/>
      <c r="D58" s="1"/>
      <c r="E58" s="6"/>
      <c r="F58" s="5"/>
      <c r="G58" s="14"/>
      <c r="I58" s="55"/>
      <c r="K58" s="14"/>
      <c r="L58" s="76"/>
      <c r="N58" s="14">
        <v>-1.3235220015048981</v>
      </c>
    </row>
    <row r="59" spans="1:14" x14ac:dyDescent="0.2">
      <c r="A59" s="15" t="s">
        <v>236</v>
      </c>
      <c r="B59" s="1"/>
      <c r="C59" s="14"/>
      <c r="D59" s="1"/>
      <c r="E59" s="6"/>
      <c r="F59" s="5"/>
      <c r="G59" s="14"/>
      <c r="L59" s="7"/>
    </row>
    <row r="60" spans="1:14" x14ac:dyDescent="0.2">
      <c r="A60" t="s">
        <v>9</v>
      </c>
      <c r="B60" s="1" t="s">
        <v>10</v>
      </c>
      <c r="C60" s="5">
        <f>ROUND(+C14/0.6*0.3612,2)</f>
        <v>75223.509999999995</v>
      </c>
      <c r="D60" s="1" t="s">
        <v>11</v>
      </c>
      <c r="E60" s="6">
        <f>+E14</f>
        <v>1.17868389193476</v>
      </c>
      <c r="F60" s="5"/>
      <c r="G60" s="14"/>
      <c r="L60" s="7"/>
    </row>
    <row r="61" spans="1:14" x14ac:dyDescent="0.2">
      <c r="A61" t="s">
        <v>17</v>
      </c>
      <c r="B61" s="1" t="s">
        <v>10</v>
      </c>
      <c r="C61" s="5">
        <f>ROUND(+C20/0.6*0.3612,2)</f>
        <v>0</v>
      </c>
      <c r="D61" s="1" t="s">
        <v>11</v>
      </c>
      <c r="E61" s="6">
        <f>+E20</f>
        <v>1.6839500000000001</v>
      </c>
      <c r="F61" s="5"/>
      <c r="G61" s="14"/>
      <c r="L61" s="7"/>
    </row>
    <row r="62" spans="1:14" x14ac:dyDescent="0.2">
      <c r="A62" t="str">
        <f>+A21</f>
        <v>DevX Energy Common</v>
      </c>
      <c r="B62" s="1" t="s">
        <v>10</v>
      </c>
      <c r="C62" s="5">
        <f>ROUND(+C21/0.6*0.3612,4)</f>
        <v>9773.8487999999998</v>
      </c>
      <c r="D62" s="1" t="s">
        <v>11</v>
      </c>
      <c r="E62" s="6">
        <f>+E21</f>
        <v>14.039765555621337</v>
      </c>
      <c r="F62" s="5"/>
      <c r="G62" s="14"/>
      <c r="L62" s="7"/>
    </row>
    <row r="63" spans="1:14" x14ac:dyDescent="0.2">
      <c r="A63" t="str">
        <f>+A22</f>
        <v>DevX Energy Pref</v>
      </c>
      <c r="B63" s="1" t="s">
        <v>10</v>
      </c>
      <c r="C63" s="5">
        <f>ROUND(+C22/0.6*0.3612,4)</f>
        <v>0</v>
      </c>
      <c r="D63" s="1" t="s">
        <v>11</v>
      </c>
      <c r="E63" s="6">
        <f>+E22</f>
        <v>4.0658823529411761</v>
      </c>
      <c r="F63" s="5"/>
      <c r="G63" s="14"/>
      <c r="L63" s="7"/>
    </row>
    <row r="64" spans="1:14" x14ac:dyDescent="0.2">
      <c r="A64" t="s">
        <v>20</v>
      </c>
      <c r="B64" s="1" t="s">
        <v>10</v>
      </c>
      <c r="C64" s="5">
        <f>ROUND(+C23/0.6*0.3612,3)</f>
        <v>0</v>
      </c>
      <c r="D64" s="1" t="s">
        <v>11</v>
      </c>
      <c r="E64" s="6">
        <f>+E23</f>
        <v>7.625</v>
      </c>
      <c r="F64" s="5"/>
      <c r="G64" s="14"/>
      <c r="L64" s="7"/>
    </row>
    <row r="65" spans="1:14" x14ac:dyDescent="0.2">
      <c r="A65" s="15" t="s">
        <v>33</v>
      </c>
      <c r="B65" s="1" t="s">
        <v>10</v>
      </c>
      <c r="C65" s="14"/>
      <c r="D65" s="1" t="s">
        <v>11</v>
      </c>
      <c r="E65" s="6"/>
      <c r="F65" s="5">
        <v>2747287.2</v>
      </c>
      <c r="G65" s="14"/>
      <c r="H65" s="5">
        <f>+F65</f>
        <v>2747287.2</v>
      </c>
      <c r="I65" s="95">
        <f>ROUND(+I28/0.6*0.3612,2)</f>
        <v>2633857.5699999998</v>
      </c>
      <c r="L65" s="7"/>
    </row>
    <row r="66" spans="1:14" x14ac:dyDescent="0.2">
      <c r="A66" s="15" t="s">
        <v>45</v>
      </c>
      <c r="B66" s="1" t="s">
        <v>10</v>
      </c>
      <c r="C66" s="14"/>
      <c r="D66" s="1" t="s">
        <v>11</v>
      </c>
      <c r="E66" s="6"/>
      <c r="F66" s="5">
        <v>283415.58</v>
      </c>
      <c r="G66" s="14"/>
      <c r="H66" s="5">
        <f>+F66</f>
        <v>283415.58</v>
      </c>
      <c r="I66" s="48">
        <v>0</v>
      </c>
      <c r="L66" s="7"/>
    </row>
    <row r="67" spans="1:14" x14ac:dyDescent="0.2">
      <c r="A67" s="28" t="s">
        <v>79</v>
      </c>
      <c r="H67" s="54">
        <f>SUM(H27:H66)</f>
        <v>245752765.78</v>
      </c>
      <c r="I67" s="56">
        <f>SUM(I27:I66)</f>
        <v>189464090.16998416</v>
      </c>
      <c r="J67" s="26"/>
      <c r="K67" s="26"/>
      <c r="L67" s="77"/>
      <c r="M67" s="26"/>
      <c r="N67" s="26"/>
    </row>
    <row r="68" spans="1:14" x14ac:dyDescent="0.2">
      <c r="D68" t="s">
        <v>219</v>
      </c>
      <c r="F68" t="s">
        <v>222</v>
      </c>
      <c r="G68" t="s">
        <v>8</v>
      </c>
      <c r="J68" s="26"/>
      <c r="K68" s="26"/>
      <c r="L68" s="77"/>
    </row>
    <row r="69" spans="1:14" x14ac:dyDescent="0.2">
      <c r="A69" s="47" t="s">
        <v>62</v>
      </c>
      <c r="B69" s="1" t="s">
        <v>199</v>
      </c>
      <c r="C69" s="14" t="s">
        <v>218</v>
      </c>
      <c r="D69" s="1" t="s">
        <v>220</v>
      </c>
      <c r="E69" s="6" t="s">
        <v>221</v>
      </c>
      <c r="F69" s="5" t="s">
        <v>223</v>
      </c>
      <c r="G69" s="14" t="s">
        <v>224</v>
      </c>
      <c r="I69" s="26"/>
      <c r="J69" s="26"/>
      <c r="K69" s="26"/>
      <c r="L69" s="77"/>
      <c r="M69" s="26"/>
      <c r="N69" s="26"/>
    </row>
    <row r="70" spans="1:14" x14ac:dyDescent="0.2">
      <c r="A70" t="s">
        <v>198</v>
      </c>
      <c r="B70" s="5">
        <v>35000000</v>
      </c>
      <c r="C70" s="44">
        <v>0.08</v>
      </c>
      <c r="D70" s="49">
        <f ca="1">1-EXP(-C70*('Input and Calc'!$M$11-TODAY())/'Input and Calc'!$M$17)</f>
        <v>-1.4871147101732234</v>
      </c>
      <c r="E70" s="62">
        <f ca="1">RAND()</f>
        <v>0.97955522122180405</v>
      </c>
      <c r="F70">
        <f ca="1">IF(E70&lt;D70,0,1)</f>
        <v>1</v>
      </c>
      <c r="G70" s="48">
        <f ca="1">F70*B70</f>
        <v>35000000</v>
      </c>
      <c r="J70" s="27"/>
      <c r="K70" s="26"/>
      <c r="L70" s="77"/>
    </row>
    <row r="71" spans="1:14" x14ac:dyDescent="0.2">
      <c r="A71" t="s">
        <v>200</v>
      </c>
      <c r="B71" s="5">
        <v>12265128</v>
      </c>
      <c r="C71" s="44">
        <v>0.08</v>
      </c>
      <c r="D71" s="49">
        <f ca="1">1-EXP(-C71*('Input and Calc'!$M$11-TODAY())/'Input and Calc'!$M$17)</f>
        <v>-1.4871147101732234</v>
      </c>
      <c r="E71" s="62">
        <f t="shared" ref="E71:E88" ca="1" si="5">RAND()</f>
        <v>0.69985697729470497</v>
      </c>
      <c r="F71">
        <f t="shared" ref="F71:F88" ca="1" si="6">IF(E71&lt;D71,0,1)</f>
        <v>1</v>
      </c>
      <c r="G71" s="48">
        <f t="shared" ref="G71:G88" ca="1" si="7">F71*B71</f>
        <v>12265128</v>
      </c>
      <c r="L71" s="7"/>
    </row>
    <row r="72" spans="1:14" x14ac:dyDescent="0.2">
      <c r="A72" t="s">
        <v>201</v>
      </c>
      <c r="B72" s="5">
        <v>15000000</v>
      </c>
      <c r="C72" s="44">
        <v>0.08</v>
      </c>
      <c r="D72" s="49">
        <f ca="1">1-EXP(-C72*('Input and Calc'!$M$11-TODAY())/'Input and Calc'!$M$17)</f>
        <v>-1.4871147101732234</v>
      </c>
      <c r="E72" s="62">
        <f t="shared" ca="1" si="5"/>
        <v>0.85554023022920656</v>
      </c>
      <c r="F72">
        <f t="shared" ca="1" si="6"/>
        <v>1</v>
      </c>
      <c r="G72" s="48">
        <f t="shared" ca="1" si="7"/>
        <v>15000000</v>
      </c>
      <c r="L72" s="7"/>
    </row>
    <row r="73" spans="1:14" x14ac:dyDescent="0.2">
      <c r="A73" t="s">
        <v>202</v>
      </c>
      <c r="B73" s="5">
        <v>15000000</v>
      </c>
      <c r="C73" s="44">
        <v>0.08</v>
      </c>
      <c r="D73" s="49">
        <f ca="1">1-EXP(-C73*('Input and Calc'!$M$11-TODAY())/'Input and Calc'!$M$17)</f>
        <v>-1.4871147101732234</v>
      </c>
      <c r="E73" s="62">
        <f t="shared" ca="1" si="5"/>
        <v>0.87438867694243405</v>
      </c>
      <c r="F73">
        <f t="shared" ca="1" si="6"/>
        <v>1</v>
      </c>
      <c r="G73" s="48">
        <f t="shared" ca="1" si="7"/>
        <v>15000000</v>
      </c>
      <c r="L73" s="7"/>
    </row>
    <row r="74" spans="1:14" x14ac:dyDescent="0.2">
      <c r="A74" t="s">
        <v>203</v>
      </c>
      <c r="B74" s="5">
        <v>25000000</v>
      </c>
      <c r="C74" s="44">
        <v>0.08</v>
      </c>
      <c r="D74" s="49">
        <f ca="1">1-EXP(-C74*('Input and Calc'!$M$11-TODAY())/'Input and Calc'!$M$17)</f>
        <v>-1.4871147101732234</v>
      </c>
      <c r="E74" s="62">
        <f t="shared" ca="1" si="5"/>
        <v>0.7433776299753071</v>
      </c>
      <c r="F74">
        <f t="shared" ca="1" si="6"/>
        <v>1</v>
      </c>
      <c r="G74" s="48">
        <f t="shared" ca="1" si="7"/>
        <v>25000000</v>
      </c>
      <c r="L74" s="7"/>
    </row>
    <row r="75" spans="1:14" x14ac:dyDescent="0.2">
      <c r="A75" t="s">
        <v>205</v>
      </c>
      <c r="B75" s="5">
        <v>10000000</v>
      </c>
      <c r="C75" s="44">
        <v>0.08</v>
      </c>
      <c r="D75" s="49">
        <f ca="1">1-EXP(-C75*('Input and Calc'!$M$11-TODAY())/'Input and Calc'!$M$17)</f>
        <v>-1.4871147101732234</v>
      </c>
      <c r="E75" s="62">
        <f t="shared" ca="1" si="5"/>
        <v>0.82596878665963691</v>
      </c>
      <c r="F75">
        <f t="shared" ca="1" si="6"/>
        <v>1</v>
      </c>
      <c r="G75" s="48">
        <f t="shared" ca="1" si="7"/>
        <v>10000000</v>
      </c>
      <c r="L75" s="7"/>
    </row>
    <row r="76" spans="1:14" x14ac:dyDescent="0.2">
      <c r="A76" t="s">
        <v>204</v>
      </c>
      <c r="B76" s="5">
        <v>19610000</v>
      </c>
      <c r="C76" s="44">
        <v>0.08</v>
      </c>
      <c r="D76" s="49">
        <f ca="1">1-EXP(-C76*('Input and Calc'!$M$11-TODAY())/'Input and Calc'!$M$17)</f>
        <v>-1.4871147101732234</v>
      </c>
      <c r="E76" s="62">
        <f t="shared" ca="1" si="5"/>
        <v>0.64205460207296861</v>
      </c>
      <c r="F76">
        <f t="shared" ca="1" si="6"/>
        <v>1</v>
      </c>
      <c r="G76" s="48">
        <f t="shared" ca="1" si="7"/>
        <v>19610000</v>
      </c>
      <c r="L76" s="7"/>
    </row>
    <row r="77" spans="1:14" x14ac:dyDescent="0.2">
      <c r="A77" t="s">
        <v>206</v>
      </c>
      <c r="B77" s="5">
        <v>7146416</v>
      </c>
      <c r="C77" s="44">
        <v>0.08</v>
      </c>
      <c r="D77" s="49">
        <f ca="1">1-EXP(-C77*('Input and Calc'!$M$11-TODAY())/'Input and Calc'!$M$17)</f>
        <v>-1.4871147101732234</v>
      </c>
      <c r="E77" s="62">
        <f t="shared" ca="1" si="5"/>
        <v>0.53396760842466906</v>
      </c>
      <c r="F77">
        <f t="shared" ca="1" si="6"/>
        <v>1</v>
      </c>
      <c r="G77" s="48">
        <f t="shared" ca="1" si="7"/>
        <v>7146416</v>
      </c>
      <c r="L77" s="7"/>
    </row>
    <row r="78" spans="1:14" x14ac:dyDescent="0.2">
      <c r="A78" t="s">
        <v>207</v>
      </c>
      <c r="B78" s="5">
        <v>15908269</v>
      </c>
      <c r="C78" s="44">
        <v>0.08</v>
      </c>
      <c r="D78" s="49">
        <f ca="1">1-EXP(-C78*('Input and Calc'!$M$11-TODAY())/'Input and Calc'!$M$17)</f>
        <v>-1.4871147101732234</v>
      </c>
      <c r="E78" s="62">
        <f t="shared" ca="1" si="5"/>
        <v>0.18468152601639443</v>
      </c>
      <c r="F78">
        <f t="shared" ca="1" si="6"/>
        <v>1</v>
      </c>
      <c r="G78" s="48">
        <f t="shared" ca="1" si="7"/>
        <v>15908269</v>
      </c>
      <c r="L78" s="7"/>
    </row>
    <row r="79" spans="1:14" x14ac:dyDescent="0.2">
      <c r="A79" t="s">
        <v>208</v>
      </c>
      <c r="B79" s="5">
        <v>30000000</v>
      </c>
      <c r="C79" s="44">
        <v>0.08</v>
      </c>
      <c r="D79" s="49">
        <f ca="1">1-EXP(-C79*('Input and Calc'!$M$11-TODAY())/'Input and Calc'!$M$17)</f>
        <v>-1.4871147101732234</v>
      </c>
      <c r="E79" s="62">
        <f t="shared" ca="1" si="5"/>
        <v>0.69365401593166431</v>
      </c>
      <c r="F79">
        <f t="shared" ca="1" si="6"/>
        <v>1</v>
      </c>
      <c r="G79" s="48">
        <f t="shared" ca="1" si="7"/>
        <v>30000000</v>
      </c>
      <c r="L79" s="7"/>
    </row>
    <row r="80" spans="1:14" x14ac:dyDescent="0.2">
      <c r="A80" t="s">
        <v>209</v>
      </c>
      <c r="B80" s="5">
        <v>15000000</v>
      </c>
      <c r="C80" s="44">
        <v>0.3</v>
      </c>
      <c r="D80" s="49">
        <f ca="1">1-EXP(-C80*('Input and Calc'!$M$11-TODAY())/'Input and Calc'!$M$17)</f>
        <v>-29.469077862850778</v>
      </c>
      <c r="E80" s="62">
        <f t="shared" ca="1" si="5"/>
        <v>0.90027611113849304</v>
      </c>
      <c r="F80">
        <f t="shared" ca="1" si="6"/>
        <v>1</v>
      </c>
      <c r="G80" s="48">
        <f t="shared" ca="1" si="7"/>
        <v>15000000</v>
      </c>
      <c r="L80" s="7"/>
    </row>
    <row r="81" spans="1:12" x14ac:dyDescent="0.2">
      <c r="A81" t="s">
        <v>210</v>
      </c>
      <c r="B81" s="5">
        <v>23542484</v>
      </c>
      <c r="C81" s="44">
        <v>0.08</v>
      </c>
      <c r="D81" s="49">
        <f ca="1">1-EXP(-C81*('Input and Calc'!$M$11-TODAY())/'Input and Calc'!$M$17)</f>
        <v>-1.4871147101732234</v>
      </c>
      <c r="E81" s="62">
        <f t="shared" ca="1" si="5"/>
        <v>0.81741626794321043</v>
      </c>
      <c r="F81">
        <f t="shared" ca="1" si="6"/>
        <v>1</v>
      </c>
      <c r="G81" s="48">
        <f t="shared" ca="1" si="7"/>
        <v>23542484</v>
      </c>
      <c r="L81" s="7"/>
    </row>
    <row r="82" spans="1:12" x14ac:dyDescent="0.2">
      <c r="A82" t="s">
        <v>211</v>
      </c>
      <c r="B82" s="5">
        <v>23740282</v>
      </c>
      <c r="C82" s="44">
        <v>0.08</v>
      </c>
      <c r="D82" s="49">
        <f ca="1">1-EXP(-C82*('Input and Calc'!$M$11-TODAY())/'Input and Calc'!$M$17)</f>
        <v>-1.4871147101732234</v>
      </c>
      <c r="E82" s="62">
        <f t="shared" ca="1" si="5"/>
        <v>5.1885407977880771E-4</v>
      </c>
      <c r="F82">
        <f t="shared" ca="1" si="6"/>
        <v>1</v>
      </c>
      <c r="G82" s="48">
        <f t="shared" ca="1" si="7"/>
        <v>23740282</v>
      </c>
    </row>
    <row r="83" spans="1:12" x14ac:dyDescent="0.2">
      <c r="A83" t="s">
        <v>212</v>
      </c>
      <c r="B83" s="5">
        <v>2216667</v>
      </c>
      <c r="C83" s="44">
        <v>0.08</v>
      </c>
      <c r="D83" s="49">
        <f ca="1">1-EXP(-C83*('Input and Calc'!$M$11-TODAY())/'Input and Calc'!$M$17)</f>
        <v>-1.4871147101732234</v>
      </c>
      <c r="E83" s="62">
        <f t="shared" ca="1" si="5"/>
        <v>0.12291576863444542</v>
      </c>
      <c r="F83">
        <f t="shared" ca="1" si="6"/>
        <v>1</v>
      </c>
      <c r="G83" s="48">
        <f t="shared" ca="1" si="7"/>
        <v>2216667</v>
      </c>
    </row>
    <row r="84" spans="1:12" x14ac:dyDescent="0.2">
      <c r="A84" t="s">
        <v>213</v>
      </c>
      <c r="B84" s="5">
        <v>5200000</v>
      </c>
      <c r="C84" s="44">
        <v>0.08</v>
      </c>
      <c r="D84" s="49">
        <f ca="1">1-EXP(-C84*('Input and Calc'!$M$11-TODAY())/'Input and Calc'!$M$17)</f>
        <v>-1.4871147101732234</v>
      </c>
      <c r="E84" s="62">
        <f t="shared" ca="1" si="5"/>
        <v>0.53907425900064965</v>
      </c>
      <c r="F84">
        <f t="shared" ca="1" si="6"/>
        <v>1</v>
      </c>
      <c r="G84" s="48">
        <f t="shared" ca="1" si="7"/>
        <v>5200000</v>
      </c>
    </row>
    <row r="85" spans="1:12" x14ac:dyDescent="0.2">
      <c r="A85" t="s">
        <v>214</v>
      </c>
      <c r="B85" s="5">
        <v>5000000</v>
      </c>
      <c r="C85" s="44">
        <v>0.08</v>
      </c>
      <c r="D85" s="49">
        <f ca="1">1-EXP(-C85*('Input and Calc'!$M$11-TODAY())/'Input and Calc'!$M$17)</f>
        <v>-1.4871147101732234</v>
      </c>
      <c r="E85" s="62">
        <f t="shared" ca="1" si="5"/>
        <v>0.82299087554124195</v>
      </c>
      <c r="F85">
        <f t="shared" ca="1" si="6"/>
        <v>1</v>
      </c>
      <c r="G85" s="48">
        <f t="shared" ca="1" si="7"/>
        <v>5000000</v>
      </c>
    </row>
    <row r="86" spans="1:12" x14ac:dyDescent="0.2">
      <c r="A86" t="s">
        <v>215</v>
      </c>
      <c r="B86" s="5">
        <v>24410000</v>
      </c>
      <c r="C86" s="44">
        <v>0.08</v>
      </c>
      <c r="D86" s="49">
        <f ca="1">1-EXP(-C86*('Input and Calc'!$M$11-TODAY())/'Input and Calc'!$M$17)</f>
        <v>-1.4871147101732234</v>
      </c>
      <c r="E86" s="62">
        <f t="shared" ca="1" si="5"/>
        <v>0.59163798506406629</v>
      </c>
      <c r="F86">
        <f t="shared" ca="1" si="6"/>
        <v>1</v>
      </c>
      <c r="G86" s="48">
        <f t="shared" ca="1" si="7"/>
        <v>24410000</v>
      </c>
    </row>
    <row r="87" spans="1:12" x14ac:dyDescent="0.2">
      <c r="A87" t="s">
        <v>216</v>
      </c>
      <c r="B87" s="5">
        <v>28142234</v>
      </c>
      <c r="C87" s="44">
        <v>0.08</v>
      </c>
      <c r="D87" s="49">
        <f ca="1">1-EXP(-C87*('Input and Calc'!$M$11-TODAY())/'Input and Calc'!$M$17)</f>
        <v>-1.4871147101732234</v>
      </c>
      <c r="E87" s="62">
        <f t="shared" ca="1" si="5"/>
        <v>0.84095157666860276</v>
      </c>
      <c r="F87">
        <f t="shared" ca="1" si="6"/>
        <v>1</v>
      </c>
      <c r="G87" s="48">
        <f t="shared" ca="1" si="7"/>
        <v>28142234</v>
      </c>
    </row>
    <row r="88" spans="1:12" x14ac:dyDescent="0.2">
      <c r="A88" t="s">
        <v>217</v>
      </c>
      <c r="B88" s="5">
        <v>20000000</v>
      </c>
      <c r="C88" s="44">
        <v>0.08</v>
      </c>
      <c r="D88" s="49">
        <f ca="1">1-EXP(-C88*('Input and Calc'!$M$11-TODAY())/'Input and Calc'!$M$17)</f>
        <v>-1.4871147101732234</v>
      </c>
      <c r="E88" s="62">
        <f t="shared" ca="1" si="5"/>
        <v>0.61747719875170404</v>
      </c>
      <c r="F88">
        <f t="shared" ca="1" si="6"/>
        <v>1</v>
      </c>
      <c r="G88" s="48">
        <f t="shared" ca="1" si="7"/>
        <v>20000000</v>
      </c>
    </row>
    <row r="90" spans="1:12" x14ac:dyDescent="0.2">
      <c r="A90" t="s">
        <v>8</v>
      </c>
      <c r="B90" s="48">
        <f>SUM(B70:B88)</f>
        <v>332181480</v>
      </c>
      <c r="G90" s="48">
        <f ca="1">SUM(G70:G88)</f>
        <v>332181480</v>
      </c>
    </row>
    <row r="92" spans="1:12" x14ac:dyDescent="0.2">
      <c r="F92" t="s">
        <v>225</v>
      </c>
      <c r="G92" s="56">
        <v>0</v>
      </c>
    </row>
    <row r="93" spans="1:12" x14ac:dyDescent="0.2">
      <c r="A93" t="s">
        <v>313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4"/>
  <sheetViews>
    <sheetView workbookViewId="0">
      <selection activeCell="F12" sqref="F12"/>
    </sheetView>
  </sheetViews>
  <sheetFormatPr defaultRowHeight="11.25" x14ac:dyDescent="0.2"/>
  <cols>
    <col min="1" max="1" width="25" bestFit="1" customWidth="1"/>
    <col min="3" max="3" width="10.5" bestFit="1" customWidth="1"/>
    <col min="4" max="4" width="12.83203125" customWidth="1"/>
    <col min="5" max="5" width="10.5" bestFit="1" customWidth="1"/>
    <col min="6" max="6" width="14" bestFit="1" customWidth="1"/>
    <col min="7" max="7" width="13.5" bestFit="1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2.6640625" customWidth="1"/>
  </cols>
  <sheetData>
    <row r="2" spans="1:13" ht="64.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s="3"/>
      <c r="I2" t="s">
        <v>91</v>
      </c>
      <c r="J2" t="s">
        <v>86</v>
      </c>
      <c r="K2" t="s">
        <v>92</v>
      </c>
      <c r="L2" t="s">
        <v>0</v>
      </c>
      <c r="M2" t="s">
        <v>118</v>
      </c>
    </row>
    <row r="3" spans="1:13" x14ac:dyDescent="0.2">
      <c r="A3" t="s">
        <v>26</v>
      </c>
      <c r="B3" s="1" t="s">
        <v>22</v>
      </c>
      <c r="C3" s="17">
        <v>7809790</v>
      </c>
      <c r="D3" s="5" t="s">
        <v>7</v>
      </c>
      <c r="E3" s="6">
        <v>68.75</v>
      </c>
      <c r="F3" s="29"/>
      <c r="G3" s="7"/>
    </row>
    <row r="4" spans="1:13" x14ac:dyDescent="0.2">
      <c r="A4" t="s">
        <v>2</v>
      </c>
      <c r="B4" s="1"/>
      <c r="C4" s="5"/>
      <c r="D4" s="5"/>
      <c r="E4" s="6"/>
      <c r="F4" s="29"/>
      <c r="G4" s="29"/>
    </row>
    <row r="5" spans="1:13" x14ac:dyDescent="0.2">
      <c r="A5" t="s">
        <v>3</v>
      </c>
      <c r="B5" s="1"/>
      <c r="C5" s="5"/>
      <c r="D5" s="5"/>
      <c r="E5" s="6"/>
      <c r="F5" s="29"/>
      <c r="G5" s="29"/>
    </row>
    <row r="6" spans="1:13" ht="12.75" x14ac:dyDescent="0.2">
      <c r="A6" s="8" t="s">
        <v>8</v>
      </c>
      <c r="B6" s="9"/>
      <c r="C6" s="5"/>
      <c r="D6" s="5"/>
      <c r="E6" s="6"/>
      <c r="F6" s="7"/>
      <c r="G6" s="7"/>
    </row>
    <row r="7" spans="1:13" ht="12.75" x14ac:dyDescent="0.2">
      <c r="A7" s="8"/>
      <c r="B7" s="9"/>
      <c r="C7" s="5"/>
      <c r="D7" s="5"/>
      <c r="E7" s="6"/>
      <c r="F7" s="7"/>
      <c r="G7" s="7"/>
    </row>
    <row r="8" spans="1:13" ht="12.75" x14ac:dyDescent="0.2">
      <c r="A8" s="10" t="s">
        <v>27</v>
      </c>
      <c r="B8" s="9"/>
      <c r="C8" s="5"/>
      <c r="D8" s="5"/>
      <c r="E8" s="6"/>
      <c r="F8" s="7"/>
      <c r="G8" s="7"/>
    </row>
    <row r="9" spans="1:13" ht="12.75" x14ac:dyDescent="0.2">
      <c r="A9" s="8"/>
      <c r="B9" s="9"/>
      <c r="C9" s="5"/>
      <c r="D9" s="5"/>
      <c r="E9" s="6"/>
      <c r="F9" s="7"/>
      <c r="G9" s="7"/>
    </row>
    <row r="10" spans="1:13" ht="12.75" x14ac:dyDescent="0.2">
      <c r="A10" s="8"/>
      <c r="B10" s="9"/>
      <c r="C10" s="5"/>
      <c r="D10" s="5"/>
      <c r="E10" s="6"/>
      <c r="F10" s="7"/>
      <c r="G10" s="7"/>
    </row>
    <row r="11" spans="1:13" ht="12.75" x14ac:dyDescent="0.2">
      <c r="A11" s="11" t="s">
        <v>28</v>
      </c>
      <c r="B11" s="1"/>
      <c r="E11" s="12" t="s">
        <v>31</v>
      </c>
    </row>
    <row r="12" spans="1:13" x14ac:dyDescent="0.2">
      <c r="A12" t="s">
        <v>63</v>
      </c>
      <c r="B12" s="1" t="s">
        <v>10</v>
      </c>
      <c r="C12" s="5"/>
      <c r="D12" s="1" t="s">
        <v>11</v>
      </c>
      <c r="E12" s="6"/>
      <c r="F12" s="5">
        <v>58424000</v>
      </c>
      <c r="I12" s="48">
        <v>105135000</v>
      </c>
    </row>
    <row r="13" spans="1:13" x14ac:dyDescent="0.2">
      <c r="A13" t="s">
        <v>64</v>
      </c>
      <c r="B13" s="1" t="s">
        <v>10</v>
      </c>
      <c r="C13" s="5"/>
      <c r="D13" s="1" t="s">
        <v>11</v>
      </c>
      <c r="E13" s="6"/>
      <c r="F13" s="5">
        <v>66100000</v>
      </c>
      <c r="I13" s="48">
        <v>97200000</v>
      </c>
    </row>
    <row r="14" spans="1:13" x14ac:dyDescent="0.2">
      <c r="A14" t="s">
        <v>65</v>
      </c>
      <c r="B14" s="1" t="s">
        <v>10</v>
      </c>
      <c r="C14" s="5"/>
      <c r="D14" s="1" t="s">
        <v>11</v>
      </c>
      <c r="E14" s="6"/>
      <c r="F14" s="5">
        <v>3088000</v>
      </c>
      <c r="I14" s="48">
        <v>6439000</v>
      </c>
    </row>
    <row r="15" spans="1:13" x14ac:dyDescent="0.2">
      <c r="A15" t="s">
        <v>66</v>
      </c>
      <c r="B15" s="1" t="s">
        <v>10</v>
      </c>
      <c r="C15" s="5"/>
      <c r="D15" s="1" t="s">
        <v>11</v>
      </c>
      <c r="E15" s="6"/>
      <c r="F15" s="5">
        <v>12630000</v>
      </c>
      <c r="I15" s="48">
        <f>F15</f>
        <v>12630000</v>
      </c>
    </row>
    <row r="16" spans="1:13" x14ac:dyDescent="0.2">
      <c r="A16" s="28" t="s">
        <v>94</v>
      </c>
      <c r="B16" s="1"/>
      <c r="C16" s="5"/>
      <c r="D16" s="1"/>
      <c r="E16" s="6"/>
      <c r="I16" s="56">
        <f>SUM(I12:I15)</f>
        <v>221404000</v>
      </c>
      <c r="J16" s="26"/>
      <c r="K16" s="26"/>
      <c r="L16" s="26"/>
      <c r="M16" s="54">
        <v>460000000</v>
      </c>
    </row>
    <row r="17" spans="1:7" x14ac:dyDescent="0.2">
      <c r="B17" s="1"/>
      <c r="C17" s="5"/>
      <c r="D17" s="1"/>
      <c r="E17" s="6"/>
    </row>
    <row r="18" spans="1:7" x14ac:dyDescent="0.2">
      <c r="A18" s="28" t="s">
        <v>301</v>
      </c>
      <c r="B18" s="1"/>
      <c r="C18" s="5"/>
      <c r="D18" s="1"/>
      <c r="E18" s="6"/>
    </row>
    <row r="19" spans="1:7" x14ac:dyDescent="0.2">
      <c r="B19" s="1" t="s">
        <v>302</v>
      </c>
      <c r="C19" s="57">
        <v>5523900</v>
      </c>
      <c r="D19" t="s">
        <v>306</v>
      </c>
      <c r="E19" s="82">
        <v>92.677999999999997</v>
      </c>
    </row>
    <row r="20" spans="1:7" x14ac:dyDescent="0.2">
      <c r="B20" s="1" t="s">
        <v>303</v>
      </c>
      <c r="C20" s="57">
        <v>5523900</v>
      </c>
      <c r="D20" t="s">
        <v>305</v>
      </c>
      <c r="E20" s="83">
        <v>34.875</v>
      </c>
    </row>
    <row r="21" spans="1:7" x14ac:dyDescent="0.2">
      <c r="B21" s="1" t="s">
        <v>10</v>
      </c>
      <c r="C21" s="57">
        <v>5523900</v>
      </c>
      <c r="D21" t="s">
        <v>305</v>
      </c>
      <c r="E21" s="83">
        <v>44.875</v>
      </c>
    </row>
    <row r="22" spans="1:7" x14ac:dyDescent="0.2">
      <c r="A22" t="s">
        <v>314</v>
      </c>
      <c r="C22" s="48"/>
    </row>
    <row r="23" spans="1:7" x14ac:dyDescent="0.2">
      <c r="A23" s="96" t="s">
        <v>315</v>
      </c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s="15"/>
      <c r="B25" s="1"/>
      <c r="C25" s="14"/>
      <c r="D25" s="1"/>
      <c r="E25" s="6"/>
      <c r="F25" s="5"/>
      <c r="G25" s="14"/>
    </row>
    <row r="26" spans="1:7" x14ac:dyDescent="0.2">
      <c r="A26" s="15"/>
      <c r="B26" s="1"/>
      <c r="C26" s="14"/>
      <c r="D26" s="1"/>
      <c r="E26" s="6"/>
      <c r="F26" s="5"/>
      <c r="G26" s="14"/>
    </row>
    <row r="27" spans="1:7" x14ac:dyDescent="0.2">
      <c r="A27" s="15"/>
      <c r="B27" s="1"/>
      <c r="C27" s="14"/>
      <c r="D27" s="1"/>
      <c r="E27" s="6"/>
      <c r="F27" s="5"/>
      <c r="G27" s="14"/>
    </row>
    <row r="28" spans="1:7" x14ac:dyDescent="0.2">
      <c r="A28" s="15"/>
      <c r="B28" s="1"/>
      <c r="C28" s="14"/>
      <c r="D28" s="1"/>
      <c r="E28" s="6"/>
      <c r="F28" s="5"/>
      <c r="G28" s="14"/>
    </row>
    <row r="29" spans="1:7" x14ac:dyDescent="0.2">
      <c r="A29" s="15"/>
      <c r="B29" s="1"/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K15" sqref="K15"/>
    </sheetView>
  </sheetViews>
  <sheetFormatPr defaultRowHeight="11.25" x14ac:dyDescent="0.2"/>
  <cols>
    <col min="1" max="1" width="20.83203125" bestFit="1" customWidth="1"/>
    <col min="3" max="3" width="13" bestFit="1" customWidth="1"/>
    <col min="5" max="5" width="15" bestFit="1" customWidth="1"/>
    <col min="6" max="6" width="12.5" bestFit="1" customWidth="1"/>
    <col min="7" max="7" width="12.83203125" bestFit="1" customWidth="1"/>
    <col min="8" max="8" width="10.5" bestFit="1" customWidth="1"/>
    <col min="11" max="11" width="13" bestFit="1" customWidth="1"/>
  </cols>
  <sheetData>
    <row r="2" spans="1:11" ht="26.2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t="s">
        <v>91</v>
      </c>
      <c r="H2" t="s">
        <v>86</v>
      </c>
      <c r="I2" t="s">
        <v>92</v>
      </c>
      <c r="J2" t="s">
        <v>0</v>
      </c>
      <c r="K2" t="s">
        <v>119</v>
      </c>
    </row>
    <row r="3" spans="1:11" s="22" customFormat="1" x14ac:dyDescent="0.2">
      <c r="A3" s="18" t="s">
        <v>67</v>
      </c>
      <c r="B3" s="19" t="s">
        <v>68</v>
      </c>
      <c r="C3" s="20">
        <v>24117800</v>
      </c>
      <c r="D3" s="21"/>
      <c r="E3" s="23">
        <v>10.75</v>
      </c>
      <c r="F3" s="24"/>
      <c r="G3" s="18"/>
      <c r="K3" s="97"/>
    </row>
    <row r="4" spans="1:11" x14ac:dyDescent="0.2">
      <c r="A4" t="s">
        <v>2</v>
      </c>
      <c r="B4" s="1"/>
      <c r="C4" s="5"/>
      <c r="D4" s="5"/>
      <c r="E4" s="6"/>
      <c r="F4" s="29"/>
      <c r="G4" s="29"/>
    </row>
    <row r="5" spans="1:11" x14ac:dyDescent="0.2">
      <c r="A5" t="s">
        <v>3</v>
      </c>
      <c r="B5" s="1"/>
      <c r="C5" s="5"/>
      <c r="D5" s="5"/>
      <c r="E5" s="6"/>
      <c r="F5" s="29"/>
      <c r="G5" s="29"/>
    </row>
    <row r="6" spans="1:11" ht="12.75" x14ac:dyDescent="0.2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28" t="s">
        <v>265</v>
      </c>
      <c r="B8" s="1"/>
      <c r="C8" s="5"/>
      <c r="D8" s="1"/>
      <c r="E8" s="6"/>
    </row>
    <row r="9" spans="1:11" x14ac:dyDescent="0.2">
      <c r="A9" t="s">
        <v>266</v>
      </c>
      <c r="B9" s="69">
        <v>36916</v>
      </c>
    </row>
    <row r="11" spans="1:11" x14ac:dyDescent="0.2">
      <c r="A11" s="28" t="s">
        <v>267</v>
      </c>
      <c r="B11" s="28" t="s">
        <v>107</v>
      </c>
      <c r="C11" s="28" t="s">
        <v>268</v>
      </c>
      <c r="D11" s="28" t="s">
        <v>269</v>
      </c>
      <c r="E11" s="28" t="s">
        <v>270</v>
      </c>
      <c r="F11" s="28" t="s">
        <v>263</v>
      </c>
      <c r="G11" s="28" t="s">
        <v>271</v>
      </c>
      <c r="H11" s="28" t="s">
        <v>264</v>
      </c>
      <c r="I11" s="28" t="s">
        <v>272</v>
      </c>
      <c r="J11" s="28" t="s">
        <v>273</v>
      </c>
      <c r="K11" s="28" t="s">
        <v>274</v>
      </c>
    </row>
    <row r="12" spans="1:11" x14ac:dyDescent="0.2">
      <c r="A12" s="28" t="s">
        <v>275</v>
      </c>
      <c r="B12">
        <v>36616</v>
      </c>
      <c r="C12" s="2">
        <v>33832</v>
      </c>
      <c r="D12">
        <v>591</v>
      </c>
      <c r="E12" s="5">
        <v>19994712</v>
      </c>
      <c r="F12" s="5">
        <v>18023750</v>
      </c>
      <c r="G12" s="57">
        <v>18122379.965277776</v>
      </c>
      <c r="H12" s="5">
        <v>1976250</v>
      </c>
      <c r="I12">
        <v>0.15</v>
      </c>
      <c r="J12">
        <v>300</v>
      </c>
      <c r="K12" s="57">
        <v>1996835.9375</v>
      </c>
    </row>
    <row r="13" spans="1:11" x14ac:dyDescent="0.2">
      <c r="A13" s="28" t="s">
        <v>276</v>
      </c>
      <c r="B13">
        <v>36798</v>
      </c>
      <c r="C13" s="2">
        <v>42291</v>
      </c>
      <c r="D13">
        <v>2150</v>
      </c>
      <c r="E13" s="5">
        <v>90925650</v>
      </c>
      <c r="F13" s="5">
        <v>86971504</v>
      </c>
      <c r="G13" s="57">
        <v>87485505.588640004</v>
      </c>
      <c r="H13" s="5">
        <v>3954146</v>
      </c>
      <c r="I13">
        <v>0.15</v>
      </c>
      <c r="J13">
        <v>118</v>
      </c>
      <c r="K13" s="57">
        <v>3998630.1425000001</v>
      </c>
    </row>
    <row r="14" spans="1:11" x14ac:dyDescent="0.2">
      <c r="A14" s="28" t="s">
        <v>277</v>
      </c>
      <c r="B14">
        <v>36766</v>
      </c>
      <c r="C14" s="2">
        <v>13955</v>
      </c>
      <c r="D14">
        <v>2150.6162665711213</v>
      </c>
      <c r="E14" s="5">
        <v>30011849.999999996</v>
      </c>
      <c r="F14" s="5">
        <v>29111495</v>
      </c>
      <c r="G14" s="57">
        <v>29289916.118244443</v>
      </c>
      <c r="H14" s="5">
        <v>900355</v>
      </c>
      <c r="I14">
        <v>0.15</v>
      </c>
      <c r="J14">
        <v>150</v>
      </c>
      <c r="K14" s="57">
        <v>910859.14166666672</v>
      </c>
    </row>
    <row r="15" spans="1:11" x14ac:dyDescent="0.2">
      <c r="C15">
        <v>90078</v>
      </c>
      <c r="E15" s="5">
        <v>140932212</v>
      </c>
      <c r="F15" s="5">
        <v>134106749</v>
      </c>
      <c r="G15" s="5">
        <v>134897801.67216223</v>
      </c>
      <c r="H15" s="5">
        <v>6830751</v>
      </c>
      <c r="K15">
        <v>6906325.2216666667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13" sqref="B13"/>
    </sheetView>
  </sheetViews>
  <sheetFormatPr defaultRowHeight="11.25" x14ac:dyDescent="0.2"/>
  <cols>
    <col min="1" max="1" width="20.83203125" bestFit="1" customWidth="1"/>
    <col min="2" max="2" width="8.6640625" bestFit="1" customWidth="1"/>
    <col min="3" max="3" width="11.5" bestFit="1" customWidth="1"/>
    <col min="6" max="6" width="13.5" bestFit="1" customWidth="1"/>
    <col min="7" max="7" width="8.83203125" bestFit="1" customWidth="1"/>
    <col min="12" max="12" width="13" bestFit="1" customWidth="1"/>
  </cols>
  <sheetData>
    <row r="2" spans="1:12" ht="64.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t="s">
        <v>91</v>
      </c>
      <c r="H2" t="s">
        <v>86</v>
      </c>
      <c r="I2" t="s">
        <v>92</v>
      </c>
      <c r="J2" t="s">
        <v>0</v>
      </c>
      <c r="K2" t="s">
        <v>118</v>
      </c>
      <c r="L2" t="s">
        <v>119</v>
      </c>
    </row>
    <row r="3" spans="1:12" x14ac:dyDescent="0.2">
      <c r="A3" t="s">
        <v>26</v>
      </c>
      <c r="B3" s="1" t="s">
        <v>22</v>
      </c>
      <c r="C3" s="25">
        <v>6326045</v>
      </c>
      <c r="D3" s="5"/>
      <c r="E3" s="6">
        <v>84.88</v>
      </c>
      <c r="F3" s="29"/>
      <c r="G3" s="7"/>
      <c r="L3" s="26"/>
    </row>
    <row r="4" spans="1:12" x14ac:dyDescent="0.2">
      <c r="A4" t="s">
        <v>2</v>
      </c>
      <c r="B4" s="1"/>
      <c r="C4" s="5"/>
      <c r="D4" s="5"/>
      <c r="E4" s="6"/>
      <c r="F4" s="29"/>
      <c r="G4" s="29"/>
    </row>
    <row r="5" spans="1:12" x14ac:dyDescent="0.2">
      <c r="A5" t="s">
        <v>3</v>
      </c>
      <c r="B5" s="1"/>
      <c r="C5" s="5"/>
      <c r="D5" s="5"/>
      <c r="E5" s="6"/>
      <c r="F5" s="29"/>
      <c r="G5" s="29"/>
    </row>
    <row r="6" spans="1:12" ht="12.75" x14ac:dyDescent="0.2">
      <c r="A6" s="8" t="s">
        <v>8</v>
      </c>
      <c r="B6" s="9"/>
      <c r="C6" s="5"/>
      <c r="D6" s="5"/>
      <c r="E6" s="6"/>
      <c r="F6" s="7"/>
      <c r="G6" s="7"/>
    </row>
    <row r="7" spans="1:12" ht="12.75" x14ac:dyDescent="0.2">
      <c r="A7" s="8"/>
      <c r="B7" s="9"/>
      <c r="C7" s="5"/>
      <c r="D7" s="5"/>
      <c r="E7" s="6"/>
      <c r="F7" s="7"/>
      <c r="G7" s="7"/>
    </row>
    <row r="8" spans="1:12" ht="12.75" x14ac:dyDescent="0.2">
      <c r="A8" s="10" t="s">
        <v>27</v>
      </c>
      <c r="B8" s="9"/>
      <c r="C8" s="5"/>
      <c r="D8" s="5"/>
      <c r="E8" s="6"/>
      <c r="F8" s="7"/>
      <c r="G8" s="7"/>
    </row>
    <row r="9" spans="1:12" ht="12.75" x14ac:dyDescent="0.2">
      <c r="A9" s="8"/>
      <c r="B9" s="9"/>
      <c r="C9" s="5"/>
      <c r="D9" s="5"/>
      <c r="E9" s="6"/>
      <c r="F9" s="7"/>
      <c r="G9" s="7"/>
    </row>
    <row r="10" spans="1:12" ht="12.75" x14ac:dyDescent="0.2">
      <c r="A10" s="70" t="s">
        <v>316</v>
      </c>
      <c r="B10" s="9"/>
      <c r="C10" s="5"/>
      <c r="D10" s="5"/>
      <c r="E10" s="6"/>
      <c r="F10" s="7"/>
      <c r="G10" s="7"/>
    </row>
    <row r="11" spans="1:12" ht="12.75" x14ac:dyDescent="0.2">
      <c r="A11" s="70"/>
      <c r="B11" s="9"/>
      <c r="E11" s="12"/>
    </row>
    <row r="12" spans="1:12" ht="12.75" x14ac:dyDescent="0.2">
      <c r="A12" s="70"/>
      <c r="B12" s="9"/>
      <c r="C12" s="5"/>
      <c r="D12" s="1"/>
      <c r="E12" s="6"/>
    </row>
    <row r="13" spans="1:12" x14ac:dyDescent="0.2">
      <c r="A13" t="s">
        <v>288</v>
      </c>
      <c r="B13" s="96">
        <v>112.41800000000001</v>
      </c>
    </row>
    <row r="14" spans="1:12" x14ac:dyDescent="0.2">
      <c r="A14" t="s">
        <v>289</v>
      </c>
      <c r="B14" s="96">
        <v>83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 and Methodology</vt:lpstr>
      <vt:lpstr>Input and Calc</vt:lpstr>
      <vt:lpstr>Raptor 1</vt:lpstr>
      <vt:lpstr>Raptor 2</vt:lpstr>
      <vt:lpstr>Raptor 3</vt:lpstr>
      <vt:lpstr>Raptor 4</vt:lpstr>
      <vt:lpstr>Sheet4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pfissle</dc:creator>
  <cp:lastModifiedBy>Felienne</cp:lastModifiedBy>
  <cp:lastPrinted>2001-02-06T15:16:13Z</cp:lastPrinted>
  <dcterms:created xsi:type="dcterms:W3CDTF">2001-01-12T20:48:35Z</dcterms:created>
  <dcterms:modified xsi:type="dcterms:W3CDTF">2014-09-04T14:04:40Z</dcterms:modified>
</cp:coreProperties>
</file>