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105" activeTab="1"/>
  </bookViews>
  <sheets>
    <sheet name="1" sheetId="3" r:id="rId1"/>
    <sheet name="cash" sheetId="2" r:id="rId2"/>
    <sheet name="EOL" sheetId="1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152511"/>
</workbook>
</file>

<file path=xl/calcChain.xml><?xml version="1.0" encoding="utf-8"?>
<calcChain xmlns="http://schemas.openxmlformats.org/spreadsheetml/2006/main">
  <c r="M3" i="3" l="1"/>
  <c r="C1" i="3" s="1"/>
  <c r="N3" i="3"/>
  <c r="C4" i="3"/>
  <c r="D11" i="3" s="1"/>
  <c r="E4" i="3"/>
  <c r="G4" i="3"/>
  <c r="M4" i="3"/>
  <c r="N4" i="3"/>
  <c r="C5" i="3"/>
  <c r="D5" i="3"/>
  <c r="E5" i="3"/>
  <c r="F5" i="3"/>
  <c r="M5" i="3"/>
  <c r="M13" i="3" s="1"/>
  <c r="N5" i="3"/>
  <c r="N13" i="3" s="1"/>
  <c r="C6" i="3"/>
  <c r="D6" i="3" s="1"/>
  <c r="E6" i="3"/>
  <c r="F6" i="3" s="1"/>
  <c r="M6" i="3"/>
  <c r="N6" i="3"/>
  <c r="C11" i="3"/>
  <c r="E11" i="3"/>
  <c r="F11" i="3" s="1"/>
  <c r="E12" i="3"/>
  <c r="F12" i="3"/>
  <c r="M12" i="3"/>
  <c r="N12" i="3"/>
  <c r="C13" i="3"/>
  <c r="E13" i="3"/>
  <c r="F13" i="3" s="1"/>
  <c r="E14" i="3"/>
  <c r="F14" i="3"/>
  <c r="C18" i="3"/>
  <c r="E18" i="3"/>
  <c r="F18" i="3" s="1"/>
  <c r="G18" i="3"/>
  <c r="L18" i="3"/>
  <c r="M18" i="3"/>
  <c r="N18" i="3"/>
  <c r="O18" i="3"/>
  <c r="E19" i="3"/>
  <c r="F19" i="3" s="1"/>
  <c r="E20" i="3"/>
  <c r="F20" i="3" s="1"/>
  <c r="L20" i="3"/>
  <c r="M20" i="3"/>
  <c r="N20" i="3"/>
  <c r="O20" i="3"/>
  <c r="E21" i="3"/>
  <c r="F21" i="3"/>
  <c r="L22" i="3"/>
  <c r="M22" i="3"/>
  <c r="N22" i="3"/>
  <c r="E27" i="3"/>
  <c r="F27" i="3"/>
  <c r="M27" i="3"/>
  <c r="N27" i="3"/>
  <c r="C28" i="3"/>
  <c r="E28" i="3"/>
  <c r="F28" i="3" s="1"/>
  <c r="G28" i="3"/>
  <c r="M28" i="3"/>
  <c r="N28" i="3"/>
  <c r="C29" i="3"/>
  <c r="D29" i="3"/>
  <c r="E29" i="3"/>
  <c r="F29" i="3"/>
  <c r="M29" i="3"/>
  <c r="N29" i="3"/>
  <c r="C30" i="3"/>
  <c r="D30" i="3" s="1"/>
  <c r="E30" i="3"/>
  <c r="F30" i="3" s="1"/>
  <c r="I30" i="3"/>
  <c r="F1" i="2"/>
  <c r="B5" i="2"/>
  <c r="D5" i="2" s="1"/>
  <c r="F5" i="2"/>
  <c r="F6" i="2" s="1"/>
  <c r="I5" i="2"/>
  <c r="H5" i="2" s="1"/>
  <c r="B7" i="2"/>
  <c r="D7" i="2" s="1"/>
  <c r="F7" i="2"/>
  <c r="I7" i="2"/>
  <c r="G7" i="2" s="1"/>
  <c r="B9" i="2"/>
  <c r="D9" i="2" s="1"/>
  <c r="F9" i="2"/>
  <c r="F8" i="2" s="1"/>
  <c r="I9" i="2"/>
  <c r="H9" i="2" s="1"/>
  <c r="K9" i="2"/>
  <c r="D10" i="2"/>
  <c r="F10" i="2"/>
  <c r="K10" i="2"/>
  <c r="I10" i="2" s="1"/>
  <c r="F11" i="2"/>
  <c r="F3" i="1"/>
  <c r="F4" i="1"/>
  <c r="F5" i="1"/>
  <c r="C27" i="3" s="1"/>
  <c r="D27" i="3" s="1"/>
  <c r="F6" i="1"/>
  <c r="F7" i="1"/>
  <c r="F8" i="1"/>
  <c r="F9" i="1"/>
  <c r="F10" i="1"/>
  <c r="F11" i="1"/>
  <c r="F12" i="1"/>
  <c r="C12" i="3" s="1"/>
  <c r="D12" i="3" s="1"/>
  <c r="F13" i="1"/>
  <c r="F14" i="1"/>
  <c r="F15" i="1"/>
  <c r="C21" i="3" s="1"/>
  <c r="D21" i="3" s="1"/>
  <c r="F16" i="1"/>
  <c r="F17" i="1"/>
  <c r="F18" i="1"/>
  <c r="F19" i="1"/>
  <c r="C7" i="3" s="1"/>
  <c r="D7" i="3" s="1"/>
  <c r="F20" i="1"/>
  <c r="F21" i="1"/>
  <c r="F22" i="1"/>
  <c r="F23" i="1"/>
  <c r="F24" i="1"/>
  <c r="F25" i="1"/>
  <c r="C19" i="3" s="1"/>
  <c r="D19" i="3" s="1"/>
  <c r="F26" i="1"/>
  <c r="F27" i="1"/>
  <c r="F28" i="1"/>
  <c r="F29" i="1"/>
  <c r="F30" i="1"/>
  <c r="F31" i="1"/>
  <c r="F32" i="1"/>
  <c r="F33" i="1"/>
  <c r="F34" i="1"/>
  <c r="F35" i="1"/>
  <c r="F36" i="1"/>
  <c r="I20" i="3" s="1"/>
  <c r="F37" i="1"/>
  <c r="F38" i="1"/>
  <c r="F39" i="1"/>
  <c r="I5" i="3" s="1"/>
  <c r="F40" i="1"/>
  <c r="I7" i="3" s="1"/>
  <c r="F41" i="1"/>
  <c r="C14" i="3" s="1"/>
  <c r="D14" i="3" s="1"/>
  <c r="F42" i="1"/>
  <c r="H11" i="3" s="1"/>
  <c r="F43" i="1"/>
  <c r="I11" i="3" s="1"/>
  <c r="F44" i="1"/>
  <c r="H12" i="3" s="1"/>
  <c r="F45" i="1"/>
  <c r="I12" i="3" s="1"/>
  <c r="F46" i="1"/>
  <c r="H13" i="3" s="1"/>
  <c r="F47" i="1"/>
  <c r="I13" i="3" s="1"/>
  <c r="F48" i="1"/>
  <c r="H14" i="3" s="1"/>
  <c r="F49" i="1"/>
  <c r="I14" i="3" s="1"/>
  <c r="F50" i="1"/>
  <c r="C20" i="3" s="1"/>
  <c r="D20" i="3" s="1"/>
  <c r="F51" i="1"/>
  <c r="F52" i="1"/>
  <c r="C22" i="3" s="1"/>
  <c r="D22" i="3" s="1"/>
  <c r="F53" i="1"/>
  <c r="I18" i="3" s="1"/>
  <c r="F54" i="1"/>
  <c r="F55" i="1"/>
  <c r="F56" i="1"/>
  <c r="I28" i="3" s="1"/>
  <c r="F57" i="1"/>
  <c r="F58" i="1"/>
  <c r="I27" i="3" s="1"/>
  <c r="F59" i="1"/>
  <c r="F60" i="1"/>
  <c r="I29" i="3" s="1"/>
  <c r="F61" i="1"/>
  <c r="F62" i="1"/>
  <c r="I4" i="3" s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G6" i="3" s="1"/>
  <c r="F98" i="1"/>
  <c r="I6" i="3" s="1"/>
  <c r="F99" i="1"/>
  <c r="F100" i="1"/>
  <c r="F101" i="1"/>
  <c r="F102" i="1"/>
  <c r="F103" i="1"/>
  <c r="F104" i="1"/>
  <c r="F105" i="1"/>
  <c r="H4" i="3" s="1"/>
  <c r="F106" i="1"/>
  <c r="H6" i="3" s="1"/>
  <c r="F107" i="1"/>
  <c r="H7" i="3" s="1"/>
  <c r="F108" i="1"/>
  <c r="H5" i="3" s="1"/>
  <c r="F109" i="1"/>
  <c r="F110" i="1"/>
  <c r="H20" i="3" s="1"/>
  <c r="F111" i="1"/>
  <c r="F112" i="1"/>
  <c r="H18" i="3" s="1"/>
  <c r="F113" i="1"/>
  <c r="H27" i="3" s="1"/>
  <c r="F114" i="1"/>
  <c r="H28" i="3" s="1"/>
  <c r="F115" i="1"/>
  <c r="H29" i="3" s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G11" i="3" s="1"/>
  <c r="F141" i="1"/>
  <c r="F142" i="1"/>
  <c r="F143" i="1"/>
  <c r="G5" i="3" s="1"/>
  <c r="F144" i="1"/>
  <c r="G7" i="3" s="1"/>
  <c r="F145" i="1"/>
  <c r="G12" i="3" s="1"/>
  <c r="F146" i="1"/>
  <c r="G13" i="3" s="1"/>
  <c r="F147" i="1"/>
  <c r="G14" i="3" s="1"/>
  <c r="F148" i="1"/>
  <c r="F149" i="1"/>
  <c r="F150" i="1"/>
  <c r="F151" i="1"/>
  <c r="F152" i="1"/>
  <c r="F153" i="1"/>
  <c r="G20" i="3" s="1"/>
  <c r="F154" i="1"/>
  <c r="F155" i="1"/>
  <c r="F156" i="1"/>
  <c r="F157" i="1"/>
  <c r="F158" i="1"/>
  <c r="G27" i="3" s="1"/>
  <c r="F159" i="1"/>
  <c r="F160" i="1"/>
  <c r="G29" i="3" s="1"/>
  <c r="F161" i="1"/>
  <c r="G30" i="3" s="1"/>
  <c r="F162" i="1"/>
  <c r="F163" i="1"/>
  <c r="F164" i="1"/>
  <c r="F165" i="1"/>
  <c r="F166" i="1"/>
  <c r="F167" i="1"/>
  <c r="F168" i="1"/>
  <c r="H30" i="3" s="1"/>
  <c r="F169" i="1"/>
  <c r="F170" i="1"/>
  <c r="F171" i="1"/>
  <c r="F172" i="1"/>
  <c r="F173" i="1"/>
  <c r="F174" i="1"/>
  <c r="F175" i="1"/>
  <c r="F176" i="1"/>
  <c r="G19" i="3" s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O22" i="3" s="1"/>
  <c r="F190" i="1"/>
  <c r="F191" i="1"/>
  <c r="F192" i="1"/>
  <c r="F193" i="1"/>
  <c r="H19" i="3" s="1"/>
  <c r="F194" i="1"/>
  <c r="F195" i="1"/>
  <c r="F196" i="1"/>
  <c r="G10" i="2" l="1"/>
  <c r="H10" i="2"/>
  <c r="G1" i="3"/>
  <c r="B1" i="2"/>
  <c r="D1" i="2" s="1"/>
  <c r="H7" i="2"/>
  <c r="G9" i="2"/>
  <c r="G5" i="2"/>
  <c r="C9" i="2"/>
  <c r="C7" i="2"/>
  <c r="C5" i="2"/>
  <c r="D28" i="3"/>
  <c r="I19" i="3"/>
  <c r="D18" i="3"/>
  <c r="D13" i="3"/>
</calcChain>
</file>

<file path=xl/sharedStrings.xml><?xml version="1.0" encoding="utf-8"?>
<sst xmlns="http://schemas.openxmlformats.org/spreadsheetml/2006/main" count="525" uniqueCount="278">
  <si>
    <t>Last Message: 7:50:18 AM</t>
  </si>
  <si>
    <t>US Gas Swap      Nymex                   Dec01           USD/MM</t>
  </si>
  <si>
    <t>promt</t>
  </si>
  <si>
    <t>promt +1</t>
  </si>
  <si>
    <t>Oct--Sep</t>
  </si>
  <si>
    <t>(Nov-Mar)-Promt</t>
  </si>
  <si>
    <t>US Gas Basis     NGI Chicago             Aug-Oct01       USD/MM</t>
  </si>
  <si>
    <t>US Gas Basis     GD/M Mich Con           Aug-Oct01       USD/MM</t>
  </si>
  <si>
    <t>US Gas Phy Index Consumers NL1           Aug-Oct01       USD/MM</t>
  </si>
  <si>
    <t>US Gas Swap      Nymex                   Oct01           USD/MM</t>
  </si>
  <si>
    <t>US Gas Swap      Nymex                   Aug-Oct01       USD/MM</t>
  </si>
  <si>
    <t>US Gas Basis     ColGulf LA              Aug-Oct01       USD/MM</t>
  </si>
  <si>
    <t>US Gas Basis     HHub                    Aug-Oct01       USD/MM</t>
  </si>
  <si>
    <t>US Gas Basis     TETCO ELA               Aug-Oct01       USD/MM</t>
  </si>
  <si>
    <t>US Gas Basis     Transco St.65           Aug-Oct01       USD/MM</t>
  </si>
  <si>
    <t>US Gas Fin Spd   Nymex Spread            Aug01 vs Sep01  USD/MM-L</t>
  </si>
  <si>
    <t>US Pwr Fin Swap  ISO NY Z-J Peak         05-06Jul01      USD/MWh</t>
  </si>
  <si>
    <t>US Pwr Phy Firm  PJM-W Peak              05-06Jul01      USD/MWh</t>
  </si>
  <si>
    <t>US Pwr Phy Firm  PJM-W Peak              05-31Jul01      USD/MWh</t>
  </si>
  <si>
    <t>spread</t>
  </si>
  <si>
    <t>transport</t>
  </si>
  <si>
    <t>US Gas Basis     GD/D TCO P-HHub         Jul-Sep01       USD/MM</t>
  </si>
  <si>
    <t>US Gas Basis     NGI SoCal               Sep01           USD/MM</t>
  </si>
  <si>
    <t>US Gas Basis     NGI PGE CtyGate         Sep01           USD/MM</t>
  </si>
  <si>
    <t>US Gas Basis     Waha                    Sep01           USD/MM</t>
  </si>
  <si>
    <t>US Gas Basis     CIG Rky Mtn             Sep01           USD/MM</t>
  </si>
  <si>
    <t>US Gas Basis     NGI SoCal               Nov-Dec01       USD/MM</t>
  </si>
  <si>
    <t>US Gas Basis     Transco Z6 NY           Sep01           USD/MM</t>
  </si>
  <si>
    <t>US Pwr Fin Swap  ISO NY Z-J Peak         Jul-Aug01       USD/MWh</t>
  </si>
  <si>
    <t>Gain to</t>
  </si>
  <si>
    <t>trade out</t>
  </si>
  <si>
    <t>POWER PRICES</t>
  </si>
  <si>
    <t>NY Pool NYC</t>
  </si>
  <si>
    <t>PJM West</t>
  </si>
  <si>
    <t>Cinergy</t>
  </si>
  <si>
    <t>Next day</t>
  </si>
  <si>
    <t>Next week</t>
  </si>
  <si>
    <t>Balmo</t>
  </si>
  <si>
    <t>US Gas Basis     TCO Pool                Oct01           USD/MM</t>
  </si>
  <si>
    <t>US Gas Basis     TETCO M3                Oct01           USD/MM</t>
  </si>
  <si>
    <t>US Gas Basis     Dom APP                 Oct01           USD/MM</t>
  </si>
  <si>
    <t>US Gas Basis     Transco Z6 NY           Oct01           USD/MM</t>
  </si>
  <si>
    <t>US Gas Swap      Nymex                   Sep01           USD/MM</t>
  </si>
  <si>
    <t>Product</t>
  </si>
  <si>
    <t>ID</t>
  </si>
  <si>
    <t>Bid</t>
  </si>
  <si>
    <t>Offer</t>
  </si>
  <si>
    <t>US Gas Basis     Waha                    Nov01-Mar02     USD/MM</t>
  </si>
  <si>
    <t>US Gas Phy Index Consumers NL1           Nov01-Mar02     USD/MM</t>
  </si>
  <si>
    <t>US Gas Basis     Transco St.65           Nov01-Mar02     USD/MM</t>
  </si>
  <si>
    <t>US Gas Basis     TETCO ELA               Nov01-Mar02     USD/MM</t>
  </si>
  <si>
    <t>US Gas Basis     Transco Z6 NY           Nov01-Mar02     USD/MM</t>
  </si>
  <si>
    <t>US Gas Basis     TETCO M3                Nov01-Mar02     USD/MM</t>
  </si>
  <si>
    <t>US Gas Basis     TCO Pool                Nov01-Mar02     USD/MM</t>
  </si>
  <si>
    <t>US Gas Basis     NGI Chicago             Nov01-Mar02     USD/MM</t>
  </si>
  <si>
    <t>US Gas Basis     GD/M Mich Con           Nov01-Mar02     USD/MM</t>
  </si>
  <si>
    <t>CAN Gas PhyBasis Dawn                    Nov01-Mar02     USD/MM</t>
  </si>
  <si>
    <t>US Gas Basis     NGI SoCal               Nov01-Mar02     USD/MM</t>
  </si>
  <si>
    <t>US Gas Basis     NGI PGE CtyGate         Jul-Sep01       USD/MM</t>
  </si>
  <si>
    <t>US Gas Basis     NGI PGE CtyGate         Nov01-Mar02     USD/MM</t>
  </si>
  <si>
    <t>US Gas Basis     CIG Rky Mtn             Jul-Sep01       USD/MM</t>
  </si>
  <si>
    <t>US Gas Basis     CIG Rky Mtn             Nov01-Mar02     USD/MM</t>
  </si>
  <si>
    <t>US Gas Swap      Nymex                   Nov01-Mar02     USD/MM</t>
  </si>
  <si>
    <t>US Gas Basis     HHub                    Nov01-Mar02     USD/MM</t>
  </si>
  <si>
    <t>US Gas Daily     Transco Z6 NY           17-30Apr01      USD/MM</t>
  </si>
  <si>
    <t>US Gas Daily     CIG(N.syst)             17-30Apr01      USD/MM</t>
  </si>
  <si>
    <t>US Gas Daily     PG&amp;E CtyGate            17-30Apr01      USD/MM</t>
  </si>
  <si>
    <t>US Gas Daily     SoCal                   17-30Apr01      USD/MM</t>
  </si>
  <si>
    <t>Bid Vol</t>
  </si>
  <si>
    <t>Offer Vol</t>
  </si>
  <si>
    <t>US Gas Basis     Dom APP                 Nov01-Mar02     USD/MM</t>
  </si>
  <si>
    <t>Last Message: 1:20:53 PM</t>
  </si>
  <si>
    <t>Status</t>
  </si>
  <si>
    <t>I</t>
  </si>
  <si>
    <t>A</t>
  </si>
  <si>
    <t>S</t>
  </si>
  <si>
    <t>Active</t>
  </si>
  <si>
    <t>Suspended</t>
  </si>
  <si>
    <t>Inactive</t>
  </si>
  <si>
    <t>US Gas Basis     ColGulf LA              Nov01-Mar02     USD/MM</t>
  </si>
  <si>
    <t>US Gas Swap      Nymex                   Jan-Dec02       USD/MM</t>
  </si>
  <si>
    <t>US Gas Phy Index Consumers NL1           Jun-Oct01       USD/MM</t>
  </si>
  <si>
    <t>US Gas Swap      Nymex                   Aug01           USD/MM</t>
  </si>
  <si>
    <t>NYMEX PROMT</t>
  </si>
  <si>
    <t>HeHub</t>
  </si>
  <si>
    <t>Supply</t>
  </si>
  <si>
    <t>+ / -</t>
  </si>
  <si>
    <t>Rates</t>
  </si>
  <si>
    <t>fuel</t>
  </si>
  <si>
    <t>Comm</t>
  </si>
  <si>
    <t>PRICE</t>
  </si>
  <si>
    <t>Spread</t>
  </si>
  <si>
    <t>point</t>
  </si>
  <si>
    <t>price</t>
  </si>
  <si>
    <t>variable</t>
  </si>
  <si>
    <t>total</t>
  </si>
  <si>
    <t>TRCO Z 6</t>
  </si>
  <si>
    <t>Transco st. 65</t>
  </si>
  <si>
    <t>TRCO Z 6 NNY</t>
  </si>
  <si>
    <t>TETCO M3</t>
  </si>
  <si>
    <t>TETCO WLA</t>
  </si>
  <si>
    <t>TETCO ELA</t>
  </si>
  <si>
    <t>Nymex promt</t>
  </si>
  <si>
    <t>Cash-futures spread</t>
  </si>
  <si>
    <t>NYMEX</t>
  </si>
  <si>
    <t>BASIS</t>
  </si>
  <si>
    <t xml:space="preserve">Bid </t>
  </si>
  <si>
    <t>Cash</t>
  </si>
  <si>
    <t>HH sprd</t>
  </si>
  <si>
    <t>BOM</t>
  </si>
  <si>
    <t>Promt</t>
  </si>
  <si>
    <t>Nov-Mar</t>
  </si>
  <si>
    <t xml:space="preserve"> E    G</t>
  </si>
  <si>
    <t xml:space="preserve"> A    U</t>
  </si>
  <si>
    <t xml:space="preserve"> S    L</t>
  </si>
  <si>
    <t>Col Onshore</t>
  </si>
  <si>
    <t xml:space="preserve">  T      F</t>
  </si>
  <si>
    <t>Nov-Mar 01-02</t>
  </si>
  <si>
    <t>Cal' 02</t>
  </si>
  <si>
    <t xml:space="preserve"> E    M</t>
  </si>
  <si>
    <t>SPREADS</t>
  </si>
  <si>
    <t xml:space="preserve"> A    A</t>
  </si>
  <si>
    <t>Transco Z6</t>
  </si>
  <si>
    <t xml:space="preserve"> S    R</t>
  </si>
  <si>
    <t xml:space="preserve"> T    K</t>
  </si>
  <si>
    <t>TCO</t>
  </si>
  <si>
    <t xml:space="preserve">       E</t>
  </si>
  <si>
    <t>CNG</t>
  </si>
  <si>
    <t xml:space="preserve">       T</t>
  </si>
  <si>
    <t xml:space="preserve"> C    M</t>
  </si>
  <si>
    <t xml:space="preserve"> E    A</t>
  </si>
  <si>
    <t>Chi Peoples</t>
  </si>
  <si>
    <t xml:space="preserve"> N    R</t>
  </si>
  <si>
    <t>Consumers</t>
  </si>
  <si>
    <t>MichCon</t>
  </si>
  <si>
    <t xml:space="preserve"> R    E</t>
  </si>
  <si>
    <t>Dawn</t>
  </si>
  <si>
    <t xml:space="preserve"> A    T</t>
  </si>
  <si>
    <t>Niagara</t>
  </si>
  <si>
    <t xml:space="preserve"> L</t>
  </si>
  <si>
    <t xml:space="preserve"> W</t>
  </si>
  <si>
    <t>PG&amp;E citygate</t>
  </si>
  <si>
    <t xml:space="preserve"> E</t>
  </si>
  <si>
    <t>Socal Topk</t>
  </si>
  <si>
    <t xml:space="preserve"> S</t>
  </si>
  <si>
    <t>CIG Rky Mtn</t>
  </si>
  <si>
    <t xml:space="preserve"> T</t>
  </si>
  <si>
    <t>Waha</t>
  </si>
  <si>
    <t>MID</t>
  </si>
  <si>
    <t>US ResidOil Swap Platts No 6 NYH 1%      Oct-Dec01       USD/bl/m</t>
  </si>
  <si>
    <t>ResidOil Platts No 6 NYH 1% (per MMBTU)</t>
  </si>
  <si>
    <t>US Pwr Phy Firm  Cinergy Peak            Aug01           USD/MWh</t>
  </si>
  <si>
    <t>US Pwr Phy Firm  PJM-W Peak              Aug01           USD/MWh</t>
  </si>
  <si>
    <t>US Gas Basis     Dom APP                 Sep01           USD/MM</t>
  </si>
  <si>
    <t>US Gas Basis     TCO Pool                Sep01           USD/MM</t>
  </si>
  <si>
    <t>US Gas Basis     TETCO M3                Sep01           USD/MM</t>
  </si>
  <si>
    <t>Oct</t>
  </si>
  <si>
    <t>US Gas Swap      Nymex                   May01           USD/MM</t>
  </si>
  <si>
    <t>US Pwr Phy Firm  PJM-W Peak              09-13Jul01      USD/MWh</t>
  </si>
  <si>
    <t>US Pwr Fin Swap  ISO NY Z-J Peak         09-13Jul01      USD/MWh</t>
  </si>
  <si>
    <t>US Gas Basis     ColGulf LA              Sep01           USD/MM</t>
  </si>
  <si>
    <t>US Gas Basis     NGI Chicago             Sep01           USD/MM</t>
  </si>
  <si>
    <t>US Gas Basis     TETCO ELA               Sep01           USD/MM</t>
  </si>
  <si>
    <t>US Gas Basis     Transco St.65           Sep01           USD/MM</t>
  </si>
  <si>
    <t>US Gas Basis     GD/M Mich Con           Sep01           USD/MM</t>
  </si>
  <si>
    <t>US Gas Basis     HHub                    Sep01           USD/MM</t>
  </si>
  <si>
    <t>US Gas Basis     NGI SoCal               Oct01           USD/MM</t>
  </si>
  <si>
    <t>US Gas Basis     NGI PGE CtyGate         Oct01           USD/MM</t>
  </si>
  <si>
    <t>US Gas Basis     TCO Pool                Nov01           USD/MM</t>
  </si>
  <si>
    <t>US Gas Basis     TETCO M3                Nov01           USD/MM</t>
  </si>
  <si>
    <t>US Gas Basis     Transco Z6 NY           Nov01           USD/MM</t>
  </si>
  <si>
    <t>US Gas Basis     Waha                    Oct01           USD/MM</t>
  </si>
  <si>
    <t>US Gas Basis     CIG Rky Mtn             Oct01           USD/MM</t>
  </si>
  <si>
    <t>US Gas Basis     ColGulf LA              Oct01           USD/MM</t>
  </si>
  <si>
    <t>US Gas Basis     NGI Chicago             Oct01           USD/MM</t>
  </si>
  <si>
    <t>US Gas Basis     TETCO ELA               Oct01           USD/MM</t>
  </si>
  <si>
    <t>US Gas Basis     Transco St.65           Oct01           USD/MM</t>
  </si>
  <si>
    <t>US Gas Basis     GD/M Mich Con           Oct01           USD/MM</t>
  </si>
  <si>
    <t>US Gas Basis     HHub                    Oct01           USD/MM</t>
  </si>
  <si>
    <t>US Gas Basis     NGI SoCal               Nov01           USD/MM</t>
  </si>
  <si>
    <t>US Gas Basis     Dom APP                 Nov01           USD/MM</t>
  </si>
  <si>
    <t>US Gas Basis     NGI PGE CtyGate         Nov01           USD/MM</t>
  </si>
  <si>
    <t>US Gas Basis     TCO Pool                Dec01           USD/MM</t>
  </si>
  <si>
    <t>US Gas Basis     TETCO M3                Dec01           USD/MM</t>
  </si>
  <si>
    <t>US Gas Basis     Transco Z6 NY           Dec01           USD/MM</t>
  </si>
  <si>
    <t>US Gas Basis     Waha                    Nov01           USD/MM</t>
  </si>
  <si>
    <t>US Gas Basis     CIG Rky Mtn             Nov01           USD/MM</t>
  </si>
  <si>
    <t>CAN Gas PhyBasis Dawn                    Nov01           USD/MM</t>
  </si>
  <si>
    <t>US Gas Basis     Dom APP                 Oct 01           USD/MM</t>
  </si>
  <si>
    <t>US Gas Basis     TCO Pool                Oct 01           USD/MM</t>
  </si>
  <si>
    <t>US Gas Basis     TETCO M3                Oct 01           USD/MM</t>
  </si>
  <si>
    <t>US Gas Basis     Transco Z6 NY           Oct 01           USD/MM</t>
  </si>
  <si>
    <t>US Gas Basis     CIG Rky Mtn             Oct 01           USD/MM</t>
  </si>
  <si>
    <t>US Pwr Phy Firm  Cinergy Peak            Dec01           USD/MWh</t>
  </si>
  <si>
    <t>US Pwr Phy Firm  Cinergy  Peak           Jan02            USD/MWh</t>
  </si>
  <si>
    <t>US Pwr Phy Firm  PJM-W Peak              Jan02           USD/MWh</t>
  </si>
  <si>
    <t>US Gas Phy Index Consumers NL1           Dec01           USD/MM</t>
  </si>
  <si>
    <t>US Gas Phy Index Consumers NL1           Jan02           USD/MM</t>
  </si>
  <si>
    <t>US Gas Phy Index Mich Con NL1            Dec01           USD/MM</t>
  </si>
  <si>
    <t>US Pwr Fin Swap  ISO NY Z-J Peak         Dec01           USD/MWh</t>
  </si>
  <si>
    <t>US Pwr Fin Swap  ISO NY Z-J Peak         Jan02           USD/MWh</t>
  </si>
  <si>
    <t>US ResidOil Swap Platts No 6 NYH 1%      Dec01           USD/bl/m</t>
  </si>
  <si>
    <t>US ResidOil Swap Platts No 6 NYH 1%      Jan02           USD/bl/m</t>
  </si>
  <si>
    <t>US Gas Phy       Waha                    28Nov01          USD/MM</t>
  </si>
  <si>
    <t>US Gas Phy       Dom SP TT               28Nov01         USD/MM</t>
  </si>
  <si>
    <t>US Gas Phy       COL Onshore             28Nov01         USD/MM</t>
  </si>
  <si>
    <t>US Gas Phy       Consumers Pwr           28Nov01         USD/MM</t>
  </si>
  <si>
    <t>US Gas Phy       EPNG Keystone           28Nov01         USD/MM</t>
  </si>
  <si>
    <t>US Gas Phy       SoCal Topk EPNG         28Nov01         USD/MM</t>
  </si>
  <si>
    <t>US Gas Phy       HeHub                   28Nov01         USD/MM</t>
  </si>
  <si>
    <t>US Gas Phy       Mich Con                28Nov01         USD/MM</t>
  </si>
  <si>
    <t>US Gas Phy       PG&amp;E CtyGte             28Nov01         USD/MM</t>
  </si>
  <si>
    <t>US Gas Phy       TCO Pool                28Nov01         USD/MM</t>
  </si>
  <si>
    <t>US Gas Phy       TETCO ELA               28Nov01         USD/MM</t>
  </si>
  <si>
    <t>US Gas Phy       TETCO WLA               28Nov01         USD/MM</t>
  </si>
  <si>
    <t>US Gas Phy       Transco St.65           28Nov01         USD/MM</t>
  </si>
  <si>
    <t>US Gas Phy       COL Onshore             29Nov01         USD/MM</t>
  </si>
  <si>
    <t>US Gas Phy       Chi Peoples             28Nov01         USD/MM</t>
  </si>
  <si>
    <t>US Gas Phy       FGT Z2                  28Nov01         USD/MM</t>
  </si>
  <si>
    <t>US Gas Phy       NGPL LA Pool            28Nov01         USD/MM</t>
  </si>
  <si>
    <t>US Gas Phy       NGPL Midcont            28Nov01         USD/MM</t>
  </si>
  <si>
    <t>US Gas Phy       NGPL NICOR              28Nov01         USD/MM</t>
  </si>
  <si>
    <t>US Gas Phy       NNG Demarc              28Nov01         USD/MM</t>
  </si>
  <si>
    <t>US Gas Phy       Opal                    28Nov01         USD/MM</t>
  </si>
  <si>
    <t>US Gas Phy       PEPL Pool               28Nov01         USD/MM</t>
  </si>
  <si>
    <t>US Gas Phy       PGT Malin               28Nov01         USD/MM</t>
  </si>
  <si>
    <t>US Gas Phy       TETCO M3                28Nov01         USD/MM</t>
  </si>
  <si>
    <t>US Gas Phy       Transco Z6 NY           28Nov01         USD/MM</t>
  </si>
  <si>
    <t>US Gas Daily     TGT Z-SL                28-30Nov01      USD/MM</t>
  </si>
  <si>
    <t>US Gas Daily     TX E M3                 28-30Nov01      USD/MM</t>
  </si>
  <si>
    <t>US Gas Daily     Transco St.65           28-30Nov01      USD/MM</t>
  </si>
  <si>
    <t>US Gas Daily     Transco Z6 NY           28-30Nov01      USD/MM</t>
  </si>
  <si>
    <t>US Gas Daily     TX E M3                 29-30Nov01      USD/MM</t>
  </si>
  <si>
    <t>US Gas Daily     Transco St.65           29-30Nov01      USD/MM</t>
  </si>
  <si>
    <t>US Gas Daily     Transco Z6 NY           29-30Nov01      USD/MM</t>
  </si>
  <si>
    <t>US Gas Daily     Dom South               28-30Nov01      USD/MM</t>
  </si>
  <si>
    <t>US Gas Daily     Dom South               29-30Nov01      USD/MM</t>
  </si>
  <si>
    <t>US Gas Daily     COL Onshore             28-30Nov01      USD/MM</t>
  </si>
  <si>
    <t>US Gas Daily     COL Onshore             29-30Nov01      USD/MM</t>
  </si>
  <si>
    <t>US Gas Daily     Chicago                 29-30Nov01      USD/MM</t>
  </si>
  <si>
    <t>US Gas Daily     HHub                    29-30Nov01      USD/MM</t>
  </si>
  <si>
    <t>US Gas Daily     Mich Con                28-30Nov01      USD/MM</t>
  </si>
  <si>
    <t>US Gas Daily     Mich Con                29-30Nov01      USD/MM</t>
  </si>
  <si>
    <t>US Gas Daily     PG&amp;E CtyGate            28-30Nov01      USD/MM</t>
  </si>
  <si>
    <t>US Gas Daily     TCO Pool                28-30Nov01      USD/MM</t>
  </si>
  <si>
    <t>US Gas Daily     TCO Pool                29-30Nov01      USD/MM</t>
  </si>
  <si>
    <t>US Gas Daily     Waha                    28-30Nov01      USD/MM</t>
  </si>
  <si>
    <t>US Gas Daily     HHub                    28-30Nov01      USD/MM</t>
  </si>
  <si>
    <t>US Gas Daily     PG&amp;E CtyGate            29-30Nov01      USD/MM</t>
  </si>
  <si>
    <t>US Gas Daily     Chicago                 28-30Nov01      USD/MM</t>
  </si>
  <si>
    <t>US Gas Daily     SoCal                   29-30Nov01      USD/MM</t>
  </si>
  <si>
    <t>US Gas Daily     Waha                    29-30Nov01      USD/MM</t>
  </si>
  <si>
    <t>US Gas Daily     Consumers Pwr           28-30Nov01      USD/MM</t>
  </si>
  <si>
    <t>US Gas Daily     Consumers Pwr           29-30Nov01      USD/MM</t>
  </si>
  <si>
    <t>US Pwr Phy Firm  Cinergy Peak            29-30Nov01      USD/MWh</t>
  </si>
  <si>
    <t>US Pwr Phy Firm  Cinergy Peak            29Nov01         USD/MWh</t>
  </si>
  <si>
    <t>US Pwr Phy Firm  Cinergy Peak            03-07Dec01      USD/MWh</t>
  </si>
  <si>
    <t>US Pwr Phy Firm  PJM-W Peak              29-30Nov01      USD/MWh</t>
  </si>
  <si>
    <t>US Pwr Phy Firm  PJM-W Peak              29Nov01         USD/MWh</t>
  </si>
  <si>
    <t>US Pwr Phy Firm  PJM-W Peak              03-07Dec01      USD/MWh</t>
  </si>
  <si>
    <t>US Pwr Phy Firm  Cinergy HE12-21         29Nov01         USD/MWh</t>
  </si>
  <si>
    <t>CAN Gas Phy      Dawn                    28Nov01         USD/MM</t>
  </si>
  <si>
    <t>CAN Gas Phy      Dawn                    29-30Nov01      USD/MM</t>
  </si>
  <si>
    <t>CAN Gas Phy      Niagara, TCPL           28Nov01         USD/MM</t>
  </si>
  <si>
    <t>CAN Gas Phy      Dawn                    28-30Nov01      USD/MM</t>
  </si>
  <si>
    <t>US Gas Phy       EP Blanco Avg           28Nov01         USD/MM</t>
  </si>
  <si>
    <t>CAN Gas Phy      NIT                     27Nov01         CAD/GJ</t>
  </si>
  <si>
    <t>US Gas Phy       NGPL TxOk Intra         28Nov01         USD/MM</t>
  </si>
  <si>
    <t>US Gas Phy       TranscoZ6NNY            28Nov01         USD/MM</t>
  </si>
  <si>
    <t>US Pwr Fin Swap  ISO NY Z-J Peak         29Nov01         USD/MWh</t>
  </si>
  <si>
    <t>US Pwr Fin Swap  ISO NY Z-J Peak         03-07Dec01      USD/MWh</t>
  </si>
  <si>
    <t>US Pwr Fin Swap  ISO NY Z-J Peak         29-30Nov01      USD/MWh</t>
  </si>
  <si>
    <t>US Gas Phy       CIG Mainline            28Nov01         USD/MM</t>
  </si>
  <si>
    <t>US Gas Phy       WIC                     28Nov01         USD/MM</t>
  </si>
  <si>
    <t>US Gas Phy       Cheyenne Hub            28Nov01         USD/MM</t>
  </si>
  <si>
    <t>US Gas Phy       NGPL AmarilloML         28Nov01         USD/MM</t>
  </si>
  <si>
    <t>US Gas Phy       NWPL RkyMtn Pool        28Nov01         USD/MM</t>
  </si>
  <si>
    <t>US Gas Daily     CIG(N.syst)             29-30Nov01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</si>
</sst>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0" formatCode="0.00_);[Red]\(0.00\)"/>
    <numFmt numFmtId="181" formatCode="0.000_);[Red]\(0.000\)"/>
    <numFmt numFmtId="182" formatCode="_(* #,##0.000_);_(* \(#,##0.000\);_(* &quot;-&quot;???_);_(@_)"/>
    <numFmt numFmtId="183" formatCode="#,##0.000_);[Red]\(#,##0.000\)"/>
    <numFmt numFmtId="185" formatCode="0.0000_);[Red]\(0.0000\)"/>
    <numFmt numFmtId="186" formatCode="#,##0.0000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169" fontId="2" fillId="0" borderId="0">
      <protection locked="0"/>
    </xf>
    <xf numFmtId="169" fontId="2" fillId="0" borderId="0">
      <protection locked="0"/>
    </xf>
    <xf numFmtId="0" fontId="6" fillId="0" borderId="1" applyNumberFormat="0" applyFill="0" applyAlignment="0" applyProtection="0"/>
    <xf numFmtId="0" fontId="3" fillId="2" borderId="0" applyNumberFormat="0" applyFont="0" applyAlignment="0" applyProtection="0"/>
    <xf numFmtId="170" fontId="2" fillId="0" borderId="0"/>
    <xf numFmtId="169" fontId="2" fillId="0" borderId="2">
      <protection locked="0"/>
    </xf>
    <xf numFmtId="37" fontId="4" fillId="3" borderId="0" applyNumberFormat="0" applyBorder="0" applyAlignment="0" applyProtection="0"/>
    <xf numFmtId="37" fontId="7" fillId="0" borderId="0"/>
    <xf numFmtId="3" fontId="8" fillId="0" borderId="1" applyProtection="0"/>
  </cellStyleXfs>
  <cellXfs count="186">
    <xf numFmtId="0" fontId="0" fillId="0" borderId="0" xfId="0"/>
    <xf numFmtId="0" fontId="9" fillId="4" borderId="3" xfId="0" applyFont="1" applyFill="1" applyBorder="1" applyAlignment="1">
      <alignment horizontal="left"/>
    </xf>
    <xf numFmtId="0" fontId="10" fillId="0" borderId="0" xfId="0" applyFont="1"/>
    <xf numFmtId="1" fontId="11" fillId="0" borderId="0" xfId="0" applyNumberFormat="1" applyFont="1"/>
    <xf numFmtId="178" fontId="9" fillId="4" borderId="3" xfId="0" applyNumberFormat="1" applyFont="1" applyFill="1" applyBorder="1" applyAlignment="1">
      <alignment horizontal="center"/>
    </xf>
    <xf numFmtId="178" fontId="9" fillId="4" borderId="4" xfId="0" applyNumberFormat="1" applyFont="1" applyFill="1" applyBorder="1" applyAlignment="1">
      <alignment horizontal="center"/>
    </xf>
    <xf numFmtId="178" fontId="10" fillId="0" borderId="0" xfId="0" applyNumberFormat="1" applyFont="1" applyFill="1"/>
    <xf numFmtId="178" fontId="10" fillId="0" borderId="0" xfId="0" applyNumberFormat="1" applyFont="1"/>
    <xf numFmtId="0" fontId="10" fillId="0" borderId="0" xfId="0" applyFont="1" applyFill="1"/>
    <xf numFmtId="19" fontId="12" fillId="0" borderId="0" xfId="0" applyNumberFormat="1" applyFont="1" applyFill="1" applyAlignment="1">
      <alignment horizontal="right"/>
    </xf>
    <xf numFmtId="178" fontId="10" fillId="5" borderId="0" xfId="0" applyNumberFormat="1" applyFont="1" applyFill="1"/>
    <xf numFmtId="1" fontId="10" fillId="0" borderId="0" xfId="0" applyNumberFormat="1" applyFont="1"/>
    <xf numFmtId="1" fontId="9" fillId="4" borderId="3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4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178" fontId="14" fillId="6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5" fillId="0" borderId="7" xfId="0" applyFont="1" applyBorder="1"/>
    <xf numFmtId="0" fontId="14" fillId="8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0" borderId="7" xfId="0" applyFont="1" applyBorder="1"/>
    <xf numFmtId="164" fontId="14" fillId="5" borderId="7" xfId="0" applyNumberFormat="1" applyFont="1" applyFill="1" applyBorder="1" applyAlignment="1">
      <alignment horizontal="center"/>
    </xf>
    <xf numFmtId="4" fontId="14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3" fillId="0" borderId="8" xfId="0" applyFont="1" applyBorder="1"/>
    <xf numFmtId="164" fontId="14" fillId="5" borderId="8" xfId="0" applyNumberFormat="1" applyFont="1" applyFill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7" borderId="8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3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right"/>
    </xf>
    <xf numFmtId="182" fontId="13" fillId="10" borderId="0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11" borderId="9" xfId="0" applyFont="1" applyFill="1" applyBorder="1"/>
    <xf numFmtId="0" fontId="13" fillId="11" borderId="2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0" fillId="0" borderId="9" xfId="0" applyBorder="1"/>
    <xf numFmtId="0" fontId="13" fillId="12" borderId="1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0" fontId="13" fillId="11" borderId="0" xfId="0" applyFont="1" applyFill="1"/>
    <xf numFmtId="182" fontId="13" fillId="11" borderId="13" xfId="1" applyNumberFormat="1" applyFont="1" applyFill="1" applyBorder="1" applyAlignment="1">
      <alignment horizontal="center"/>
    </xf>
    <xf numFmtId="181" fontId="13" fillId="3" borderId="0" xfId="0" applyNumberFormat="1" applyFont="1" applyFill="1" applyBorder="1" applyAlignment="1">
      <alignment horizontal="center"/>
    </xf>
    <xf numFmtId="182" fontId="13" fillId="0" borderId="13" xfId="0" applyNumberFormat="1" applyFont="1" applyBorder="1" applyAlignment="1">
      <alignment horizontal="center"/>
    </xf>
    <xf numFmtId="181" fontId="13" fillId="0" borderId="13" xfId="0" applyNumberFormat="1" applyFont="1" applyBorder="1" applyAlignment="1">
      <alignment horizontal="center"/>
    </xf>
    <xf numFmtId="181" fontId="13" fillId="0" borderId="0" xfId="0" applyNumberFormat="1" applyFont="1" applyBorder="1" applyAlignment="1">
      <alignment horizontal="center"/>
    </xf>
    <xf numFmtId="181" fontId="13" fillId="0" borderId="1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9" fillId="11" borderId="0" xfId="0" applyFont="1" applyFill="1"/>
    <xf numFmtId="0" fontId="13" fillId="0" borderId="8" xfId="0" applyFont="1" applyBorder="1" applyAlignment="1">
      <alignment horizontal="right"/>
    </xf>
    <xf numFmtId="181" fontId="13" fillId="3" borderId="14" xfId="0" applyNumberFormat="1" applyFont="1" applyFill="1" applyBorder="1" applyAlignment="1">
      <alignment horizontal="center"/>
    </xf>
    <xf numFmtId="182" fontId="13" fillId="0" borderId="15" xfId="0" applyNumberFormat="1" applyFont="1" applyBorder="1" applyAlignment="1">
      <alignment horizontal="center"/>
    </xf>
    <xf numFmtId="181" fontId="13" fillId="0" borderId="15" xfId="0" applyNumberFormat="1" applyFont="1" applyBorder="1" applyAlignment="1">
      <alignment horizontal="center"/>
    </xf>
    <xf numFmtId="181" fontId="13" fillId="0" borderId="14" xfId="0" applyNumberFormat="1" applyFont="1" applyBorder="1" applyAlignment="1">
      <alignment horizontal="center"/>
    </xf>
    <xf numFmtId="181" fontId="13" fillId="0" borderId="16" xfId="0" applyNumberFormat="1" applyFont="1" applyBorder="1" applyAlignment="1">
      <alignment horizontal="center"/>
    </xf>
    <xf numFmtId="0" fontId="13" fillId="0" borderId="0" xfId="0" applyFont="1"/>
    <xf numFmtId="43" fontId="13" fillId="0" borderId="0" xfId="0" applyNumberFormat="1" applyFont="1" applyAlignment="1">
      <alignment horizontal="center"/>
    </xf>
    <xf numFmtId="181" fontId="13" fillId="0" borderId="0" xfId="0" applyNumberFormat="1" applyFont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9" borderId="0" xfId="0" applyFont="1" applyFill="1"/>
    <xf numFmtId="43" fontId="13" fillId="12" borderId="11" xfId="0" applyNumberFormat="1" applyFont="1" applyFill="1" applyBorder="1" applyAlignment="1">
      <alignment horizontal="center"/>
    </xf>
    <xf numFmtId="181" fontId="13" fillId="12" borderId="2" xfId="0" applyNumberFormat="1" applyFont="1" applyFill="1" applyBorder="1" applyAlignment="1">
      <alignment horizontal="center"/>
    </xf>
    <xf numFmtId="43" fontId="13" fillId="0" borderId="11" xfId="0" applyNumberFormat="1" applyFont="1" applyBorder="1" applyAlignment="1">
      <alignment horizontal="center"/>
    </xf>
    <xf numFmtId="2" fontId="13" fillId="13" borderId="11" xfId="0" applyNumberFormat="1" applyFont="1" applyFill="1" applyBorder="1" applyAlignment="1">
      <alignment horizontal="center"/>
    </xf>
    <xf numFmtId="2" fontId="13" fillId="13" borderId="2" xfId="0" applyNumberFormat="1" applyFont="1" applyFill="1" applyBorder="1" applyAlignment="1">
      <alignment horizontal="center"/>
    </xf>
    <xf numFmtId="2" fontId="13" fillId="13" borderId="1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3" borderId="0" xfId="0" applyFont="1" applyFill="1"/>
    <xf numFmtId="43" fontId="13" fillId="12" borderId="2" xfId="0" applyNumberFormat="1" applyFont="1" applyFill="1" applyBorder="1" applyAlignment="1">
      <alignment horizontal="center"/>
    </xf>
    <xf numFmtId="181" fontId="13" fillId="0" borderId="17" xfId="0" applyNumberFormat="1" applyFont="1" applyBorder="1" applyAlignment="1">
      <alignment horizontal="center"/>
    </xf>
    <xf numFmtId="0" fontId="0" fillId="0" borderId="9" xfId="0" applyFill="1" applyBorder="1"/>
    <xf numFmtId="181" fontId="13" fillId="12" borderId="10" xfId="0" applyNumberFormat="1" applyFont="1" applyFill="1" applyBorder="1" applyAlignment="1">
      <alignment horizontal="center"/>
    </xf>
    <xf numFmtId="0" fontId="13" fillId="7" borderId="0" xfId="0" applyFont="1" applyFill="1"/>
    <xf numFmtId="0" fontId="13" fillId="0" borderId="7" xfId="0" applyFont="1" applyFill="1" applyBorder="1" applyAlignment="1">
      <alignment horizontal="right"/>
    </xf>
    <xf numFmtId="181" fontId="13" fillId="3" borderId="12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right"/>
    </xf>
    <xf numFmtId="181" fontId="13" fillId="3" borderId="16" xfId="0" applyNumberFormat="1" applyFont="1" applyFill="1" applyBorder="1" applyAlignment="1">
      <alignment horizontal="center"/>
    </xf>
    <xf numFmtId="182" fontId="13" fillId="11" borderId="13" xfId="0" quotePrefix="1" applyNumberFormat="1" applyFont="1" applyFill="1" applyBorder="1" applyAlignment="1">
      <alignment horizontal="center"/>
    </xf>
    <xf numFmtId="182" fontId="13" fillId="11" borderId="15" xfId="0" quotePrefix="1" applyNumberFormat="1" applyFont="1" applyFill="1" applyBorder="1" applyAlignment="1">
      <alignment horizontal="center"/>
    </xf>
    <xf numFmtId="182" fontId="13" fillId="11" borderId="0" xfId="0" quotePrefix="1" applyNumberFormat="1" applyFont="1" applyFill="1" applyBorder="1" applyAlignment="1">
      <alignment horizontal="center"/>
    </xf>
    <xf numFmtId="182" fontId="13" fillId="11" borderId="14" xfId="0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7" borderId="0" xfId="0" applyNumberFormat="1" applyFont="1" applyFill="1" applyAlignment="1">
      <alignment horizontal="center"/>
    </xf>
    <xf numFmtId="182" fontId="13" fillId="0" borderId="18" xfId="0" applyNumberFormat="1" applyFont="1" applyBorder="1" applyAlignment="1">
      <alignment horizontal="center"/>
    </xf>
    <xf numFmtId="182" fontId="13" fillId="0" borderId="17" xfId="0" applyNumberFormat="1" applyFont="1" applyFill="1" applyBorder="1" applyAlignment="1">
      <alignment horizontal="center"/>
    </xf>
    <xf numFmtId="181" fontId="13" fillId="0" borderId="0" xfId="0" applyNumberFormat="1" applyFont="1" applyFill="1" applyBorder="1" applyAlignment="1">
      <alignment horizontal="center"/>
    </xf>
    <xf numFmtId="180" fontId="13" fillId="0" borderId="0" xfId="0" applyNumberFormat="1" applyFont="1" applyFill="1" applyAlignment="1">
      <alignment horizontal="center"/>
    </xf>
    <xf numFmtId="180" fontId="13" fillId="0" borderId="0" xfId="0" applyNumberFormat="1" applyFont="1" applyFill="1" applyBorder="1" applyAlignment="1">
      <alignment horizontal="center"/>
    </xf>
    <xf numFmtId="180" fontId="13" fillId="0" borderId="10" xfId="0" applyNumberFormat="1" applyFont="1" applyFill="1" applyBorder="1" applyAlignment="1">
      <alignment horizontal="center"/>
    </xf>
    <xf numFmtId="181" fontId="13" fillId="0" borderId="17" xfId="0" applyNumberFormat="1" applyFont="1" applyFill="1" applyBorder="1" applyAlignment="1">
      <alignment horizontal="center"/>
    </xf>
    <xf numFmtId="181" fontId="13" fillId="0" borderId="12" xfId="0" applyNumberFormat="1" applyFont="1" applyFill="1" applyBorder="1" applyAlignment="1">
      <alignment horizontal="center"/>
    </xf>
    <xf numFmtId="181" fontId="13" fillId="0" borderId="16" xfId="0" applyNumberFormat="1" applyFont="1" applyFill="1" applyBorder="1" applyAlignment="1">
      <alignment horizontal="center"/>
    </xf>
    <xf numFmtId="0" fontId="10" fillId="14" borderId="0" xfId="0" applyFont="1" applyFill="1"/>
    <xf numFmtId="38" fontId="0" fillId="0" borderId="0" xfId="0" applyNumberFormat="1" applyBorder="1"/>
    <xf numFmtId="3" fontId="0" fillId="0" borderId="0" xfId="0" applyNumberFormat="1" applyBorder="1"/>
    <xf numFmtId="0" fontId="13" fillId="0" borderId="0" xfId="0" applyFont="1" applyFill="1" applyBorder="1" applyAlignment="1">
      <alignment horizontal="right"/>
    </xf>
    <xf numFmtId="0" fontId="13" fillId="0" borderId="14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3" fillId="6" borderId="2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3" xfId="0" applyNumberFormat="1" applyFont="1" applyFill="1" applyBorder="1" applyAlignment="1">
      <alignment horizontal="right"/>
    </xf>
    <xf numFmtId="4" fontId="13" fillId="0" borderId="12" xfId="0" applyNumberFormat="1" applyFont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4" fontId="13" fillId="0" borderId="16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center"/>
    </xf>
    <xf numFmtId="4" fontId="13" fillId="0" borderId="15" xfId="0" applyNumberFormat="1" applyFont="1" applyBorder="1" applyAlignment="1">
      <alignment horizontal="center"/>
    </xf>
    <xf numFmtId="0" fontId="13" fillId="11" borderId="11" xfId="0" applyFont="1" applyFill="1" applyBorder="1"/>
    <xf numFmtId="164" fontId="13" fillId="0" borderId="15" xfId="0" applyNumberFormat="1" applyFont="1" applyBorder="1" applyAlignment="1">
      <alignment horizontal="center"/>
    </xf>
    <xf numFmtId="0" fontId="0" fillId="15" borderId="11" xfId="0" applyFill="1" applyBorder="1"/>
    <xf numFmtId="2" fontId="13" fillId="15" borderId="11" xfId="0" applyNumberFormat="1" applyFont="1" applyFill="1" applyBorder="1" applyAlignment="1">
      <alignment horizontal="center"/>
    </xf>
    <xf numFmtId="2" fontId="13" fillId="15" borderId="10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6" fontId="10" fillId="0" borderId="0" xfId="0" applyNumberFormat="1" applyFont="1"/>
    <xf numFmtId="185" fontId="13" fillId="0" borderId="13" xfId="0" applyNumberFormat="1" applyFont="1" applyBorder="1" applyAlignment="1">
      <alignment horizontal="center"/>
    </xf>
    <xf numFmtId="185" fontId="13" fillId="0" borderId="0" xfId="0" applyNumberFormat="1" applyFont="1" applyBorder="1" applyAlignment="1">
      <alignment horizontal="center"/>
    </xf>
    <xf numFmtId="185" fontId="13" fillId="0" borderId="12" xfId="0" applyNumberFormat="1" applyFont="1" applyBorder="1" applyAlignment="1">
      <alignment horizontal="center"/>
    </xf>
    <xf numFmtId="185" fontId="13" fillId="0" borderId="15" xfId="0" applyNumberFormat="1" applyFont="1" applyBorder="1" applyAlignment="1">
      <alignment horizontal="center"/>
    </xf>
    <xf numFmtId="185" fontId="13" fillId="0" borderId="14" xfId="0" applyNumberFormat="1" applyFont="1" applyBorder="1" applyAlignment="1">
      <alignment horizontal="center"/>
    </xf>
    <xf numFmtId="185" fontId="13" fillId="0" borderId="16" xfId="0" applyNumberFormat="1" applyFont="1" applyBorder="1" applyAlignment="1">
      <alignment horizontal="center"/>
    </xf>
    <xf numFmtId="182" fontId="13" fillId="0" borderId="14" xfId="0" applyNumberFormat="1" applyFont="1" applyFill="1" applyBorder="1" applyAlignment="1">
      <alignment horizontal="center"/>
    </xf>
    <xf numFmtId="183" fontId="13" fillId="0" borderId="13" xfId="0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183" fontId="13" fillId="0" borderId="17" xfId="0" applyNumberFormat="1" applyFont="1" applyBorder="1" applyAlignment="1">
      <alignment horizontal="center"/>
    </xf>
    <xf numFmtId="183" fontId="13" fillId="0" borderId="12" xfId="0" applyNumberFormat="1" applyFont="1" applyBorder="1" applyAlignment="1">
      <alignment horizontal="center"/>
    </xf>
    <xf numFmtId="183" fontId="13" fillId="0" borderId="15" xfId="0" applyNumberFormat="1" applyFont="1" applyBorder="1" applyAlignment="1">
      <alignment horizontal="center"/>
    </xf>
    <xf numFmtId="183" fontId="13" fillId="0" borderId="14" xfId="0" applyNumberFormat="1" applyFont="1" applyBorder="1" applyAlignment="1">
      <alignment horizontal="center"/>
    </xf>
    <xf numFmtId="183" fontId="13" fillId="0" borderId="16" xfId="0" applyNumberFormat="1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1" fontId="16" fillId="0" borderId="7" xfId="0" applyNumberFormat="1" applyFont="1" applyBorder="1" applyAlignment="1">
      <alignment horizontal="center"/>
    </xf>
    <xf numFmtId="181" fontId="16" fillId="0" borderId="0" xfId="0" applyNumberFormat="1" applyFont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0" fillId="5" borderId="0" xfId="0" applyFont="1" applyFill="1"/>
    <xf numFmtId="164" fontId="13" fillId="9" borderId="19" xfId="0" applyNumberFormat="1" applyFont="1" applyFill="1" applyBorder="1" applyAlignment="1">
      <alignment horizontal="center"/>
    </xf>
    <xf numFmtId="164" fontId="13" fillId="9" borderId="8" xfId="0" applyNumberFormat="1" applyFont="1" applyFill="1" applyBorder="1" applyAlignment="1">
      <alignment horizontal="center"/>
    </xf>
    <xf numFmtId="186" fontId="10" fillId="0" borderId="0" xfId="0" applyNumberFormat="1" applyFont="1"/>
    <xf numFmtId="186" fontId="9" fillId="4" borderId="3" xfId="0" applyNumberFormat="1" applyFont="1" applyFill="1" applyBorder="1" applyAlignment="1">
      <alignment horizontal="center"/>
    </xf>
    <xf numFmtId="186" fontId="9" fillId="4" borderId="4" xfId="0" applyNumberFormat="1" applyFont="1" applyFill="1" applyBorder="1" applyAlignment="1">
      <alignment horizontal="center"/>
    </xf>
    <xf numFmtId="186" fontId="10" fillId="0" borderId="0" xfId="0" applyNumberFormat="1" applyFont="1" applyFill="1"/>
    <xf numFmtId="186" fontId="10" fillId="14" borderId="0" xfId="0" applyNumberFormat="1" applyFont="1" applyFill="1"/>
    <xf numFmtId="186" fontId="10" fillId="5" borderId="0" xfId="0" applyNumberFormat="1" applyFont="1" applyFill="1"/>
    <xf numFmtId="0" fontId="13" fillId="0" borderId="0" xfId="0" applyFont="1" applyBorder="1" applyAlignment="1">
      <alignment horizontal="right"/>
    </xf>
    <xf numFmtId="165" fontId="13" fillId="14" borderId="0" xfId="0" applyNumberFormat="1" applyFont="1" applyFill="1"/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3">
    <dxf>
      <font>
        <b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266700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390525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409575</xdr:colOff>
          <xdr:row>0</xdr:row>
          <xdr:rowOff>38100</xdr:rowOff>
        </xdr:from>
        <xdr:to>
          <xdr:col>0</xdr:col>
          <xdr:colOff>762000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workbookViewId="0">
      <selection activeCell="N4" sqref="N4"/>
    </sheetView>
  </sheetViews>
  <sheetFormatPr defaultRowHeight="12.75"/>
  <cols>
    <col min="1" max="1" width="7" customWidth="1"/>
    <col min="2" max="2" width="13.85546875" bestFit="1" customWidth="1"/>
    <col min="3" max="3" width="8.140625" customWidth="1"/>
    <col min="4" max="4" width="8.28515625" customWidth="1"/>
    <col min="5" max="6" width="7.5703125" customWidth="1"/>
    <col min="8" max="8" width="10.85546875" customWidth="1"/>
    <col min="9" max="9" width="8.85546875" customWidth="1"/>
    <col min="10" max="10" width="8.140625" customWidth="1"/>
    <col min="11" max="11" width="13.28515625" customWidth="1"/>
    <col min="12" max="12" width="10.42578125" customWidth="1"/>
    <col min="13" max="13" width="8.5703125" customWidth="1"/>
    <col min="14" max="14" width="8.28515625" customWidth="1"/>
    <col min="15" max="15" width="9" bestFit="1" customWidth="1"/>
  </cols>
  <sheetData>
    <row r="1" spans="1:15" ht="15.75">
      <c r="B1" s="46" t="s">
        <v>102</v>
      </c>
      <c r="C1" s="47">
        <f>(M3+N3)/2</f>
        <v>2.5649999999999999</v>
      </c>
      <c r="D1" s="48"/>
      <c r="E1" s="49"/>
      <c r="F1" s="50" t="s">
        <v>103</v>
      </c>
      <c r="G1" s="51" t="e">
        <f>C1-E4</f>
        <v>#VALUE!</v>
      </c>
      <c r="H1" s="130"/>
      <c r="I1" s="131"/>
      <c r="J1" s="135"/>
      <c r="M1" s="53" t="s">
        <v>104</v>
      </c>
      <c r="N1" s="20"/>
    </row>
    <row r="2" spans="1:15" ht="13.5" thickBot="1">
      <c r="B2" s="52"/>
      <c r="C2" s="48"/>
      <c r="D2" s="48"/>
      <c r="E2" s="48"/>
      <c r="F2" s="48"/>
      <c r="G2" s="54"/>
      <c r="H2" s="54" t="s">
        <v>105</v>
      </c>
      <c r="I2" s="54"/>
      <c r="L2" s="55"/>
      <c r="M2" s="56" t="s">
        <v>106</v>
      </c>
      <c r="N2" s="57" t="s">
        <v>46</v>
      </c>
    </row>
    <row r="3" spans="1:15" ht="14.25" thickTop="1" thickBot="1">
      <c r="B3" s="58"/>
      <c r="C3" s="59" t="s">
        <v>107</v>
      </c>
      <c r="D3" s="60" t="s">
        <v>108</v>
      </c>
      <c r="E3" s="61" t="s">
        <v>109</v>
      </c>
      <c r="F3" s="62" t="s">
        <v>108</v>
      </c>
      <c r="G3" s="63" t="s">
        <v>110</v>
      </c>
      <c r="H3" s="64" t="s">
        <v>156</v>
      </c>
      <c r="I3" s="65" t="s">
        <v>111</v>
      </c>
      <c r="L3" s="66" t="s">
        <v>110</v>
      </c>
      <c r="M3" s="67">
        <f>VLOOKUP(58074,EOL!D:H,4,0)</f>
        <v>2.56</v>
      </c>
      <c r="N3" s="68">
        <f>VLOOKUP(58074,EOL!D:H,5,0)</f>
        <v>2.57</v>
      </c>
    </row>
    <row r="4" spans="1:15" ht="13.5" thickTop="1">
      <c r="A4" s="69" t="s">
        <v>112</v>
      </c>
      <c r="B4" s="66" t="s">
        <v>84</v>
      </c>
      <c r="C4" s="70">
        <f>VLOOKUP(27763,EOL!D:H,3,0)</f>
        <v>1.71</v>
      </c>
      <c r="D4" s="71"/>
      <c r="E4" s="72" t="str">
        <f>IF(VLOOKUP(28312,EOL!D:K,8,0)="A",VLOOKUP(28312,EOL!D:K,3,0),IF(VLOOKUP(28251,EOL!D:K,8,0)="A",VLOOKUP(28251,EOL!D:K,3,0),"-"))</f>
        <v>-</v>
      </c>
      <c r="F4" s="121"/>
      <c r="G4" s="154" t="str">
        <f>VLOOKUP(37083,EOL!D:H,3,0)</f>
        <v>-</v>
      </c>
      <c r="H4" s="155" t="str">
        <f>VLOOKUP(37084,EOL!D:I,3,0)</f>
        <v>-</v>
      </c>
      <c r="I4" s="156" t="str">
        <f>VLOOKUP(37879,EOL!D:H,3,0)</f>
        <v>-</v>
      </c>
      <c r="L4" s="142" t="s">
        <v>156</v>
      </c>
      <c r="M4" s="67">
        <f>VLOOKUP(49615,EOL!D:H,4,0)</f>
        <v>1.83</v>
      </c>
      <c r="N4" s="68">
        <f>VLOOKUP(49615,EOL!D:H,5,0)</f>
        <v>1.835</v>
      </c>
      <c r="O4" s="134"/>
    </row>
    <row r="5" spans="1:15">
      <c r="A5" s="69" t="s">
        <v>113</v>
      </c>
      <c r="B5" s="66" t="s">
        <v>97</v>
      </c>
      <c r="C5" s="114" t="str">
        <f>VLOOKUP(27771,EOL!D:H,3,0)</f>
        <v>-</v>
      </c>
      <c r="D5" s="71" t="str">
        <f>IF(C5="-","-",C5-$C$4)</f>
        <v>-</v>
      </c>
      <c r="E5" s="72" t="str">
        <f>IF(VLOOKUP(28194,EOL!D:K,8,0)="A",VLOOKUP(28194,EOL!D:K,3,0),IF(VLOOKUP(28166,EOL!D:K,8,0)="A",VLOOKUP(28166,EOL!D:K,3,0),"-"))</f>
        <v>-</v>
      </c>
      <c r="F5" s="127" t="str">
        <f>IF(E5="-","-",E5-E$4)</f>
        <v>-</v>
      </c>
      <c r="G5" s="154" t="str">
        <f>VLOOKUP(36167,EOL!D:H,3,0)</f>
        <v>-</v>
      </c>
      <c r="H5" s="155" t="str">
        <f>VLOOKUP(36168,EOL!D:I,3,0)</f>
        <v>-</v>
      </c>
      <c r="I5" s="156" t="str">
        <f>VLOOKUP(37882,EOL!D:H,3,0)</f>
        <v>-</v>
      </c>
      <c r="L5" s="66" t="s">
        <v>117</v>
      </c>
      <c r="M5" s="67">
        <f>VLOOKUP(35353,EOL!D:H,4,0)</f>
        <v>3.35</v>
      </c>
      <c r="N5" s="68">
        <f>VLOOKUP(35353,EOL!D:H,5,0)</f>
        <v>3.3650000000000002</v>
      </c>
    </row>
    <row r="6" spans="1:15">
      <c r="A6" s="69" t="s">
        <v>114</v>
      </c>
      <c r="B6" s="66" t="s">
        <v>115</v>
      </c>
      <c r="C6" s="114">
        <f>VLOOKUP(27759,EOL!D:H,3,0)</f>
        <v>1.63</v>
      </c>
      <c r="D6" s="71">
        <f>IF(C6="-","-",C6-$C$4)</f>
        <v>-8.0000000000000071E-2</v>
      </c>
      <c r="E6" s="72" t="str">
        <f>IF(VLOOKUP(28204,EOL!D:K,8,0)="A",VLOOKUP(28204,EOL!D:K,3,0),IF(VLOOKUP(28205,EOL!D:K,8,0)="A",VLOOKUP(28205,EOL!D:K,3,0),"-"))</f>
        <v>-</v>
      </c>
      <c r="F6" s="127" t="str">
        <f>IF(E6="-","-",E6-E$4)</f>
        <v>-</v>
      </c>
      <c r="G6" s="154" t="str">
        <f>VLOOKUP(36094,EOL!D:H,3,0)</f>
        <v>-</v>
      </c>
      <c r="H6" s="155" t="str">
        <f>VLOOKUP(36095,EOL!D:I,3,0)</f>
        <v>-</v>
      </c>
      <c r="I6" s="156" t="str">
        <f>VLOOKUP(37878,EOL!D:H,3,0)</f>
        <v>-</v>
      </c>
      <c r="L6" s="78" t="s">
        <v>118</v>
      </c>
      <c r="M6" s="87">
        <f>VLOOKUP(48724,EOL!D:H,4,0)</f>
        <v>2.97</v>
      </c>
      <c r="N6" s="88">
        <f>VLOOKUP(48724,EOL!D:H,5,0)</f>
        <v>2.98</v>
      </c>
      <c r="O6" s="135"/>
    </row>
    <row r="7" spans="1:15">
      <c r="A7" s="77" t="s">
        <v>116</v>
      </c>
      <c r="B7" s="78" t="s">
        <v>101</v>
      </c>
      <c r="C7" s="115">
        <f>VLOOKUP(27767,EOL!D:H,3,0)</f>
        <v>1.6025</v>
      </c>
      <c r="D7" s="79">
        <f>IF(C7="-","-",C7-$C$4)</f>
        <v>-0.10749999999999993</v>
      </c>
      <c r="E7" s="80"/>
      <c r="F7" s="128"/>
      <c r="G7" s="157" t="str">
        <f>VLOOKUP(36165,EOL!D:H,3,0)</f>
        <v>-</v>
      </c>
      <c r="H7" s="158" t="str">
        <f>VLOOKUP(36166,EOL!D:I,3,0)</f>
        <v>-</v>
      </c>
      <c r="I7" s="159" t="str">
        <f>VLOOKUP(37881,EOL!D:H,3,0)</f>
        <v>-</v>
      </c>
    </row>
    <row r="8" spans="1:15" ht="11.25" customHeight="1">
      <c r="A8" s="84"/>
      <c r="C8" s="85"/>
      <c r="D8" s="86"/>
      <c r="E8" s="85"/>
      <c r="F8" s="123"/>
      <c r="G8" s="76"/>
      <c r="H8" s="76"/>
    </row>
    <row r="9" spans="1:15">
      <c r="A9" s="84"/>
      <c r="B9" s="52"/>
      <c r="C9" s="89"/>
      <c r="D9" s="74"/>
      <c r="E9" s="89"/>
      <c r="F9" s="124"/>
      <c r="G9" s="90"/>
      <c r="H9" s="90"/>
    </row>
    <row r="10" spans="1:15" ht="13.5" thickBot="1">
      <c r="A10" s="91" t="s">
        <v>119</v>
      </c>
      <c r="B10" s="58"/>
      <c r="C10" s="92" t="s">
        <v>107</v>
      </c>
      <c r="D10" s="93" t="s">
        <v>108</v>
      </c>
      <c r="E10" s="94" t="s">
        <v>109</v>
      </c>
      <c r="F10" s="125" t="s">
        <v>108</v>
      </c>
      <c r="G10" s="95" t="s">
        <v>110</v>
      </c>
      <c r="H10" s="96" t="s">
        <v>156</v>
      </c>
      <c r="I10" s="97" t="s">
        <v>111</v>
      </c>
      <c r="M10" s="98" t="s">
        <v>120</v>
      </c>
    </row>
    <row r="11" spans="1:15" ht="14.25" thickTop="1" thickBot="1">
      <c r="A11" s="91" t="s">
        <v>121</v>
      </c>
      <c r="B11" s="66" t="s">
        <v>122</v>
      </c>
      <c r="C11" s="114">
        <f>VLOOKUP(27947,EOL!D:H,3,0)</f>
        <v>1.865</v>
      </c>
      <c r="D11" s="71">
        <f>IF(C11="-","-",C11-$C$4)</f>
        <v>0.15500000000000003</v>
      </c>
      <c r="E11" s="120" t="str">
        <f>IF(VLOOKUP(28167,EOL!D:K,8,0)="A",VLOOKUP(28167,EOL!D:K,3,0),IF(VLOOKUP(28195,EOL!D:K,8,0)="A",VLOOKUP(28195,EOL!D:K,3,0),"-"))</f>
        <v>-</v>
      </c>
      <c r="F11" s="126" t="str">
        <f>IF(E11="-","-",E11-E$4)</f>
        <v>-</v>
      </c>
      <c r="G11" s="73" t="str">
        <f>VLOOKUP(36169,EOL!D:H,3,0)</f>
        <v>-</v>
      </c>
      <c r="H11" s="53" t="str">
        <f>VLOOKUP(36170,EOL!D:H,3,0)</f>
        <v>-</v>
      </c>
      <c r="I11" s="106" t="str">
        <f>VLOOKUP(35000,EOL!D:H,3,0)</f>
        <v>-</v>
      </c>
      <c r="L11" s="147"/>
      <c r="M11" s="99" t="s">
        <v>106</v>
      </c>
      <c r="N11" s="57" t="s">
        <v>46</v>
      </c>
    </row>
    <row r="12" spans="1:15" ht="13.5" thickTop="1">
      <c r="A12" s="91" t="s">
        <v>123</v>
      </c>
      <c r="B12" s="66" t="s">
        <v>99</v>
      </c>
      <c r="C12" s="114">
        <f>VLOOKUP(27830,EOL!D:H,3,0)</f>
        <v>1.7749999999999999</v>
      </c>
      <c r="D12" s="71">
        <f>IF(C12="-","-",C12-$C$4)</f>
        <v>6.4999999999999947E-2</v>
      </c>
      <c r="E12" s="72" t="str">
        <f>IF(VLOOKUP(28193,EOL!D:K,8,0)="A",VLOOKUP(28193,EOL!D:K,3,0),IF(VLOOKUP(28165,EOL!D:K,8,0)="A",VLOOKUP(28165,EOL!D:K,3,0),"-"))</f>
        <v>-</v>
      </c>
      <c r="F12" s="127" t="str">
        <f>IF(E12="-","-",E12-E$4)</f>
        <v>-</v>
      </c>
      <c r="G12" s="73" t="str">
        <f>VLOOKUP(37103,EOL!D:H,3,0)</f>
        <v>-</v>
      </c>
      <c r="H12" s="53" t="str">
        <f>VLOOKUP(37104,EOL!D:H,3,0)</f>
        <v>-</v>
      </c>
      <c r="I12" s="75" t="str">
        <f>VLOOKUP(34999,EOL!D:H,3,0)</f>
        <v>-</v>
      </c>
      <c r="L12" s="100" t="s">
        <v>4</v>
      </c>
      <c r="M12" s="102">
        <f>VLOOKUP(49625,EOL!D:H,4,0)</f>
        <v>3.2185000000000001</v>
      </c>
      <c r="N12" s="101">
        <f>VLOOKUP(49625,EOL!D:H,5,0)</f>
        <v>3.2315</v>
      </c>
    </row>
    <row r="13" spans="1:15">
      <c r="A13" s="91" t="s">
        <v>124</v>
      </c>
      <c r="B13" s="66" t="s">
        <v>125</v>
      </c>
      <c r="C13" s="114">
        <f>VLOOKUP(27766,EOL!D:H,3,0)</f>
        <v>1.62</v>
      </c>
      <c r="D13" s="71">
        <f>IF(C13="-","-",C13-$C$4)</f>
        <v>-8.9999999999999858E-2</v>
      </c>
      <c r="E13" s="72" t="str">
        <f>IF(VLOOKUP(28271,EOL!D:K,8,0)="A",VLOOKUP(28271,EOL!D:K,3,0),IF(VLOOKUP(28270,EOL!D:K,8,0)="A",VLOOKUP(28270,EOL!D:K,3,0),"-"))</f>
        <v>-</v>
      </c>
      <c r="F13" s="127" t="str">
        <f>IF(E13="-","-",E13-E$4)</f>
        <v>-</v>
      </c>
      <c r="G13" s="73" t="str">
        <f>VLOOKUP(36161,EOL!D:H,3,0)</f>
        <v>-</v>
      </c>
      <c r="H13" s="53" t="str">
        <f>VLOOKUP(36162,EOL!D:H,3,0)</f>
        <v>-</v>
      </c>
      <c r="I13" s="75" t="str">
        <f>VLOOKUP(34998,EOL!D:H,3,0)</f>
        <v>-</v>
      </c>
      <c r="L13" s="103" t="s">
        <v>5</v>
      </c>
      <c r="M13" s="148">
        <f>M5-N3</f>
        <v>0.78000000000000025</v>
      </c>
      <c r="N13" s="88">
        <f>N5-M3</f>
        <v>0.80500000000000016</v>
      </c>
    </row>
    <row r="14" spans="1:15">
      <c r="A14" s="91" t="s">
        <v>126</v>
      </c>
      <c r="B14" s="78" t="s">
        <v>127</v>
      </c>
      <c r="C14" s="115">
        <f>VLOOKUP(27754,EOL!D:H,3,0)</f>
        <v>1.6099999999999999</v>
      </c>
      <c r="D14" s="79">
        <f>IF(C14="-","-",C14-$C$4)</f>
        <v>-0.10000000000000009</v>
      </c>
      <c r="E14" s="80" t="str">
        <f>IF(VLOOKUP(28202,EOL!D:K,8,0)="A",VLOOKUP(28202,EOL!D:K,3,0),IF(VLOOKUP(28203,EOL!D:K,8,0)="A",VLOOKUP(28203,EOL!D:K,3,0),"-"))</f>
        <v>-</v>
      </c>
      <c r="F14" s="128" t="str">
        <f>IF(E14="-","-",E14-E$4)</f>
        <v>-</v>
      </c>
      <c r="G14" s="81" t="str">
        <f>VLOOKUP(37071,EOL!D:H,3,0)</f>
        <v>-</v>
      </c>
      <c r="H14" s="133" t="str">
        <f>VLOOKUP(37073,EOL!D:H,3,0)</f>
        <v>-</v>
      </c>
      <c r="I14" s="83" t="str">
        <f>VLOOKUP(34993,EOL!D:H,3,0)</f>
        <v>-</v>
      </c>
      <c r="L14" s="184"/>
      <c r="M14" s="67"/>
      <c r="N14" s="67"/>
    </row>
    <row r="15" spans="1:15">
      <c r="A15" s="91" t="s">
        <v>128</v>
      </c>
      <c r="C15" s="85"/>
      <c r="D15" s="86"/>
      <c r="E15" s="85"/>
      <c r="F15" s="123"/>
      <c r="G15" s="86"/>
      <c r="H15" s="86"/>
      <c r="I15" s="86"/>
    </row>
    <row r="16" spans="1:15">
      <c r="A16" s="84"/>
      <c r="B16" s="52"/>
      <c r="C16" s="89"/>
      <c r="D16" s="74"/>
      <c r="E16" s="89"/>
      <c r="F16" s="124"/>
      <c r="G16" s="90"/>
      <c r="H16" s="90" t="s">
        <v>105</v>
      </c>
      <c r="I16" s="90"/>
      <c r="M16" s="139" t="s">
        <v>31</v>
      </c>
    </row>
    <row r="17" spans="1:15" ht="13.5" thickBot="1">
      <c r="A17" s="104" t="s">
        <v>129</v>
      </c>
      <c r="B17" s="58"/>
      <c r="C17" s="105" t="s">
        <v>107</v>
      </c>
      <c r="D17" s="93" t="s">
        <v>108</v>
      </c>
      <c r="E17" s="94" t="s">
        <v>109</v>
      </c>
      <c r="F17" s="125" t="s">
        <v>108</v>
      </c>
      <c r="G17" s="95" t="s">
        <v>110</v>
      </c>
      <c r="H17" s="96" t="s">
        <v>156</v>
      </c>
      <c r="I17" s="97" t="s">
        <v>111</v>
      </c>
      <c r="K17" s="84"/>
      <c r="L17" s="152" t="s">
        <v>36</v>
      </c>
      <c r="M17" s="136" t="s">
        <v>37</v>
      </c>
      <c r="N17" s="168" t="s">
        <v>110</v>
      </c>
      <c r="O17" s="174" t="s">
        <v>35</v>
      </c>
    </row>
    <row r="18" spans="1:15" ht="13.5" thickTop="1">
      <c r="A18" s="104" t="s">
        <v>130</v>
      </c>
      <c r="B18" s="66" t="s">
        <v>131</v>
      </c>
      <c r="C18" s="116">
        <f>VLOOKUP(27819,EOL!D:H,3,0)</f>
        <v>2</v>
      </c>
      <c r="D18" s="71">
        <f>IF(C18="-","-",C18-$C$4)</f>
        <v>0.29000000000000004</v>
      </c>
      <c r="E18" s="72" t="str">
        <f>IF(VLOOKUP(28206,EOL!D:K,8,0)="A",VLOOKUP(28206,EOL!D:K,3,0),IF(VLOOKUP(28319,EOL!D:K,8,0)="A",VLOOKUP(28319,EOL!D:K,3,0),"-"))</f>
        <v>-</v>
      </c>
      <c r="F18" s="122" t="str">
        <f>IF(E18="-","-",E18-E$4)</f>
        <v>-</v>
      </c>
      <c r="G18" s="74" t="str">
        <f>VLOOKUP(36100,EOL!D:H,3,0)</f>
        <v>-</v>
      </c>
      <c r="H18" s="74" t="str">
        <f>VLOOKUP(36101,EOL!D:H,3,0)</f>
        <v>-</v>
      </c>
      <c r="I18" s="106" t="str">
        <f>VLOOKUP(29762,EOL!D:H,3,0)</f>
        <v>-</v>
      </c>
      <c r="K18" s="17" t="s">
        <v>32</v>
      </c>
      <c r="L18" s="102" t="str">
        <f>IF(VLOOKUP(54117,EOL!D:K,8,0)="A",(VLOOKUP(54117,EOL!D:H,4,0)+VLOOKUP(54117,EOL!D:H,5,0))/2,"-")</f>
        <v>-</v>
      </c>
      <c r="M18" s="98" t="str">
        <f>IF(VLOOKUP(32233,EOL!D:K,8,0)="A",(VLOOKUP(32233,EOL!D:H,4,0)+VLOOKUP(32233,EOL!D:H,5,0))/2,"-")</f>
        <v>-</v>
      </c>
      <c r="N18" s="101">
        <f>IF(VLOOKUP(40519,EOL!D:K,8,0)="A",(VLOOKUP(40519,EOL!D:H,4,0)+VLOOKUP(40519,EOL!D:H,5,0))/2,"-")</f>
        <v>37.299999999999997</v>
      </c>
      <c r="O18" s="102" t="str">
        <f>IF(VLOOKUP(54962,EOL!D:K,8,0)="A",(VLOOKUP(54962,EOL!D:H,4,0)+VLOOKUP(54962,EOL!D:H,5,0))/2,"-")</f>
        <v>-</v>
      </c>
    </row>
    <row r="19" spans="1:15">
      <c r="A19" s="104" t="s">
        <v>132</v>
      </c>
      <c r="B19" s="66" t="s">
        <v>133</v>
      </c>
      <c r="C19" s="116" t="str">
        <f>VLOOKUP(27760,EOL!D:H,3,0)</f>
        <v>-</v>
      </c>
      <c r="D19" s="71" t="str">
        <f>IF(C19="-","-",C19-$C$4)</f>
        <v>-</v>
      </c>
      <c r="E19" s="72" t="str">
        <f>IF(VLOOKUP(28923,EOL!D:K,8,0)="A",VLOOKUP(28923,EOL!D:K,3,0),IF(VLOOKUP(28924,EOL!D:K,8,0)="A",VLOOKUP(28924,EOL!D:K,3,0),"-"))</f>
        <v>-</v>
      </c>
      <c r="F19" s="122" t="str">
        <f>IF(E19="-","-",E19-E$4)</f>
        <v>-</v>
      </c>
      <c r="G19" s="74" t="str">
        <f>VLOOKUP(37096,EOL!D:H,3,0)</f>
        <v>-</v>
      </c>
      <c r="H19" s="74" t="str">
        <f>VLOOKUP(37098,EOL!D:H,3,0)</f>
        <v>-</v>
      </c>
      <c r="I19" s="75" t="str">
        <f>VLOOKUP(38153,EOL!D:H,3,0)</f>
        <v>-</v>
      </c>
      <c r="K19" s="17"/>
      <c r="L19" s="102"/>
      <c r="M19" s="98"/>
      <c r="N19" s="101"/>
      <c r="O19" s="102"/>
    </row>
    <row r="20" spans="1:15">
      <c r="A20" s="104" t="s">
        <v>124</v>
      </c>
      <c r="B20" s="66" t="s">
        <v>134</v>
      </c>
      <c r="C20" s="116" t="str">
        <f>VLOOKUP(27764,EOL!D:H,3,0)</f>
        <v>-</v>
      </c>
      <c r="D20" s="71" t="str">
        <f>IF(C20="-","-",C20-$C$4)</f>
        <v>-</v>
      </c>
      <c r="E20" s="72" t="str">
        <f>IF(VLOOKUP(28257,EOL!D:K,8,0)="A",VLOOKUP(28257,EOL!D:K,3,0),IF(VLOOKUP(28256,EOL!D:K,8,0)="A",VLOOKUP(28256,EOL!D:K,3,0),"-"))</f>
        <v>-</v>
      </c>
      <c r="F20" s="122" t="str">
        <f>IF(E20="-","-",E20-E$4)</f>
        <v>-</v>
      </c>
      <c r="G20" s="74" t="str">
        <f>VLOOKUP(36207,EOL!D:H,3,0)</f>
        <v>-</v>
      </c>
      <c r="H20" s="74" t="str">
        <f>VLOOKUP(36208,EOL!D:H,3,0)</f>
        <v>-</v>
      </c>
      <c r="I20" s="75" t="str">
        <f>VLOOKUP(38153,EOL!D:H,3,0)</f>
        <v>-</v>
      </c>
      <c r="K20" s="17" t="s">
        <v>33</v>
      </c>
      <c r="L20" s="102" t="str">
        <f>IF(VLOOKUP(52917,EOL!D:K,8,0)="A",(VLOOKUP(52917,EOL!D:H,4,0)+VLOOKUP(52917,EOL!D:H,5,0))/2,"-")</f>
        <v>-</v>
      </c>
      <c r="M20" s="98" t="str">
        <f>IF(VLOOKUP(54994,EOL!D:K,8,0)="A",(VLOOKUP(54994,EOL!D:H,4,0)+VLOOKUP(54994,EOL!D:H,5,0))/2,"-")</f>
        <v>-</v>
      </c>
      <c r="N20" s="101" t="str">
        <f>IF(VLOOKUP(40993,EOL!D:K,8,0)="A",(VLOOKUP(40993,EOL!D:H,4,0)+VLOOKUP(40993,EOL!D:H,5,0))/2,"-")</f>
        <v>-</v>
      </c>
      <c r="O20" s="102" t="str">
        <f>IF(VLOOKUP(54992,EOL!D:K,8,0)="A",(VLOOKUP(54992,EOL!D:H,4,0)+VLOOKUP(54992,EOL!D:H,5,0))/2,"-")</f>
        <v>-</v>
      </c>
    </row>
    <row r="21" spans="1:15">
      <c r="A21" s="104" t="s">
        <v>135</v>
      </c>
      <c r="B21" s="66" t="s">
        <v>136</v>
      </c>
      <c r="C21" s="116" t="str">
        <f>VLOOKUP(29602,EOL!D:H,3,0)</f>
        <v>-</v>
      </c>
      <c r="D21" s="71" t="str">
        <f>IF(C21="-","-",C21-$C$4)</f>
        <v>-</v>
      </c>
      <c r="E21" s="72" t="str">
        <f>IF(VLOOKUP(29720,EOL!D:K,8,0)="A",VLOOKUP(29720,EOL!D:K,3,0),IF(VLOOKUP(29605,EOL!D:K,8,0)="A",VLOOKUP(29605,EOL!D:K,3,0),"-"))</f>
        <v>-</v>
      </c>
      <c r="F21" s="122" t="str">
        <f>IF(E21="-","-",E21-E$4)</f>
        <v>-</v>
      </c>
      <c r="G21" s="74"/>
      <c r="H21" s="74"/>
      <c r="I21" s="75"/>
      <c r="K21" s="17"/>
      <c r="L21" s="102"/>
      <c r="M21" s="98"/>
      <c r="N21" s="101"/>
      <c r="O21" s="102"/>
    </row>
    <row r="22" spans="1:15">
      <c r="A22" s="104" t="s">
        <v>137</v>
      </c>
      <c r="B22" s="78" t="s">
        <v>138</v>
      </c>
      <c r="C22" s="117" t="str">
        <f>VLOOKUP(29606,EOL!D:H,3,0)</f>
        <v>-</v>
      </c>
      <c r="D22" s="79" t="str">
        <f>IF(C22="-","-",C22-$C$4)</f>
        <v>-</v>
      </c>
      <c r="E22" s="80"/>
      <c r="F22" s="160"/>
      <c r="G22" s="82"/>
      <c r="H22" s="82"/>
      <c r="I22" s="83"/>
      <c r="K22" s="17" t="s">
        <v>34</v>
      </c>
      <c r="L22" s="137" t="str">
        <f>IF(VLOOKUP(29070,EOL!D:K,8,0)="A",(VLOOKUP(29070,EOL!D:H,4,0)+VLOOKUP(29070,EOL!D:H,5,0))/2,"-")</f>
        <v>-</v>
      </c>
      <c r="M22" s="133" t="str">
        <f>IF(VLOOKUP(29065,EOL!D:K,8,0)="A",(VLOOKUP(29065,EOL!D:H,4,0)+VLOOKUP(29065,EOL!D:H,5,0))/2,"-")</f>
        <v>-</v>
      </c>
      <c r="N22" s="138" t="str">
        <f>IF(VLOOKUP(40869,EOL!D:K,8,0)="A",(VLOOKUP(40869,EOL!D:H,4,0)+VLOOKUP(40869,EOL!D:H,5,0))/2,"-")</f>
        <v>-</v>
      </c>
      <c r="O22" s="137">
        <f>IF(VLOOKUP(29066,EOL!D:K,8,0)="A",VLOOKUP(29066,EOL!D:K,3,0),IF(VLOOKUP(29066,EOL!D:K,8,0)="A",VLOOKUP(29066,EOL!D:K,3,0),"-"))</f>
        <v>18.8</v>
      </c>
    </row>
    <row r="23" spans="1:15">
      <c r="A23" s="104" t="s">
        <v>139</v>
      </c>
      <c r="C23" s="85"/>
      <c r="D23" s="86"/>
      <c r="E23" s="85"/>
      <c r="F23" s="123"/>
      <c r="G23" s="76"/>
      <c r="H23" s="76"/>
      <c r="I23" s="76"/>
    </row>
    <row r="24" spans="1:15">
      <c r="A24" s="84"/>
      <c r="C24" s="85"/>
      <c r="D24" s="86"/>
      <c r="E24" s="85"/>
      <c r="F24" s="123"/>
      <c r="G24" s="76"/>
      <c r="H24" s="76"/>
      <c r="I24" s="76"/>
    </row>
    <row r="25" spans="1:15">
      <c r="A25" s="84"/>
      <c r="B25" s="52"/>
      <c r="C25" s="89"/>
      <c r="D25" s="74"/>
      <c r="E25" s="89"/>
      <c r="F25" s="124"/>
      <c r="G25" s="90"/>
      <c r="H25" s="90" t="s">
        <v>105</v>
      </c>
      <c r="I25" s="90"/>
      <c r="M25" s="53" t="s">
        <v>150</v>
      </c>
    </row>
    <row r="26" spans="1:15" ht="13.5" thickBot="1">
      <c r="A26" s="84"/>
      <c r="B26" s="107"/>
      <c r="C26" s="105" t="s">
        <v>107</v>
      </c>
      <c r="D26" s="108" t="s">
        <v>108</v>
      </c>
      <c r="E26" s="94" t="s">
        <v>109</v>
      </c>
      <c r="F26" s="125" t="s">
        <v>108</v>
      </c>
      <c r="G26" s="95" t="s">
        <v>110</v>
      </c>
      <c r="H26" s="96" t="s">
        <v>156</v>
      </c>
      <c r="I26" s="97" t="s">
        <v>111</v>
      </c>
      <c r="L26" s="149"/>
      <c r="M26" s="150" t="s">
        <v>45</v>
      </c>
      <c r="N26" s="151" t="s">
        <v>46</v>
      </c>
    </row>
    <row r="27" spans="1:15" ht="13.5" thickTop="1">
      <c r="A27" s="109" t="s">
        <v>140</v>
      </c>
      <c r="B27" s="110" t="s">
        <v>141</v>
      </c>
      <c r="C27" s="116">
        <f>VLOOKUP(27765,EOL!D:H,3,0)</f>
        <v>2.4249999999999998</v>
      </c>
      <c r="D27" s="111">
        <f>IF(C27="-","-",C27-$C$4)</f>
        <v>0.71499999999999986</v>
      </c>
      <c r="E27" s="120" t="str">
        <f>IF(VLOOKUP(28317,EOL!D:K,8,0)="A",VLOOKUP(28317,EOL!D:K,3,0),IF(VLOOKUP(28266,EOL!D:K,8,0)="A",VLOOKUP(28266,EOL!D:K,3,0),"-"))</f>
        <v>-</v>
      </c>
      <c r="F27" s="126" t="str">
        <f>IF(E27="-","-",E27-E$4)</f>
        <v>-</v>
      </c>
      <c r="G27" s="161" t="str">
        <f>VLOOKUP(39256,EOL!D:H,3,0)</f>
        <v>-</v>
      </c>
      <c r="H27" s="162" t="str">
        <f>VLOOKUP(39258,EOL!D:H,3,0)</f>
        <v>-</v>
      </c>
      <c r="I27" s="163" t="str">
        <f>VLOOKUP(45213,EOL!D:H,3,0)</f>
        <v>-</v>
      </c>
      <c r="L27" s="140" t="s">
        <v>2</v>
      </c>
      <c r="M27" s="145" t="str">
        <f>IF(VLOOKUP(44327,EOL!D:K,8,0)="A",(VLOOKUP(44327,EOL!D:H,4,0)*1.04+2.71)/6.32,"-")</f>
        <v>-</v>
      </c>
      <c r="N27" s="141" t="str">
        <f>IF(VLOOKUP(44327,EOL!D:K,8,0)="A",(VLOOKUP(44327,EOL!D:H,5,0)*1.04+2.71)/6.32,"-")</f>
        <v>-</v>
      </c>
    </row>
    <row r="28" spans="1:15">
      <c r="A28" s="109" t="s">
        <v>142</v>
      </c>
      <c r="B28" s="110" t="s">
        <v>143</v>
      </c>
      <c r="C28" s="116">
        <f>VLOOKUP(27762,EOL!D:H,3,0)</f>
        <v>2.42</v>
      </c>
      <c r="D28" s="111">
        <f>IF(C28="-","-",C28-$C$4)</f>
        <v>0.71</v>
      </c>
      <c r="E28" s="72" t="str">
        <f>IF(VLOOKUP(28324,EOL!D:K,8,0)="A",VLOOKUP(28324,EOL!D:K,3,0),IF(VLOOKUP(48140,EOL!D:K,8,0)="A",VLOOKUP(48140,EOL!D:K,3,0),"-"))</f>
        <v>-</v>
      </c>
      <c r="F28" s="127" t="str">
        <f>IF(E28="-","-",E28-E$4)</f>
        <v>-</v>
      </c>
      <c r="G28" s="161" t="str">
        <f>VLOOKUP(36213,EOL!D:H,3,0)</f>
        <v>-</v>
      </c>
      <c r="H28" s="162" t="str">
        <f>VLOOKUP(36214,EOL!D:H,3,0)</f>
        <v>-</v>
      </c>
      <c r="I28" s="164" t="str">
        <f>VLOOKUP(34973,EOL!D:H,3,0)</f>
        <v>-</v>
      </c>
      <c r="L28" s="142" t="s">
        <v>3</v>
      </c>
      <c r="M28" s="145" t="str">
        <f>IF(VLOOKUP(44329,EOL!D:K,8,0)="A",(VLOOKUP(44329,EOL!D:H,4,0)*1.04+2.71)/6.32,"-")</f>
        <v>-</v>
      </c>
      <c r="N28" s="141" t="str">
        <f>IF(VLOOKUP(44329,EOL!D:K,8,0)="A",(VLOOKUP(44329,EOL!D:H,5,0)*1.04+2.71)/6.32,"-")</f>
        <v>-</v>
      </c>
    </row>
    <row r="29" spans="1:15">
      <c r="A29" s="109" t="s">
        <v>144</v>
      </c>
      <c r="B29" s="110" t="s">
        <v>145</v>
      </c>
      <c r="C29" s="116">
        <f>VLOOKUP(33884,EOL!D:H,3,0)</f>
        <v>2.2149999999999999</v>
      </c>
      <c r="D29" s="111">
        <f>IF(C29="-","-",C29-$C$4)</f>
        <v>0.50499999999999989</v>
      </c>
      <c r="E29" s="72" t="str">
        <f>IF(VLOOKUP(44746,EOL!D:K,8,0)="A",VLOOKUP(44746,EOL!D:K,3,0),IF(VLOOKUP(48078,EOL!D:K,8,0)="A",VLOOKUP(48078,EOL!D:K,3,0),"-"))</f>
        <v>-</v>
      </c>
      <c r="F29" s="127" t="str">
        <f>IF(E29="-","-",E29-E$4)</f>
        <v>-</v>
      </c>
      <c r="G29" s="161" t="str">
        <f>VLOOKUP(41283,EOL!D:H,3,0)</f>
        <v>-</v>
      </c>
      <c r="H29" s="162" t="str">
        <f>VLOOKUP(41313,EOL!D:H,3,0)</f>
        <v>-</v>
      </c>
      <c r="I29" s="164" t="str">
        <f>VLOOKUP(41229,EOL!D:H,3,0)</f>
        <v>-</v>
      </c>
      <c r="L29" s="143"/>
      <c r="M29" s="146" t="str">
        <f>IF(VLOOKUP(44395,EOL!D:K,8,0)="A",(VLOOKUP(44395,EOL!D:H,4,0)*1.04+2.71)/6.32,"-")</f>
        <v>-</v>
      </c>
      <c r="N29" s="144" t="str">
        <f>IF(VLOOKUP(44395,EOL!D:K,8,0)="A",(VLOOKUP(44395,EOL!D:H,5,0)*1.04+2.71)/6.32,"-")</f>
        <v>-</v>
      </c>
    </row>
    <row r="30" spans="1:15">
      <c r="A30" s="109" t="s">
        <v>146</v>
      </c>
      <c r="B30" s="112" t="s">
        <v>147</v>
      </c>
      <c r="C30" s="115" t="str">
        <f>VLOOKUP(27664,EOL!D:H,3,0)</f>
        <v>-</v>
      </c>
      <c r="D30" s="113" t="str">
        <f>IF(C30="-","-",C30-$C$4)</f>
        <v>-</v>
      </c>
      <c r="E30" s="80" t="str">
        <f>IF(VLOOKUP(28273,EOL!D:K,8,0)="A",VLOOKUP(28273,EOL!D:K,3,0),IF(VLOOKUP(28325,EOL!D:K,8,0)="A",VLOOKUP(28325,EOL!D:K,3,0),"-"))</f>
        <v>-</v>
      </c>
      <c r="F30" s="128" t="str">
        <f>IF(E30="-","-",E30-E$4)</f>
        <v>-</v>
      </c>
      <c r="G30" s="165" t="str">
        <f>VLOOKUP(47099,EOL!D:H,3,0)</f>
        <v>-</v>
      </c>
      <c r="H30" s="166" t="str">
        <f>VLOOKUP(37116,EOL!D:H,3,0)</f>
        <v>-</v>
      </c>
      <c r="I30" s="167" t="str">
        <f>VLOOKUP(37322,EOL!D:H,3,0)</f>
        <v>-</v>
      </c>
      <c r="K30" s="132"/>
    </row>
  </sheetData>
  <sheetCalcPr fullCalcOnLoad="1"/>
  <phoneticPr fontId="7" type="noConversion"/>
  <conditionalFormatting sqref="F4">
    <cfRule type="cellIs" dxfId="2" priority="1" stopIfTrue="1" operator="lessThan">
      <formula>0</formula>
    </cfRule>
  </conditionalFormatting>
  <conditionalFormatting sqref="F22">
    <cfRule type="cellIs" dxfId="1" priority="2" stopIfTrue="1" operator="lessThan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"/>
  <sheetViews>
    <sheetView tabSelected="1" workbookViewId="0">
      <selection activeCell="B1" sqref="B1"/>
    </sheetView>
  </sheetViews>
  <sheetFormatPr defaultRowHeight="12.75"/>
  <cols>
    <col min="1" max="1" width="15.85546875" bestFit="1" customWidth="1"/>
    <col min="4" max="4" width="7.28515625" customWidth="1"/>
    <col min="5" max="5" width="13.28515625" bestFit="1" customWidth="1"/>
    <col min="9" max="9" width="7.85546875" customWidth="1"/>
    <col min="10" max="10" width="8.28515625" customWidth="1"/>
    <col min="11" max="11" width="7.140625" customWidth="1"/>
  </cols>
  <sheetData>
    <row r="1" spans="1:11" ht="15.75">
      <c r="A1" s="17" t="s">
        <v>83</v>
      </c>
      <c r="B1" s="18">
        <f>'1'!C1</f>
        <v>2.5649999999999999</v>
      </c>
      <c r="D1" s="185">
        <f>F1-B1</f>
        <v>-0.85499999999999998</v>
      </c>
      <c r="E1" s="17" t="s">
        <v>84</v>
      </c>
      <c r="F1" s="19">
        <f>(VLOOKUP(27763,EOL!D:H,4,0)+VLOOKUP(27763,EOL!D:H,5,0))/2</f>
        <v>1.71</v>
      </c>
      <c r="J1" s="20"/>
    </row>
    <row r="2" spans="1:11">
      <c r="H2" s="169" t="s">
        <v>20</v>
      </c>
    </row>
    <row r="3" spans="1:11">
      <c r="A3" s="21"/>
      <c r="B3" s="22"/>
      <c r="C3" s="22" t="s">
        <v>84</v>
      </c>
      <c r="D3" s="22" t="s">
        <v>85</v>
      </c>
      <c r="E3" s="22" t="s">
        <v>85</v>
      </c>
      <c r="F3" s="22" t="s">
        <v>85</v>
      </c>
      <c r="G3" s="23" t="s">
        <v>86</v>
      </c>
      <c r="H3" s="22" t="s">
        <v>29</v>
      </c>
      <c r="I3" s="22" t="s">
        <v>87</v>
      </c>
      <c r="J3" s="24" t="s">
        <v>88</v>
      </c>
      <c r="K3" s="24" t="s">
        <v>89</v>
      </c>
    </row>
    <row r="4" spans="1:11" ht="13.5" thickBot="1">
      <c r="A4" s="25"/>
      <c r="B4" s="26" t="s">
        <v>90</v>
      </c>
      <c r="C4" s="26" t="s">
        <v>91</v>
      </c>
      <c r="D4" s="26" t="s">
        <v>19</v>
      </c>
      <c r="E4" s="26" t="s">
        <v>92</v>
      </c>
      <c r="F4" s="26" t="s">
        <v>93</v>
      </c>
      <c r="G4" s="26" t="s">
        <v>94</v>
      </c>
      <c r="H4" s="26" t="s">
        <v>30</v>
      </c>
      <c r="I4" s="26" t="s">
        <v>95</v>
      </c>
      <c r="J4" s="27"/>
      <c r="K4" s="27"/>
    </row>
    <row r="5" spans="1:11" ht="16.5" thickTop="1">
      <c r="A5" s="28" t="s">
        <v>96</v>
      </c>
      <c r="B5" s="29">
        <f>(VLOOKUP(27947,EOL!D:H,4,0)+VLOOKUP(27947,EOL!D:H,5,0))/2</f>
        <v>1.865</v>
      </c>
      <c r="C5" s="30">
        <f>B5-F1</f>
        <v>0.15500000000000003</v>
      </c>
      <c r="D5" s="176">
        <f>B5-F5</f>
        <v>0.91</v>
      </c>
      <c r="E5" s="31" t="s">
        <v>97</v>
      </c>
      <c r="F5" s="32">
        <f>(VLOOKUP(27771,EOL!D:H,4,0)+VLOOKUP(27771,EOL!D:H,5,0))/2</f>
        <v>0.95499999999999996</v>
      </c>
      <c r="G5" s="33">
        <f>VLOOKUP(27947,EOL!D:H,4,0)-VLOOKUP(27771,EOL!D:H,5,0)-I5</f>
        <v>-0.17175812539316393</v>
      </c>
      <c r="H5" s="33">
        <f>I5-ABS(VLOOKUP(27947,EOL!D:H,5,0)-VLOOKUP(27771,EOL!D:H,4,0))</f>
        <v>-1.7882418746068358</v>
      </c>
      <c r="I5" s="34">
        <f>F5/(1-J5)-F5+K5</f>
        <v>0.10175812539316409</v>
      </c>
      <c r="J5" s="35">
        <v>4.6199999999999998E-2</v>
      </c>
      <c r="K5" s="36">
        <v>5.5500000000000001E-2</v>
      </c>
    </row>
    <row r="6" spans="1:11" ht="15.75">
      <c r="A6" s="28"/>
      <c r="B6" s="37"/>
      <c r="C6" s="37"/>
      <c r="D6" s="173"/>
      <c r="E6" s="31"/>
      <c r="F6" s="170">
        <f>F5-F1</f>
        <v>-0.755</v>
      </c>
      <c r="G6" s="33"/>
      <c r="H6" s="33"/>
      <c r="I6" s="34"/>
      <c r="J6" s="36"/>
      <c r="K6" s="36"/>
    </row>
    <row r="7" spans="1:11" ht="15.75">
      <c r="A7" s="28" t="s">
        <v>98</v>
      </c>
      <c r="B7" s="29">
        <f>(VLOOKUP(31834,EOL!D:H,4,0)+VLOOKUP(31834,EOL!D:H,5,0))/2</f>
        <v>1.8250000000000002</v>
      </c>
      <c r="C7" s="30">
        <f>B7-F1</f>
        <v>0.11500000000000021</v>
      </c>
      <c r="D7" s="172">
        <f>B7-F7</f>
        <v>0.87000000000000022</v>
      </c>
      <c r="E7" s="31" t="s">
        <v>97</v>
      </c>
      <c r="F7" s="32">
        <f>(VLOOKUP(27771,EOL!D:H,4,0)+VLOOKUP(27771,EOL!D:H,5,0))/2</f>
        <v>0.95499999999999996</v>
      </c>
      <c r="G7" s="33">
        <f>VLOOKUP(31834,EOL!D:H,4,0)-VLOOKUP(27771,EOL!D:H,5,0)-I7</f>
        <v>-0.21175812539316397</v>
      </c>
      <c r="H7" s="33">
        <f>I7-ABS(VLOOKUP(31834,EOL!D:H,5,0)-VLOOKUP(27771,EOL!D:H,4,0))</f>
        <v>-1.748241874606836</v>
      </c>
      <c r="I7" s="34">
        <f>F7/(1-J7)-F7+K7</f>
        <v>0.10175812539316409</v>
      </c>
      <c r="J7" s="35">
        <v>4.6199999999999998E-2</v>
      </c>
      <c r="K7" s="36">
        <v>5.5500000000000001E-2</v>
      </c>
    </row>
    <row r="8" spans="1:11" ht="15.75">
      <c r="A8" s="28"/>
      <c r="B8" s="37"/>
      <c r="C8" s="37"/>
      <c r="D8" s="173"/>
      <c r="E8" s="31"/>
      <c r="F8" s="170">
        <f>F9-F1</f>
        <v>-0.16250000000000009</v>
      </c>
      <c r="G8" s="33"/>
      <c r="H8" s="33"/>
      <c r="I8" s="34"/>
      <c r="J8" s="36"/>
      <c r="K8" s="36"/>
    </row>
    <row r="9" spans="1:11" ht="15.75">
      <c r="A9" s="28" t="s">
        <v>99</v>
      </c>
      <c r="B9" s="29">
        <f>(VLOOKUP(27830,EOL!D:H,4,0)+VLOOKUP(27830,EOL!D:H,5,0))/2</f>
        <v>1.7749999999999999</v>
      </c>
      <c r="C9" s="30">
        <f>B9-F1</f>
        <v>6.4999999999999947E-2</v>
      </c>
      <c r="D9" s="172">
        <f>B9-F9</f>
        <v>0.22750000000000004</v>
      </c>
      <c r="E9" s="31" t="s">
        <v>100</v>
      </c>
      <c r="F9" s="32">
        <f>(VLOOKUP(27769,EOL!D:H,4,0)+VLOOKUP(27769,EOL!D:H,5,0))/2</f>
        <v>1.5474999999999999</v>
      </c>
      <c r="G9" s="33">
        <f>VLOOKUP(27830,EOL!D:H,4,0)-VLOOKUP(27769,EOL!D:H,5,0)-I9</f>
        <v>-5.9880919690530693E-2</v>
      </c>
      <c r="H9" s="33">
        <f>I9-ABS(VLOOKUP(27830,EOL!D:H,5,0)-VLOOKUP(27769,EOL!D:H,4,0))</f>
        <v>-2.5119080309469272E-2</v>
      </c>
      <c r="I9" s="34">
        <f>F9/(1-J9)-F9+K9</f>
        <v>0.24488091969053075</v>
      </c>
      <c r="J9" s="35">
        <v>8.2299999999999998E-2</v>
      </c>
      <c r="K9" s="36">
        <f>0.1047+0.0014</f>
        <v>0.1061</v>
      </c>
    </row>
    <row r="10" spans="1:11" ht="15.75">
      <c r="A10" s="38"/>
      <c r="B10" s="39"/>
      <c r="C10" s="39"/>
      <c r="D10" s="177">
        <f>B9-F10</f>
        <v>0.17249999999999988</v>
      </c>
      <c r="E10" s="40" t="s">
        <v>101</v>
      </c>
      <c r="F10" s="41">
        <f>(VLOOKUP(27767,EOL!D:H,4,0)+VLOOKUP(27767,EOL!D:H,5,0))/2</f>
        <v>1.6025</v>
      </c>
      <c r="G10" s="42">
        <f>VLOOKUP(27830,EOL!D:H,4,0)-VLOOKUP(27767,EOL!D:H,5,0)-I10</f>
        <v>-0.11159083007388104</v>
      </c>
      <c r="H10" s="42">
        <f>I10-ABS(VLOOKUP(27830,EOL!D:H,5,0)-VLOOKUP(27767,EOL!D:H,4,0))</f>
        <v>2.6590830073880856E-2</v>
      </c>
      <c r="I10" s="43">
        <f>F10/(1-J10)-F10+K10</f>
        <v>0.24159083007388094</v>
      </c>
      <c r="J10" s="44">
        <v>7.9600000000000004E-2</v>
      </c>
      <c r="K10" s="45">
        <f>0.1016+0.0014</f>
        <v>0.10299999999999999</v>
      </c>
    </row>
    <row r="11" spans="1:11">
      <c r="F11" s="171">
        <f>F10-F1</f>
        <v>-0.10749999999999993</v>
      </c>
    </row>
  </sheetData>
  <sheetCalcPr fullCalcOnLoad="1"/>
  <phoneticPr fontId="7" type="noConversion"/>
  <conditionalFormatting sqref="G5:H10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96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2"/>
  <cols>
    <col min="1" max="1" width="11.85546875" style="2" customWidth="1"/>
    <col min="2" max="2" width="58.140625" style="2" hidden="1" customWidth="1"/>
    <col min="3" max="3" width="54.5703125" style="2" bestFit="1" customWidth="1"/>
    <col min="4" max="4" width="7" style="11" bestFit="1" customWidth="1"/>
    <col min="5" max="5" width="8.85546875" style="7" customWidth="1"/>
    <col min="6" max="6" width="7" style="118" customWidth="1"/>
    <col min="7" max="8" width="8.42578125" style="178" bestFit="1" customWidth="1"/>
    <col min="9" max="10" width="9.140625" style="2"/>
    <col min="11" max="11" width="6.28515625" style="14" bestFit="1" customWidth="1"/>
    <col min="12" max="12" width="9.140625" style="2"/>
    <col min="13" max="13" width="2.140625" style="2" bestFit="1" customWidth="1"/>
    <col min="14" max="14" width="10.140625" style="2" bestFit="1" customWidth="1"/>
    <col min="15" max="16384" width="9.140625" style="2"/>
  </cols>
  <sheetData>
    <row r="1" spans="2:14">
      <c r="B1" s="2" t="s">
        <v>71</v>
      </c>
      <c r="C1" s="9" t="s">
        <v>0</v>
      </c>
    </row>
    <row r="2" spans="2:14">
      <c r="C2" s="1" t="s">
        <v>43</v>
      </c>
      <c r="D2" s="12" t="s">
        <v>44</v>
      </c>
      <c r="F2" s="119" t="s">
        <v>148</v>
      </c>
      <c r="G2" s="179" t="s">
        <v>45</v>
      </c>
      <c r="H2" s="180" t="s">
        <v>46</v>
      </c>
      <c r="I2" s="4" t="s">
        <v>68</v>
      </c>
      <c r="J2" s="5" t="s">
        <v>69</v>
      </c>
      <c r="K2" s="13" t="s">
        <v>72</v>
      </c>
    </row>
    <row r="3" spans="2:14">
      <c r="C3" s="2" t="s">
        <v>157</v>
      </c>
      <c r="D3" s="16">
        <v>41970</v>
      </c>
      <c r="E3" s="6"/>
      <c r="F3" s="119" t="str">
        <f>IF(AND(K3="A",ABS(G3)&gt;0,ABS(H3)&gt;0),(G3+H3)/2,"-")</f>
        <v>-</v>
      </c>
      <c r="G3" s="181">
        <v>4.82</v>
      </c>
      <c r="H3" s="181">
        <v>4.84</v>
      </c>
      <c r="I3" s="8">
        <v>10000</v>
      </c>
      <c r="J3" s="8">
        <v>10000</v>
      </c>
      <c r="K3" s="14" t="s">
        <v>73</v>
      </c>
      <c r="L3" s="153"/>
    </row>
    <row r="4" spans="2:14">
      <c r="C4" s="2" t="s">
        <v>225</v>
      </c>
      <c r="D4" s="16">
        <v>27827</v>
      </c>
      <c r="E4" s="6"/>
      <c r="F4" s="119" t="str">
        <f t="shared" ref="F4:F56" si="0">IF(AND(K4="A",ABS(G4)&gt;0,ABS(H4)&gt;0),(G4+H4)/2,"-")</f>
        <v>-</v>
      </c>
      <c r="G4" s="182">
        <v>2.35</v>
      </c>
      <c r="H4" s="182">
        <v>2.38</v>
      </c>
      <c r="I4" s="8">
        <v>10000</v>
      </c>
      <c r="J4" s="8">
        <v>10000</v>
      </c>
      <c r="K4" s="14" t="s">
        <v>73</v>
      </c>
      <c r="M4" s="15" t="s">
        <v>73</v>
      </c>
      <c r="N4" s="2" t="s">
        <v>78</v>
      </c>
    </row>
    <row r="5" spans="2:14">
      <c r="C5" s="2" t="s">
        <v>211</v>
      </c>
      <c r="D5" s="16">
        <v>27765</v>
      </c>
      <c r="E5" s="6"/>
      <c r="F5" s="119">
        <f t="shared" si="0"/>
        <v>2.4249999999999998</v>
      </c>
      <c r="G5" s="183">
        <v>2.41</v>
      </c>
      <c r="H5" s="183">
        <v>2.44</v>
      </c>
      <c r="I5" s="8">
        <v>10000</v>
      </c>
      <c r="J5" s="8">
        <v>10000</v>
      </c>
      <c r="K5" s="14" t="s">
        <v>74</v>
      </c>
      <c r="M5" s="15" t="s">
        <v>74</v>
      </c>
      <c r="N5" s="2" t="s">
        <v>76</v>
      </c>
    </row>
    <row r="6" spans="2:14">
      <c r="C6" s="2" t="s">
        <v>219</v>
      </c>
      <c r="D6" s="16">
        <v>27817</v>
      </c>
      <c r="E6" s="6"/>
      <c r="F6" s="119">
        <f t="shared" si="0"/>
        <v>1.9649999999999999</v>
      </c>
      <c r="G6" s="183">
        <v>1.68</v>
      </c>
      <c r="H6" s="181">
        <v>2.25</v>
      </c>
      <c r="I6" s="175">
        <v>20000</v>
      </c>
      <c r="J6" s="8">
        <v>1</v>
      </c>
      <c r="K6" s="14" t="s">
        <v>74</v>
      </c>
      <c r="M6" s="15" t="s">
        <v>75</v>
      </c>
      <c r="N6" s="2" t="s">
        <v>77</v>
      </c>
    </row>
    <row r="7" spans="2:14">
      <c r="C7" s="2" t="s">
        <v>267</v>
      </c>
      <c r="D7" s="3">
        <v>31560</v>
      </c>
      <c r="E7" s="6"/>
      <c r="F7" s="119" t="str">
        <f t="shared" si="0"/>
        <v>-</v>
      </c>
      <c r="G7" s="181">
        <v>2.87</v>
      </c>
      <c r="H7" s="181"/>
      <c r="I7" s="8">
        <v>10000</v>
      </c>
      <c r="J7" s="8"/>
      <c r="K7" s="14" t="s">
        <v>73</v>
      </c>
    </row>
    <row r="8" spans="2:14">
      <c r="C8" s="2" t="s">
        <v>222</v>
      </c>
      <c r="D8" s="3">
        <v>27824</v>
      </c>
      <c r="E8" s="6"/>
      <c r="F8" s="119">
        <f t="shared" si="0"/>
        <v>2.2800000000000002</v>
      </c>
      <c r="G8" s="183">
        <v>2.2549999999999999</v>
      </c>
      <c r="H8" s="183">
        <v>2.3050000000000002</v>
      </c>
      <c r="I8" s="129">
        <v>5000</v>
      </c>
      <c r="J8" s="129">
        <v>5000</v>
      </c>
      <c r="K8" s="14" t="s">
        <v>74</v>
      </c>
    </row>
    <row r="9" spans="2:14">
      <c r="C9" s="2" t="s">
        <v>276</v>
      </c>
      <c r="D9" s="3">
        <v>43798</v>
      </c>
      <c r="E9" s="6"/>
      <c r="F9" s="119" t="str">
        <f t="shared" si="0"/>
        <v>-</v>
      </c>
      <c r="G9" s="181">
        <v>1.8</v>
      </c>
      <c r="H9" s="181">
        <v>1.84</v>
      </c>
      <c r="I9" s="8">
        <v>18465</v>
      </c>
      <c r="J9" s="8">
        <v>5000</v>
      </c>
      <c r="K9" s="14" t="s">
        <v>73</v>
      </c>
    </row>
    <row r="10" spans="2:14">
      <c r="C10" s="2" t="s">
        <v>224</v>
      </c>
      <c r="D10" s="3">
        <v>27826</v>
      </c>
      <c r="E10" s="6"/>
      <c r="F10" s="119">
        <f t="shared" si="0"/>
        <v>1.96</v>
      </c>
      <c r="G10" s="182">
        <v>1.9350000000000001</v>
      </c>
      <c r="H10" s="182">
        <v>1.9850000000000001</v>
      </c>
      <c r="I10" s="129">
        <v>2000</v>
      </c>
      <c r="J10" s="8">
        <v>5000</v>
      </c>
      <c r="K10" s="14" t="s">
        <v>74</v>
      </c>
    </row>
    <row r="11" spans="2:14">
      <c r="C11" s="2" t="s">
        <v>212</v>
      </c>
      <c r="D11" s="16">
        <v>27766</v>
      </c>
      <c r="E11" s="6"/>
      <c r="F11" s="119">
        <f t="shared" si="0"/>
        <v>1.62</v>
      </c>
      <c r="G11" s="183">
        <v>1.6</v>
      </c>
      <c r="H11" s="182">
        <v>1.64</v>
      </c>
      <c r="I11" s="175">
        <v>10000</v>
      </c>
      <c r="J11" s="175">
        <v>10000</v>
      </c>
      <c r="K11" s="14" t="s">
        <v>74</v>
      </c>
    </row>
    <row r="12" spans="2:14">
      <c r="C12" s="2" t="s">
        <v>226</v>
      </c>
      <c r="D12" s="16">
        <v>27830</v>
      </c>
      <c r="E12" s="6"/>
      <c r="F12" s="119">
        <f t="shared" si="0"/>
        <v>1.7749999999999999</v>
      </c>
      <c r="G12" s="182">
        <v>1.75</v>
      </c>
      <c r="H12" s="182">
        <v>1.8</v>
      </c>
      <c r="I12" s="8">
        <v>5000</v>
      </c>
      <c r="J12" s="8">
        <v>5000</v>
      </c>
      <c r="K12" s="14" t="s">
        <v>74</v>
      </c>
    </row>
    <row r="13" spans="2:14">
      <c r="C13" s="2" t="s">
        <v>227</v>
      </c>
      <c r="D13" s="16">
        <v>27947</v>
      </c>
      <c r="E13" s="6"/>
      <c r="F13" s="119">
        <f t="shared" si="0"/>
        <v>1.865</v>
      </c>
      <c r="G13" s="181">
        <v>1.84</v>
      </c>
      <c r="H13" s="181">
        <v>1.89</v>
      </c>
      <c r="I13" s="8">
        <v>5000</v>
      </c>
      <c r="J13" s="8">
        <v>5000</v>
      </c>
      <c r="K13" s="14" t="s">
        <v>74</v>
      </c>
    </row>
    <row r="14" spans="2:14">
      <c r="C14" s="2" t="s">
        <v>209</v>
      </c>
      <c r="D14" s="16">
        <v>27763</v>
      </c>
      <c r="E14" s="6"/>
      <c r="F14" s="119">
        <f t="shared" si="0"/>
        <v>1.71</v>
      </c>
      <c r="G14" s="183">
        <v>1.7</v>
      </c>
      <c r="H14" s="182">
        <v>1.72</v>
      </c>
      <c r="I14" s="8">
        <v>10000</v>
      </c>
      <c r="J14" s="8">
        <v>10000</v>
      </c>
      <c r="K14" s="14" t="s">
        <v>74</v>
      </c>
    </row>
    <row r="15" spans="2:14">
      <c r="C15" s="2" t="s">
        <v>261</v>
      </c>
      <c r="D15" s="2">
        <v>29602</v>
      </c>
      <c r="E15" s="6"/>
      <c r="F15" s="119" t="str">
        <f t="shared" si="0"/>
        <v>-</v>
      </c>
      <c r="G15" s="181">
        <v>2.15</v>
      </c>
      <c r="H15" s="181"/>
      <c r="I15" s="8">
        <v>17007</v>
      </c>
      <c r="J15" s="8"/>
      <c r="K15" s="14" t="s">
        <v>73</v>
      </c>
    </row>
    <row r="16" spans="2:14">
      <c r="C16" s="2" t="s">
        <v>266</v>
      </c>
      <c r="D16" s="2">
        <v>30854</v>
      </c>
      <c r="E16" s="6"/>
      <c r="F16" s="119" t="str">
        <f t="shared" si="0"/>
        <v>-</v>
      </c>
      <c r="G16" s="181">
        <v>3.47</v>
      </c>
      <c r="H16" s="181">
        <v>3.52</v>
      </c>
      <c r="I16" s="8">
        <v>5000</v>
      </c>
      <c r="J16" s="8">
        <v>5000</v>
      </c>
      <c r="K16" s="14" t="s">
        <v>73</v>
      </c>
    </row>
    <row r="17" spans="3:11">
      <c r="C17" s="2" t="s">
        <v>220</v>
      </c>
      <c r="D17" s="2">
        <v>27818</v>
      </c>
      <c r="E17" s="6"/>
      <c r="F17" s="119">
        <f t="shared" si="0"/>
        <v>1.855</v>
      </c>
      <c r="G17" s="182">
        <v>1.83</v>
      </c>
      <c r="H17" s="182">
        <v>1.88</v>
      </c>
      <c r="I17" s="175">
        <v>5000</v>
      </c>
      <c r="J17" s="175">
        <v>5000</v>
      </c>
      <c r="K17" s="14" t="s">
        <v>74</v>
      </c>
    </row>
    <row r="18" spans="3:11">
      <c r="C18" s="2" t="s">
        <v>275</v>
      </c>
      <c r="D18" s="2">
        <v>35041</v>
      </c>
      <c r="E18" s="6"/>
      <c r="F18" s="119" t="str">
        <f t="shared" si="0"/>
        <v>-</v>
      </c>
      <c r="G18" s="182">
        <v>1.88</v>
      </c>
      <c r="H18" s="182">
        <v>0</v>
      </c>
      <c r="I18" s="8">
        <v>10000</v>
      </c>
      <c r="J18" s="129">
        <v>0</v>
      </c>
      <c r="K18" s="14" t="s">
        <v>74</v>
      </c>
    </row>
    <row r="19" spans="3:11">
      <c r="C19" s="2" t="s">
        <v>213</v>
      </c>
      <c r="D19" s="2">
        <v>27767</v>
      </c>
      <c r="E19" s="6"/>
      <c r="F19" s="119">
        <f t="shared" si="0"/>
        <v>1.6025</v>
      </c>
      <c r="G19" s="183">
        <v>1.585</v>
      </c>
      <c r="H19" s="182">
        <v>1.62</v>
      </c>
      <c r="I19" s="8">
        <v>5000</v>
      </c>
      <c r="J19" s="8">
        <v>5000</v>
      </c>
      <c r="K19" s="14" t="s">
        <v>74</v>
      </c>
    </row>
    <row r="20" spans="3:11">
      <c r="C20" s="2" t="s">
        <v>218</v>
      </c>
      <c r="D20" s="2">
        <v>27815</v>
      </c>
      <c r="E20" s="6"/>
      <c r="F20" s="119">
        <f t="shared" si="0"/>
        <v>1.732</v>
      </c>
      <c r="G20" s="182">
        <v>1.722</v>
      </c>
      <c r="H20" s="182">
        <v>1.742</v>
      </c>
      <c r="I20" s="175">
        <v>10000</v>
      </c>
      <c r="J20" s="175">
        <v>10000</v>
      </c>
      <c r="K20" s="14" t="s">
        <v>74</v>
      </c>
    </row>
    <row r="21" spans="3:11">
      <c r="C21" s="2" t="s">
        <v>214</v>
      </c>
      <c r="D21" s="2">
        <v>27769</v>
      </c>
      <c r="E21" s="6"/>
      <c r="F21" s="119">
        <f t="shared" si="0"/>
        <v>1.5474999999999999</v>
      </c>
      <c r="G21" s="183">
        <v>1.53</v>
      </c>
      <c r="H21" s="183">
        <v>1.5649999999999999</v>
      </c>
      <c r="I21" s="8">
        <v>5000</v>
      </c>
      <c r="J21" s="8">
        <v>5000</v>
      </c>
      <c r="K21" s="14" t="s">
        <v>74</v>
      </c>
    </row>
    <row r="22" spans="3:11">
      <c r="C22" s="2" t="s">
        <v>268</v>
      </c>
      <c r="D22" s="2">
        <v>31834</v>
      </c>
      <c r="E22" s="6"/>
      <c r="F22" s="119">
        <f t="shared" si="0"/>
        <v>1.8250000000000002</v>
      </c>
      <c r="G22" s="181">
        <v>1.8</v>
      </c>
      <c r="H22" s="181">
        <v>1.85</v>
      </c>
      <c r="I22" s="8">
        <v>5000</v>
      </c>
      <c r="J22" s="8">
        <v>5000</v>
      </c>
      <c r="K22" s="14" t="s">
        <v>74</v>
      </c>
    </row>
    <row r="23" spans="3:11">
      <c r="C23" s="2" t="s">
        <v>215</v>
      </c>
      <c r="D23" s="2">
        <v>27771</v>
      </c>
      <c r="E23" s="6"/>
      <c r="F23" s="119" t="str">
        <f t="shared" si="0"/>
        <v>-</v>
      </c>
      <c r="G23" s="181"/>
      <c r="H23" s="181">
        <v>1.91</v>
      </c>
      <c r="I23" s="8"/>
      <c r="J23" s="8">
        <v>10000</v>
      </c>
      <c r="K23" s="14" t="s">
        <v>73</v>
      </c>
    </row>
    <row r="24" spans="3:11">
      <c r="C24" s="2" t="s">
        <v>203</v>
      </c>
      <c r="D24" s="2">
        <v>27664</v>
      </c>
      <c r="E24" s="6"/>
      <c r="F24" s="119" t="str">
        <f t="shared" si="0"/>
        <v>-</v>
      </c>
      <c r="G24" s="181">
        <v>3.53</v>
      </c>
      <c r="H24" s="181">
        <v>3.56</v>
      </c>
      <c r="I24" s="8">
        <v>5000</v>
      </c>
      <c r="J24" s="8">
        <v>5000</v>
      </c>
      <c r="K24" s="14" t="s">
        <v>73</v>
      </c>
    </row>
    <row r="25" spans="3:11">
      <c r="C25" s="2" t="s">
        <v>206</v>
      </c>
      <c r="D25" s="2">
        <v>27760</v>
      </c>
      <c r="E25" s="6"/>
      <c r="F25" s="119" t="str">
        <f t="shared" si="0"/>
        <v>-</v>
      </c>
      <c r="G25" s="182">
        <v>1.9</v>
      </c>
      <c r="H25" s="181">
        <v>0</v>
      </c>
      <c r="I25" s="175">
        <v>5000</v>
      </c>
      <c r="J25" s="8">
        <v>0</v>
      </c>
      <c r="K25" s="14" t="s">
        <v>74</v>
      </c>
    </row>
    <row r="26" spans="3:11">
      <c r="C26" s="2" t="s">
        <v>217</v>
      </c>
      <c r="D26" s="2">
        <v>27814</v>
      </c>
      <c r="E26" s="6"/>
      <c r="F26" s="119" t="str">
        <f t="shared" si="0"/>
        <v>-</v>
      </c>
      <c r="G26" s="182">
        <v>2.0150000000000001</v>
      </c>
      <c r="H26" s="181">
        <v>0</v>
      </c>
      <c r="I26" s="8">
        <v>10000</v>
      </c>
      <c r="J26" s="8">
        <v>0</v>
      </c>
      <c r="K26" s="14" t="s">
        <v>74</v>
      </c>
    </row>
    <row r="27" spans="3:11">
      <c r="C27" s="2" t="s">
        <v>208</v>
      </c>
      <c r="D27" s="2">
        <v>27762</v>
      </c>
      <c r="E27" s="6"/>
      <c r="F27" s="119">
        <f t="shared" si="0"/>
        <v>2.42</v>
      </c>
      <c r="G27" s="183">
        <v>2.4</v>
      </c>
      <c r="H27" s="183">
        <v>2.44</v>
      </c>
      <c r="I27" s="129">
        <v>10000</v>
      </c>
      <c r="J27" s="8">
        <v>10000</v>
      </c>
      <c r="K27" s="14" t="s">
        <v>74</v>
      </c>
    </row>
    <row r="28" spans="3:11">
      <c r="C28" s="2" t="s">
        <v>207</v>
      </c>
      <c r="D28" s="2">
        <v>27761</v>
      </c>
      <c r="E28" s="6"/>
      <c r="F28" s="119">
        <f t="shared" si="0"/>
        <v>2.2250000000000001</v>
      </c>
      <c r="G28" s="182">
        <v>2.21</v>
      </c>
      <c r="H28" s="182">
        <v>2.2400000000000002</v>
      </c>
      <c r="I28" s="175">
        <v>10000</v>
      </c>
      <c r="J28" s="175">
        <v>10000</v>
      </c>
      <c r="K28" s="14" t="s">
        <v>74</v>
      </c>
    </row>
    <row r="29" spans="3:11">
      <c r="C29" s="2" t="s">
        <v>211</v>
      </c>
      <c r="D29" s="2">
        <v>27765</v>
      </c>
      <c r="E29" s="6"/>
      <c r="F29" s="119">
        <f t="shared" si="0"/>
        <v>2.4249999999999998</v>
      </c>
      <c r="G29" s="183">
        <v>2.41</v>
      </c>
      <c r="H29" s="183">
        <v>2.44</v>
      </c>
      <c r="I29" s="8">
        <v>10000</v>
      </c>
      <c r="J29" s="8">
        <v>10000</v>
      </c>
      <c r="K29" s="14" t="s">
        <v>74</v>
      </c>
    </row>
    <row r="30" spans="3:11">
      <c r="C30" s="2" t="s">
        <v>223</v>
      </c>
      <c r="D30" s="2">
        <v>27825</v>
      </c>
      <c r="E30" s="6"/>
      <c r="F30" s="119">
        <f t="shared" si="0"/>
        <v>2.21</v>
      </c>
      <c r="G30" s="183">
        <v>2.19</v>
      </c>
      <c r="H30" s="183">
        <v>2.23</v>
      </c>
      <c r="I30" s="175">
        <v>5000</v>
      </c>
      <c r="J30" s="175">
        <v>5000</v>
      </c>
      <c r="K30" s="14" t="s">
        <v>74</v>
      </c>
    </row>
    <row r="31" spans="3:11">
      <c r="C31" s="2" t="s">
        <v>272</v>
      </c>
      <c r="D31" s="2">
        <v>33884</v>
      </c>
      <c r="E31" s="6"/>
      <c r="F31" s="119">
        <f t="shared" si="0"/>
        <v>2.2149999999999999</v>
      </c>
      <c r="G31" s="183">
        <v>2.2000000000000002</v>
      </c>
      <c r="H31" s="183">
        <v>2.23</v>
      </c>
      <c r="I31" s="8">
        <v>5000</v>
      </c>
      <c r="J31" s="8">
        <v>5000</v>
      </c>
      <c r="K31" s="14" t="s">
        <v>74</v>
      </c>
    </row>
    <row r="32" spans="3:11">
      <c r="C32" s="2" t="s">
        <v>274</v>
      </c>
      <c r="D32" s="2">
        <v>34860</v>
      </c>
      <c r="E32" s="6"/>
      <c r="F32" s="119">
        <f t="shared" si="0"/>
        <v>2.2050000000000001</v>
      </c>
      <c r="G32" s="183">
        <v>2.19</v>
      </c>
      <c r="H32" s="183">
        <v>2.2200000000000002</v>
      </c>
      <c r="I32" s="8">
        <v>5000</v>
      </c>
      <c r="J32" s="8">
        <v>5000</v>
      </c>
      <c r="K32" s="14" t="s">
        <v>74</v>
      </c>
    </row>
    <row r="33" spans="3:11">
      <c r="C33" s="2" t="s">
        <v>265</v>
      </c>
      <c r="D33" s="2">
        <v>30016</v>
      </c>
      <c r="E33" s="6"/>
      <c r="F33" s="119">
        <f t="shared" si="0"/>
        <v>2.21</v>
      </c>
      <c r="G33" s="183">
        <v>2.2000000000000002</v>
      </c>
      <c r="H33" s="183">
        <v>2.2200000000000002</v>
      </c>
      <c r="I33" s="8">
        <v>10000</v>
      </c>
      <c r="J33" s="8">
        <v>10000</v>
      </c>
      <c r="K33" s="14" t="s">
        <v>74</v>
      </c>
    </row>
    <row r="34" spans="3:11">
      <c r="C34" s="2" t="s">
        <v>273</v>
      </c>
      <c r="D34" s="2">
        <v>33885</v>
      </c>
      <c r="E34" s="6"/>
      <c r="F34" s="119">
        <f t="shared" si="0"/>
        <v>2.19</v>
      </c>
      <c r="G34" s="183">
        <v>2.1749999999999998</v>
      </c>
      <c r="H34" s="183">
        <v>2.2050000000000001</v>
      </c>
      <c r="I34" s="8">
        <v>5000</v>
      </c>
      <c r="J34" s="8">
        <v>5000</v>
      </c>
      <c r="K34" s="14" t="s">
        <v>74</v>
      </c>
    </row>
    <row r="35" spans="3:11">
      <c r="C35" s="2" t="s">
        <v>47</v>
      </c>
      <c r="D35" s="2">
        <v>37322</v>
      </c>
      <c r="E35" s="6"/>
      <c r="F35" s="119" t="str">
        <f t="shared" si="0"/>
        <v>-</v>
      </c>
      <c r="G35" s="181">
        <v>-0.14000000000000001</v>
      </c>
      <c r="H35" s="181">
        <v>-0.13</v>
      </c>
      <c r="I35" s="8">
        <v>10000</v>
      </c>
      <c r="J35" s="8">
        <v>10000</v>
      </c>
      <c r="K35" s="14" t="s">
        <v>73</v>
      </c>
    </row>
    <row r="36" spans="3:11">
      <c r="C36" s="2" t="s">
        <v>48</v>
      </c>
      <c r="D36" s="2">
        <v>38153</v>
      </c>
      <c r="E36" s="6"/>
      <c r="F36" s="119" t="str">
        <f t="shared" si="0"/>
        <v>-</v>
      </c>
      <c r="G36" s="181"/>
      <c r="H36" s="181"/>
      <c r="I36" s="8"/>
      <c r="J36" s="8"/>
      <c r="K36" s="14" t="s">
        <v>73</v>
      </c>
    </row>
    <row r="37" spans="3:11">
      <c r="C37" s="2" t="s">
        <v>247</v>
      </c>
      <c r="D37" s="2">
        <v>28312</v>
      </c>
      <c r="E37" s="6"/>
      <c r="F37" s="119" t="str">
        <f t="shared" si="0"/>
        <v>-</v>
      </c>
      <c r="G37" s="181">
        <v>2.1549999999999998</v>
      </c>
      <c r="H37" s="181">
        <v>2.1749999999999998</v>
      </c>
      <c r="I37" s="8">
        <v>10000</v>
      </c>
      <c r="J37" s="8">
        <v>2500</v>
      </c>
      <c r="K37" s="14" t="s">
        <v>73</v>
      </c>
    </row>
    <row r="38" spans="3:11">
      <c r="C38" s="2" t="s">
        <v>240</v>
      </c>
      <c r="D38" s="2">
        <v>28251</v>
      </c>
      <c r="E38" s="6"/>
      <c r="F38" s="119" t="str">
        <f t="shared" si="0"/>
        <v>-</v>
      </c>
      <c r="G38" s="181">
        <v>2.4300000000000002</v>
      </c>
      <c r="H38" s="181">
        <v>2.46</v>
      </c>
      <c r="I38" s="8">
        <v>5000</v>
      </c>
      <c r="J38" s="8">
        <v>10000</v>
      </c>
      <c r="K38" s="14" t="s">
        <v>73</v>
      </c>
    </row>
    <row r="39" spans="3:11">
      <c r="C39" s="2" t="s">
        <v>49</v>
      </c>
      <c r="D39" s="2">
        <v>37882</v>
      </c>
      <c r="E39" s="6"/>
      <c r="F39" s="119" t="str">
        <f t="shared" si="0"/>
        <v>-</v>
      </c>
      <c r="G39" s="181">
        <v>1.2500000000000001E-2</v>
      </c>
      <c r="H39" s="181">
        <v>1.7500000000000002E-2</v>
      </c>
      <c r="I39" s="8">
        <v>25000</v>
      </c>
      <c r="J39" s="8">
        <v>15000</v>
      </c>
      <c r="K39" s="14" t="s">
        <v>73</v>
      </c>
    </row>
    <row r="40" spans="3:11">
      <c r="C40" s="2" t="s">
        <v>50</v>
      </c>
      <c r="D40" s="2">
        <v>37881</v>
      </c>
      <c r="E40" s="6"/>
      <c r="F40" s="119" t="str">
        <f t="shared" si="0"/>
        <v>-</v>
      </c>
      <c r="G40" s="181">
        <v>-6.5000000000000002E-2</v>
      </c>
      <c r="H40" s="181">
        <v>-0.06</v>
      </c>
      <c r="I40" s="8">
        <v>15000</v>
      </c>
      <c r="J40" s="8">
        <v>15000</v>
      </c>
      <c r="K40" s="14" t="s">
        <v>73</v>
      </c>
    </row>
    <row r="41" spans="3:11">
      <c r="C41" s="2" t="s">
        <v>204</v>
      </c>
      <c r="D41" s="2">
        <v>27754</v>
      </c>
      <c r="E41" s="6"/>
      <c r="F41" s="119">
        <f t="shared" si="0"/>
        <v>1.6099999999999999</v>
      </c>
      <c r="G41" s="183">
        <v>1.56</v>
      </c>
      <c r="H41" s="183">
        <v>1.66</v>
      </c>
      <c r="I41" s="175">
        <v>5000</v>
      </c>
      <c r="J41" s="175">
        <v>5000</v>
      </c>
      <c r="K41" s="14" t="s">
        <v>74</v>
      </c>
    </row>
    <row r="42" spans="3:11">
      <c r="C42" s="2" t="s">
        <v>41</v>
      </c>
      <c r="D42" s="2">
        <v>36170</v>
      </c>
      <c r="E42" s="6"/>
      <c r="F42" s="119" t="str">
        <f t="shared" si="0"/>
        <v>-</v>
      </c>
      <c r="G42" s="181">
        <v>0.3</v>
      </c>
      <c r="H42" s="181">
        <v>0.32</v>
      </c>
      <c r="I42" s="8">
        <v>10000</v>
      </c>
      <c r="J42" s="8">
        <v>10000</v>
      </c>
      <c r="K42" s="14" t="s">
        <v>73</v>
      </c>
    </row>
    <row r="43" spans="3:11">
      <c r="C43" s="2" t="s">
        <v>51</v>
      </c>
      <c r="D43" s="2">
        <v>35000</v>
      </c>
      <c r="E43" s="6"/>
      <c r="F43" s="119" t="str">
        <f t="shared" si="0"/>
        <v>-</v>
      </c>
      <c r="G43" s="181">
        <v>1.49</v>
      </c>
      <c r="H43" s="181">
        <v>1.5249999999999999</v>
      </c>
      <c r="I43" s="8">
        <v>5000</v>
      </c>
      <c r="J43" s="8">
        <v>5000</v>
      </c>
      <c r="K43" s="14" t="s">
        <v>73</v>
      </c>
    </row>
    <row r="44" spans="3:11">
      <c r="C44" s="2" t="s">
        <v>39</v>
      </c>
      <c r="D44" s="2">
        <v>37104</v>
      </c>
      <c r="E44" s="6"/>
      <c r="F44" s="119" t="str">
        <f t="shared" si="0"/>
        <v>-</v>
      </c>
      <c r="G44" s="181">
        <v>0.26</v>
      </c>
      <c r="H44" s="181">
        <v>0.28000000000000003</v>
      </c>
      <c r="I44" s="8">
        <v>10000</v>
      </c>
      <c r="J44" s="8">
        <v>10000</v>
      </c>
      <c r="K44" s="14" t="s">
        <v>73</v>
      </c>
    </row>
    <row r="45" spans="3:11">
      <c r="C45" s="2" t="s">
        <v>52</v>
      </c>
      <c r="D45" s="2">
        <v>34999</v>
      </c>
      <c r="E45" s="6"/>
      <c r="F45" s="119" t="str">
        <f t="shared" si="0"/>
        <v>-</v>
      </c>
      <c r="G45" s="181">
        <v>0.91500000000000004</v>
      </c>
      <c r="H45" s="181">
        <v>0.95499999999999996</v>
      </c>
      <c r="I45" s="8">
        <v>5000</v>
      </c>
      <c r="J45" s="8">
        <v>5000</v>
      </c>
      <c r="K45" s="14" t="s">
        <v>73</v>
      </c>
    </row>
    <row r="46" spans="3:11">
      <c r="C46" s="2" t="s">
        <v>38</v>
      </c>
      <c r="D46" s="2">
        <v>36162</v>
      </c>
      <c r="E46" s="6"/>
      <c r="F46" s="119" t="str">
        <f t="shared" si="0"/>
        <v>-</v>
      </c>
      <c r="G46" s="181">
        <v>0.19</v>
      </c>
      <c r="H46" s="181">
        <v>0.21</v>
      </c>
      <c r="I46" s="8">
        <v>10000</v>
      </c>
      <c r="J46" s="8">
        <v>10000</v>
      </c>
      <c r="K46" s="14" t="s">
        <v>73</v>
      </c>
    </row>
    <row r="47" spans="3:11">
      <c r="C47" s="2" t="s">
        <v>53</v>
      </c>
      <c r="D47" s="2">
        <v>34998</v>
      </c>
      <c r="E47" s="6"/>
      <c r="F47" s="119" t="str">
        <f t="shared" si="0"/>
        <v>-</v>
      </c>
      <c r="G47" s="181">
        <v>0.24249999999999999</v>
      </c>
      <c r="H47" s="181">
        <v>0.2525</v>
      </c>
      <c r="I47" s="8">
        <v>5000</v>
      </c>
      <c r="J47" s="8">
        <v>5000</v>
      </c>
      <c r="K47" s="14" t="s">
        <v>73</v>
      </c>
    </row>
    <row r="48" spans="3:11">
      <c r="C48" s="2" t="s">
        <v>40</v>
      </c>
      <c r="D48" s="2">
        <v>37073</v>
      </c>
      <c r="E48" s="6"/>
      <c r="F48" s="119" t="str">
        <f t="shared" si="0"/>
        <v>-</v>
      </c>
      <c r="G48" s="181">
        <v>0.16750000000000001</v>
      </c>
      <c r="H48" s="181">
        <v>0.1875</v>
      </c>
      <c r="I48" s="8">
        <v>10000</v>
      </c>
      <c r="J48" s="8">
        <v>10000</v>
      </c>
      <c r="K48" s="14" t="s">
        <v>73</v>
      </c>
    </row>
    <row r="49" spans="3:11">
      <c r="C49" s="2" t="s">
        <v>70</v>
      </c>
      <c r="D49" s="2">
        <v>34993</v>
      </c>
      <c r="E49" s="6"/>
      <c r="F49" s="119" t="str">
        <f t="shared" si="0"/>
        <v>-</v>
      </c>
      <c r="G49" s="181">
        <v>0.35749999999999998</v>
      </c>
      <c r="H49" s="181">
        <v>0.3775</v>
      </c>
      <c r="I49" s="8">
        <v>5000</v>
      </c>
      <c r="J49" s="8">
        <v>5000</v>
      </c>
      <c r="K49" s="14" t="s">
        <v>73</v>
      </c>
    </row>
    <row r="50" spans="3:11">
      <c r="C50" s="2" t="s">
        <v>210</v>
      </c>
      <c r="D50" s="2">
        <v>27764</v>
      </c>
      <c r="E50" s="6"/>
      <c r="F50" s="119" t="str">
        <f t="shared" si="0"/>
        <v>-</v>
      </c>
      <c r="G50" s="183">
        <v>2</v>
      </c>
      <c r="H50" s="181">
        <v>0</v>
      </c>
      <c r="I50" s="175">
        <v>5000</v>
      </c>
      <c r="J50" s="8">
        <v>0</v>
      </c>
      <c r="K50" s="14" t="s">
        <v>74</v>
      </c>
    </row>
    <row r="51" spans="3:11">
      <c r="C51" s="2" t="s">
        <v>261</v>
      </c>
      <c r="D51" s="2">
        <v>29602</v>
      </c>
      <c r="E51" s="6"/>
      <c r="F51" s="119" t="str">
        <f t="shared" si="0"/>
        <v>-</v>
      </c>
      <c r="G51" s="181">
        <v>2.15</v>
      </c>
      <c r="H51" s="181"/>
      <c r="I51" s="8">
        <v>17007</v>
      </c>
      <c r="J51" s="8"/>
      <c r="K51" s="14" t="s">
        <v>73</v>
      </c>
    </row>
    <row r="52" spans="3:11">
      <c r="C52" s="2" t="s">
        <v>263</v>
      </c>
      <c r="D52" s="2">
        <v>29606</v>
      </c>
      <c r="E52" s="6"/>
      <c r="F52" s="119" t="str">
        <f t="shared" si="0"/>
        <v>-</v>
      </c>
      <c r="G52" s="182">
        <v>1.87</v>
      </c>
      <c r="H52" s="181">
        <v>0</v>
      </c>
      <c r="I52" s="175">
        <v>10000</v>
      </c>
      <c r="J52" s="8">
        <v>0</v>
      </c>
      <c r="K52" s="14" t="s">
        <v>74</v>
      </c>
    </row>
    <row r="53" spans="3:11">
      <c r="C53" s="2" t="s">
        <v>54</v>
      </c>
      <c r="D53" s="2">
        <v>29762</v>
      </c>
      <c r="E53" s="6"/>
      <c r="F53" s="119" t="str">
        <f t="shared" si="0"/>
        <v>-</v>
      </c>
      <c r="G53" s="181">
        <v>0.15</v>
      </c>
      <c r="H53" s="181">
        <v>0.16</v>
      </c>
      <c r="I53" s="8">
        <v>10000</v>
      </c>
      <c r="J53" s="8">
        <v>10000</v>
      </c>
      <c r="K53" s="14" t="s">
        <v>73</v>
      </c>
    </row>
    <row r="54" spans="3:11">
      <c r="C54" s="2" t="s">
        <v>55</v>
      </c>
      <c r="D54" s="2">
        <v>29764</v>
      </c>
      <c r="E54" s="6"/>
      <c r="F54" s="119" t="str">
        <f t="shared" si="0"/>
        <v>-</v>
      </c>
      <c r="G54" s="181"/>
      <c r="H54" s="181"/>
      <c r="I54" s="8"/>
      <c r="J54" s="8"/>
      <c r="K54" s="14" t="s">
        <v>73</v>
      </c>
    </row>
    <row r="55" spans="3:11">
      <c r="C55" s="2" t="s">
        <v>56</v>
      </c>
      <c r="D55" s="2">
        <v>29763</v>
      </c>
      <c r="E55" s="6"/>
      <c r="F55" s="119" t="str">
        <f t="shared" si="0"/>
        <v>-</v>
      </c>
      <c r="G55" s="181"/>
      <c r="H55" s="181"/>
      <c r="I55" s="8"/>
      <c r="J55" s="8"/>
      <c r="K55" s="14" t="s">
        <v>73</v>
      </c>
    </row>
    <row r="56" spans="3:11">
      <c r="C56" s="2" t="s">
        <v>57</v>
      </c>
      <c r="D56" s="2">
        <v>34973</v>
      </c>
      <c r="E56" s="6"/>
      <c r="F56" s="119" t="str">
        <f t="shared" si="0"/>
        <v>-</v>
      </c>
      <c r="G56" s="181">
        <v>-5.0000000000000001E-3</v>
      </c>
      <c r="H56" s="181">
        <v>0.01</v>
      </c>
      <c r="I56" s="8">
        <v>5000</v>
      </c>
      <c r="J56" s="8">
        <v>5000</v>
      </c>
      <c r="K56" s="14" t="s">
        <v>73</v>
      </c>
    </row>
    <row r="57" spans="3:11">
      <c r="C57" s="2" t="s">
        <v>58</v>
      </c>
      <c r="D57" s="2">
        <v>36696</v>
      </c>
      <c r="E57" s="6"/>
      <c r="F57" s="119" t="str">
        <f t="shared" ref="F57:F106" si="1">IF(AND(K57="A",ABS(G57)&gt;0,ABS(H57)&gt;0),(G57+H57)/2,"-")</f>
        <v>-</v>
      </c>
      <c r="G57" s="181">
        <v>0.85</v>
      </c>
      <c r="H57" s="181">
        <v>1.19</v>
      </c>
      <c r="I57" s="8">
        <v>5000</v>
      </c>
      <c r="J57" s="8">
        <v>5000</v>
      </c>
      <c r="K57" s="14" t="s">
        <v>73</v>
      </c>
    </row>
    <row r="58" spans="3:11">
      <c r="C58" s="2" t="s">
        <v>59</v>
      </c>
      <c r="D58" s="2">
        <v>45213</v>
      </c>
      <c r="E58" s="6"/>
      <c r="F58" s="119" t="str">
        <f t="shared" si="1"/>
        <v>-</v>
      </c>
      <c r="G58" s="181">
        <v>0.13500000000000001</v>
      </c>
      <c r="H58" s="181">
        <v>0.15</v>
      </c>
      <c r="I58" s="8">
        <v>5000</v>
      </c>
      <c r="J58" s="8">
        <v>5000</v>
      </c>
      <c r="K58" s="14" t="s">
        <v>73</v>
      </c>
    </row>
    <row r="59" spans="3:11">
      <c r="C59" s="2" t="s">
        <v>60</v>
      </c>
      <c r="D59" s="2">
        <v>47662</v>
      </c>
      <c r="E59" s="6"/>
      <c r="F59" s="119" t="str">
        <f t="shared" si="1"/>
        <v>-</v>
      </c>
      <c r="G59" s="181"/>
      <c r="H59" s="181"/>
      <c r="I59" s="8"/>
      <c r="J59" s="8"/>
      <c r="K59" s="14" t="s">
        <v>73</v>
      </c>
    </row>
    <row r="60" spans="3:11">
      <c r="C60" s="2" t="s">
        <v>61</v>
      </c>
      <c r="D60" s="2">
        <v>41229</v>
      </c>
      <c r="E60" s="6"/>
      <c r="F60" s="119" t="str">
        <f t="shared" si="1"/>
        <v>-</v>
      </c>
      <c r="G60" s="181"/>
      <c r="H60" s="181"/>
      <c r="I60" s="8"/>
      <c r="J60" s="8"/>
      <c r="K60" s="14" t="s">
        <v>73</v>
      </c>
    </row>
    <row r="61" spans="3:11">
      <c r="C61" s="2" t="s">
        <v>62</v>
      </c>
      <c r="D61" s="2">
        <v>35353</v>
      </c>
      <c r="E61" s="10"/>
      <c r="F61" s="119" t="str">
        <f t="shared" si="1"/>
        <v>-</v>
      </c>
      <c r="G61" s="181">
        <v>3.35</v>
      </c>
      <c r="H61" s="181">
        <v>3.3650000000000002</v>
      </c>
      <c r="I61" s="8">
        <v>5000</v>
      </c>
      <c r="J61" s="8">
        <v>5000</v>
      </c>
      <c r="K61" s="14" t="s">
        <v>73</v>
      </c>
    </row>
    <row r="62" spans="3:11">
      <c r="C62" s="2" t="s">
        <v>63</v>
      </c>
      <c r="D62" s="2">
        <v>37879</v>
      </c>
      <c r="E62" s="6"/>
      <c r="F62" s="119" t="str">
        <f>IF(AND(K62="A",ABS(G62)&gt;=0,ABS(H62)&gt;=0),(G62+H62)/2,"-")</f>
        <v>-</v>
      </c>
      <c r="G62" s="181">
        <v>2.5000000000000001E-3</v>
      </c>
      <c r="H62" s="181">
        <v>7.4999999999999997E-3</v>
      </c>
      <c r="I62" s="8">
        <v>30000</v>
      </c>
      <c r="J62" s="8">
        <v>30000</v>
      </c>
      <c r="K62" s="14" t="s">
        <v>73</v>
      </c>
    </row>
    <row r="63" spans="3:11">
      <c r="C63" s="2" t="s">
        <v>247</v>
      </c>
      <c r="D63" s="2">
        <v>28312</v>
      </c>
      <c r="E63" s="6"/>
      <c r="F63" s="119" t="str">
        <f t="shared" si="1"/>
        <v>-</v>
      </c>
      <c r="G63" s="181">
        <v>2.1549999999999998</v>
      </c>
      <c r="H63" s="181">
        <v>2.1749999999999998</v>
      </c>
      <c r="I63" s="8">
        <v>10000</v>
      </c>
      <c r="J63" s="8">
        <v>2500</v>
      </c>
      <c r="K63" s="14" t="s">
        <v>73</v>
      </c>
    </row>
    <row r="64" spans="3:11">
      <c r="C64" s="2" t="s">
        <v>240</v>
      </c>
      <c r="D64" s="2">
        <v>28251</v>
      </c>
      <c r="E64" s="6"/>
      <c r="F64" s="119" t="str">
        <f t="shared" si="1"/>
        <v>-</v>
      </c>
      <c r="G64" s="181">
        <v>2.4300000000000002</v>
      </c>
      <c r="H64" s="181">
        <v>2.46</v>
      </c>
      <c r="I64" s="8">
        <v>5000</v>
      </c>
      <c r="J64" s="8">
        <v>10000</v>
      </c>
      <c r="K64" s="14" t="s">
        <v>73</v>
      </c>
    </row>
    <row r="65" spans="3:11">
      <c r="C65" s="2" t="s">
        <v>234</v>
      </c>
      <c r="D65" s="2">
        <v>28195</v>
      </c>
      <c r="E65" s="6"/>
      <c r="F65" s="119" t="str">
        <f t="shared" si="1"/>
        <v>-</v>
      </c>
      <c r="G65" s="181">
        <v>2.93</v>
      </c>
      <c r="H65" s="181">
        <v>3.04</v>
      </c>
      <c r="I65" s="8">
        <v>5000</v>
      </c>
      <c r="J65" s="8">
        <v>10000</v>
      </c>
      <c r="K65" s="14" t="s">
        <v>73</v>
      </c>
    </row>
    <row r="66" spans="3:11">
      <c r="C66" s="2" t="s">
        <v>64</v>
      </c>
      <c r="D66" s="2">
        <v>48082</v>
      </c>
      <c r="E66" s="6"/>
      <c r="F66" s="119" t="str">
        <f t="shared" si="1"/>
        <v>-</v>
      </c>
      <c r="G66" s="181"/>
      <c r="H66" s="181"/>
      <c r="I66" s="8"/>
      <c r="J66" s="8"/>
      <c r="K66" s="14" t="s">
        <v>73</v>
      </c>
    </row>
    <row r="67" spans="3:11">
      <c r="C67" s="2" t="s">
        <v>232</v>
      </c>
      <c r="D67" s="2">
        <v>28193</v>
      </c>
      <c r="E67" s="6"/>
      <c r="F67" s="119" t="str">
        <f t="shared" si="1"/>
        <v>-</v>
      </c>
      <c r="G67" s="181">
        <v>2.835</v>
      </c>
      <c r="H67" s="181">
        <v>2.9449999999999998</v>
      </c>
      <c r="I67" s="8">
        <v>5000</v>
      </c>
      <c r="J67" s="8">
        <v>10000</v>
      </c>
      <c r="K67" s="14" t="s">
        <v>73</v>
      </c>
    </row>
    <row r="68" spans="3:11">
      <c r="C68" s="2" t="s">
        <v>228</v>
      </c>
      <c r="D68" s="2">
        <v>28164</v>
      </c>
      <c r="E68" s="6"/>
      <c r="F68" s="119" t="str">
        <f t="shared" si="1"/>
        <v>-</v>
      </c>
      <c r="G68" s="181">
        <v>2.125</v>
      </c>
      <c r="H68" s="181">
        <v>2.145</v>
      </c>
      <c r="I68" s="8">
        <v>20000</v>
      </c>
      <c r="J68" s="8">
        <v>20000</v>
      </c>
      <c r="K68" s="14" t="s">
        <v>73</v>
      </c>
    </row>
    <row r="69" spans="3:11">
      <c r="C69" s="2" t="s">
        <v>244</v>
      </c>
      <c r="D69" s="2">
        <v>28270</v>
      </c>
      <c r="E69" s="6"/>
      <c r="F69" s="119" t="str">
        <f t="shared" si="1"/>
        <v>-</v>
      </c>
      <c r="G69" s="181"/>
      <c r="H69" s="181"/>
      <c r="I69" s="8"/>
      <c r="J69" s="8"/>
      <c r="K69" s="14" t="s">
        <v>73</v>
      </c>
    </row>
    <row r="70" spans="3:11">
      <c r="C70" s="2" t="s">
        <v>245</v>
      </c>
      <c r="D70" s="2">
        <v>28271</v>
      </c>
      <c r="E70" s="6"/>
      <c r="F70" s="119" t="str">
        <f t="shared" si="1"/>
        <v>-</v>
      </c>
      <c r="G70" s="181">
        <v>2.395</v>
      </c>
      <c r="H70" s="181">
        <v>2.4300000000000002</v>
      </c>
      <c r="I70" s="8">
        <v>10000</v>
      </c>
      <c r="J70" s="8">
        <v>10000</v>
      </c>
      <c r="K70" s="14" t="s">
        <v>73</v>
      </c>
    </row>
    <row r="71" spans="3:11">
      <c r="C71" s="2" t="s">
        <v>235</v>
      </c>
      <c r="D71" s="2">
        <v>28202</v>
      </c>
      <c r="E71" s="6"/>
      <c r="F71" s="119" t="str">
        <f t="shared" si="1"/>
        <v>-</v>
      </c>
      <c r="G71" s="181"/>
      <c r="H71" s="181"/>
      <c r="I71" s="8"/>
      <c r="J71" s="8"/>
      <c r="K71" s="14" t="s">
        <v>73</v>
      </c>
    </row>
    <row r="72" spans="3:11">
      <c r="C72" s="2" t="s">
        <v>236</v>
      </c>
      <c r="D72" s="2">
        <v>28203</v>
      </c>
      <c r="E72" s="6"/>
      <c r="F72" s="119" t="str">
        <f t="shared" si="1"/>
        <v>-</v>
      </c>
      <c r="G72" s="181">
        <v>2.4350000000000001</v>
      </c>
      <c r="H72" s="181">
        <v>2.4900000000000002</v>
      </c>
      <c r="I72" s="8">
        <v>5000</v>
      </c>
      <c r="J72" s="8">
        <v>5000</v>
      </c>
      <c r="K72" s="14" t="s">
        <v>73</v>
      </c>
    </row>
    <row r="73" spans="3:11">
      <c r="C73" s="2" t="s">
        <v>239</v>
      </c>
      <c r="D73" s="2">
        <v>28206</v>
      </c>
      <c r="E73" s="6"/>
      <c r="F73" s="119" t="str">
        <f t="shared" si="1"/>
        <v>-</v>
      </c>
      <c r="G73" s="181"/>
      <c r="H73" s="181"/>
      <c r="I73" s="8"/>
      <c r="J73" s="8"/>
      <c r="K73" s="14" t="s">
        <v>73</v>
      </c>
    </row>
    <row r="74" spans="3:11">
      <c r="C74" s="2" t="s">
        <v>249</v>
      </c>
      <c r="D74" s="2">
        <v>28319</v>
      </c>
      <c r="E74" s="6"/>
      <c r="F74" s="119" t="str">
        <f t="shared" si="1"/>
        <v>-</v>
      </c>
      <c r="G74" s="181"/>
      <c r="H74" s="181"/>
      <c r="I74" s="8"/>
      <c r="J74" s="8"/>
      <c r="K74" s="14" t="s">
        <v>73</v>
      </c>
    </row>
    <row r="75" spans="3:11">
      <c r="C75" s="2" t="s">
        <v>252</v>
      </c>
      <c r="D75" s="2">
        <v>28923</v>
      </c>
      <c r="E75" s="6"/>
      <c r="F75" s="119" t="str">
        <f t="shared" si="1"/>
        <v>-</v>
      </c>
      <c r="G75" s="181"/>
      <c r="H75" s="181"/>
      <c r="I75" s="8"/>
      <c r="J75" s="8"/>
      <c r="K75" s="14" t="s">
        <v>73</v>
      </c>
    </row>
    <row r="76" spans="3:11">
      <c r="C76" s="2" t="s">
        <v>253</v>
      </c>
      <c r="D76" s="2">
        <v>28924</v>
      </c>
      <c r="E76" s="6"/>
      <c r="F76" s="119" t="str">
        <f t="shared" si="1"/>
        <v>-</v>
      </c>
      <c r="G76" s="181">
        <v>2.09</v>
      </c>
      <c r="H76" s="181">
        <v>2.13</v>
      </c>
      <c r="I76" s="8">
        <v>10000</v>
      </c>
      <c r="J76" s="8">
        <v>10000</v>
      </c>
      <c r="K76" s="14" t="s">
        <v>73</v>
      </c>
    </row>
    <row r="77" spans="3:11">
      <c r="C77" s="2" t="s">
        <v>241</v>
      </c>
      <c r="D77" s="2">
        <v>28256</v>
      </c>
      <c r="E77" s="6"/>
      <c r="F77" s="119" t="str">
        <f t="shared" si="1"/>
        <v>-</v>
      </c>
      <c r="G77" s="181"/>
      <c r="H77" s="181"/>
      <c r="I77" s="8"/>
      <c r="J77" s="8"/>
      <c r="K77" s="14" t="s">
        <v>73</v>
      </c>
    </row>
    <row r="78" spans="3:11">
      <c r="C78" s="2" t="s">
        <v>242</v>
      </c>
      <c r="D78" s="2">
        <v>28257</v>
      </c>
      <c r="E78" s="6"/>
      <c r="F78" s="119" t="str">
        <f t="shared" si="1"/>
        <v>-</v>
      </c>
      <c r="G78" s="181">
        <v>2.12</v>
      </c>
      <c r="H78" s="181">
        <v>2.16</v>
      </c>
      <c r="I78" s="8">
        <v>10000</v>
      </c>
      <c r="J78" s="8">
        <v>10000</v>
      </c>
      <c r="K78" s="14" t="s">
        <v>73</v>
      </c>
    </row>
    <row r="79" spans="3:11">
      <c r="C79" s="2" t="s">
        <v>264</v>
      </c>
      <c r="D79" s="2">
        <v>29720</v>
      </c>
      <c r="E79" s="6"/>
      <c r="F79" s="119" t="str">
        <f t="shared" si="1"/>
        <v>-</v>
      </c>
      <c r="G79" s="181"/>
      <c r="H79" s="181"/>
      <c r="I79" s="8"/>
      <c r="J79" s="8"/>
      <c r="K79" s="14" t="s">
        <v>73</v>
      </c>
    </row>
    <row r="80" spans="3:11">
      <c r="C80" s="2" t="s">
        <v>262</v>
      </c>
      <c r="D80" s="2">
        <v>29605</v>
      </c>
      <c r="E80" s="6"/>
      <c r="F80" s="119" t="str">
        <f t="shared" si="1"/>
        <v>-</v>
      </c>
      <c r="G80" s="181">
        <v>3.3075000000000001</v>
      </c>
      <c r="H80" s="181">
        <v>3.3574999999999999</v>
      </c>
      <c r="I80" s="8">
        <v>10000</v>
      </c>
      <c r="J80" s="8">
        <v>10000</v>
      </c>
      <c r="K80" s="14" t="s">
        <v>73</v>
      </c>
    </row>
    <row r="81" spans="3:11">
      <c r="C81" s="2" t="s">
        <v>65</v>
      </c>
      <c r="D81" s="2">
        <v>48078</v>
      </c>
      <c r="E81" s="6"/>
      <c r="F81" s="119" t="str">
        <f t="shared" si="1"/>
        <v>-</v>
      </c>
      <c r="G81" s="181"/>
      <c r="H81" s="181"/>
      <c r="I81" s="8"/>
      <c r="J81" s="8"/>
      <c r="K81" s="14" t="s">
        <v>73</v>
      </c>
    </row>
    <row r="82" spans="3:11">
      <c r="C82" s="2" t="s">
        <v>277</v>
      </c>
      <c r="D82" s="2">
        <v>44746</v>
      </c>
      <c r="E82" s="6"/>
      <c r="F82" s="119" t="str">
        <f t="shared" si="1"/>
        <v>-</v>
      </c>
      <c r="G82" s="181"/>
      <c r="H82" s="181"/>
      <c r="I82" s="8"/>
      <c r="J82" s="8"/>
      <c r="K82" s="14" t="s">
        <v>73</v>
      </c>
    </row>
    <row r="83" spans="3:11">
      <c r="C83" s="2" t="s">
        <v>251</v>
      </c>
      <c r="D83" s="2">
        <v>28325</v>
      </c>
      <c r="E83" s="6"/>
      <c r="F83" s="119" t="str">
        <f t="shared" si="1"/>
        <v>-</v>
      </c>
      <c r="G83" s="181">
        <v>2.1549999999999998</v>
      </c>
      <c r="H83" s="181">
        <v>2.19</v>
      </c>
      <c r="I83" s="8">
        <v>10000</v>
      </c>
      <c r="J83" s="8">
        <v>5000</v>
      </c>
      <c r="K83" s="14" t="s">
        <v>73</v>
      </c>
    </row>
    <row r="84" spans="3:11">
      <c r="C84" s="2" t="s">
        <v>246</v>
      </c>
      <c r="D84" s="2">
        <v>28273</v>
      </c>
      <c r="E84" s="6"/>
      <c r="F84" s="119" t="str">
        <f t="shared" si="1"/>
        <v>-</v>
      </c>
      <c r="G84" s="181">
        <v>1.83</v>
      </c>
      <c r="H84" s="181">
        <v>1.895</v>
      </c>
      <c r="I84" s="8">
        <v>10000</v>
      </c>
      <c r="J84" s="8">
        <v>10000</v>
      </c>
      <c r="K84" s="14" t="s">
        <v>73</v>
      </c>
    </row>
    <row r="85" spans="3:11">
      <c r="C85" s="2" t="s">
        <v>248</v>
      </c>
      <c r="D85" s="2">
        <v>28317</v>
      </c>
      <c r="E85" s="6"/>
      <c r="F85" s="119" t="str">
        <f t="shared" si="1"/>
        <v>-</v>
      </c>
      <c r="G85" s="181">
        <v>2.2999999999999998</v>
      </c>
      <c r="H85" s="181">
        <v>2.33</v>
      </c>
      <c r="I85" s="8">
        <v>10000</v>
      </c>
      <c r="J85" s="8">
        <v>10000</v>
      </c>
      <c r="K85" s="14" t="s">
        <v>73</v>
      </c>
    </row>
    <row r="86" spans="3:11">
      <c r="C86" s="2" t="s">
        <v>66</v>
      </c>
      <c r="D86" s="2">
        <v>48144</v>
      </c>
      <c r="E86" s="6"/>
      <c r="F86" s="119" t="str">
        <f t="shared" si="1"/>
        <v>-</v>
      </c>
      <c r="G86" s="181">
        <v>12.15</v>
      </c>
      <c r="H86" s="181">
        <v>12.75</v>
      </c>
      <c r="I86" s="8">
        <v>10000</v>
      </c>
      <c r="J86" s="8">
        <v>10000</v>
      </c>
      <c r="K86" s="14" t="s">
        <v>73</v>
      </c>
    </row>
    <row r="87" spans="3:11">
      <c r="C87" s="2" t="s">
        <v>67</v>
      </c>
      <c r="D87" s="2">
        <v>48140</v>
      </c>
      <c r="E87" s="6"/>
      <c r="F87" s="119" t="str">
        <f t="shared" si="1"/>
        <v>-</v>
      </c>
      <c r="G87" s="181">
        <v>13.25</v>
      </c>
      <c r="H87" s="181">
        <v>13.85</v>
      </c>
      <c r="I87" s="8">
        <v>10000</v>
      </c>
      <c r="J87" s="8">
        <v>10000</v>
      </c>
      <c r="K87" s="14" t="s">
        <v>73</v>
      </c>
    </row>
    <row r="88" spans="3:11">
      <c r="C88" s="2" t="s">
        <v>250</v>
      </c>
      <c r="D88" s="2">
        <v>28324</v>
      </c>
      <c r="E88" s="6"/>
      <c r="F88" s="119" t="str">
        <f t="shared" si="1"/>
        <v>-</v>
      </c>
      <c r="G88" s="181">
        <v>2.33</v>
      </c>
      <c r="H88" s="181">
        <v>2.36</v>
      </c>
      <c r="I88" s="8">
        <v>10000</v>
      </c>
      <c r="J88" s="8">
        <v>10000</v>
      </c>
      <c r="K88" s="14" t="s">
        <v>73</v>
      </c>
    </row>
    <row r="89" spans="3:11">
      <c r="C89" s="2" t="s">
        <v>233</v>
      </c>
      <c r="D89" s="2">
        <v>28194</v>
      </c>
      <c r="E89" s="6"/>
      <c r="F89" s="119" t="str">
        <f t="shared" si="1"/>
        <v>-</v>
      </c>
      <c r="G89" s="181"/>
      <c r="H89" s="181"/>
      <c r="I89" s="8"/>
      <c r="J89" s="8"/>
      <c r="K89" s="14" t="s">
        <v>73</v>
      </c>
    </row>
    <row r="90" spans="3:11">
      <c r="C90" s="2" t="s">
        <v>230</v>
      </c>
      <c r="D90" s="2">
        <v>28166</v>
      </c>
      <c r="E90" s="6"/>
      <c r="F90" s="119" t="str">
        <f t="shared" si="1"/>
        <v>-</v>
      </c>
      <c r="G90" s="181">
        <v>2.1775000000000002</v>
      </c>
      <c r="H90" s="181">
        <v>2.1974999999999998</v>
      </c>
      <c r="I90" s="8">
        <v>20000</v>
      </c>
      <c r="J90" s="8">
        <v>10000</v>
      </c>
      <c r="K90" s="14" t="s">
        <v>73</v>
      </c>
    </row>
    <row r="91" spans="3:11">
      <c r="C91" s="2" t="s">
        <v>229</v>
      </c>
      <c r="D91" s="2">
        <v>28165</v>
      </c>
      <c r="E91" s="6"/>
      <c r="F91" s="119" t="str">
        <f t="shared" si="1"/>
        <v>-</v>
      </c>
      <c r="G91" s="181">
        <v>2.48</v>
      </c>
      <c r="H91" s="181">
        <v>2.54</v>
      </c>
      <c r="I91" s="8">
        <v>10000</v>
      </c>
      <c r="J91" s="8">
        <v>2500</v>
      </c>
      <c r="K91" s="14" t="s">
        <v>73</v>
      </c>
    </row>
    <row r="92" spans="3:11">
      <c r="C92" s="2" t="s">
        <v>231</v>
      </c>
      <c r="D92" s="2">
        <v>28167</v>
      </c>
      <c r="E92" s="6"/>
      <c r="F92" s="119" t="str">
        <f t="shared" si="1"/>
        <v>-</v>
      </c>
      <c r="G92" s="181">
        <v>2.59</v>
      </c>
      <c r="H92" s="181">
        <v>2.68</v>
      </c>
      <c r="I92" s="8">
        <v>10000</v>
      </c>
      <c r="J92" s="8">
        <v>2500</v>
      </c>
      <c r="K92" s="14" t="s">
        <v>73</v>
      </c>
    </row>
    <row r="93" spans="3:11">
      <c r="C93" s="2" t="s">
        <v>221</v>
      </c>
      <c r="D93" s="2">
        <v>27819</v>
      </c>
      <c r="E93" s="6"/>
      <c r="F93" s="119">
        <f t="shared" si="1"/>
        <v>2</v>
      </c>
      <c r="G93" s="182">
        <v>1.99</v>
      </c>
      <c r="H93" s="182">
        <v>2.0099999999999998</v>
      </c>
      <c r="I93" s="175">
        <v>10000</v>
      </c>
      <c r="J93" s="8">
        <v>10000</v>
      </c>
      <c r="K93" s="14" t="s">
        <v>74</v>
      </c>
    </row>
    <row r="94" spans="3:11">
      <c r="C94" s="2" t="s">
        <v>216</v>
      </c>
      <c r="D94" s="2">
        <v>27773</v>
      </c>
      <c r="E94" s="6"/>
      <c r="F94" s="119" t="str">
        <f t="shared" si="1"/>
        <v>-</v>
      </c>
      <c r="G94" s="181"/>
      <c r="H94" s="181"/>
      <c r="I94" s="8"/>
      <c r="J94" s="8"/>
      <c r="K94" s="14" t="s">
        <v>73</v>
      </c>
    </row>
    <row r="95" spans="3:11">
      <c r="C95" s="2" t="s">
        <v>205</v>
      </c>
      <c r="D95" s="2">
        <v>27759</v>
      </c>
      <c r="E95" s="6"/>
      <c r="F95" s="119">
        <f t="shared" si="1"/>
        <v>1.63</v>
      </c>
      <c r="G95" s="183">
        <v>1.615</v>
      </c>
      <c r="H95" s="183">
        <v>1.645</v>
      </c>
      <c r="I95" s="8">
        <v>10000</v>
      </c>
      <c r="J95" s="8">
        <v>10000</v>
      </c>
      <c r="K95" s="14" t="s">
        <v>74</v>
      </c>
    </row>
    <row r="96" spans="3:11">
      <c r="C96" s="2" t="s">
        <v>80</v>
      </c>
      <c r="D96" s="2">
        <v>48724</v>
      </c>
      <c r="E96" s="6"/>
      <c r="F96" s="119">
        <f t="shared" si="1"/>
        <v>2.9750000000000001</v>
      </c>
      <c r="G96" s="183">
        <v>2.97</v>
      </c>
      <c r="H96" s="182">
        <v>2.98</v>
      </c>
      <c r="I96" s="8">
        <v>5000</v>
      </c>
      <c r="J96" s="8">
        <v>5000</v>
      </c>
      <c r="K96" s="14" t="s">
        <v>74</v>
      </c>
    </row>
    <row r="97" spans="3:11">
      <c r="C97" s="2" t="s">
        <v>160</v>
      </c>
      <c r="D97" s="2">
        <v>36094</v>
      </c>
      <c r="E97" s="6"/>
      <c r="F97" s="119" t="str">
        <f t="shared" si="1"/>
        <v>-</v>
      </c>
      <c r="G97" s="181">
        <v>-2.75E-2</v>
      </c>
      <c r="H97" s="181">
        <v>-1.7500000000000002E-2</v>
      </c>
      <c r="I97" s="8">
        <v>25000</v>
      </c>
      <c r="J97" s="8">
        <v>25000</v>
      </c>
      <c r="K97" s="14" t="s">
        <v>73</v>
      </c>
    </row>
    <row r="98" spans="3:11">
      <c r="C98" s="2" t="s">
        <v>79</v>
      </c>
      <c r="D98" s="2">
        <v>37878</v>
      </c>
      <c r="E98" s="6"/>
      <c r="F98" s="119" t="str">
        <f t="shared" si="1"/>
        <v>-</v>
      </c>
      <c r="G98" s="181">
        <v>-2.5000000000000001E-2</v>
      </c>
      <c r="H98" s="181">
        <v>-0.02</v>
      </c>
      <c r="I98" s="8">
        <v>10000</v>
      </c>
      <c r="J98" s="8">
        <v>10000</v>
      </c>
      <c r="K98" s="14" t="s">
        <v>73</v>
      </c>
    </row>
    <row r="99" spans="3:11">
      <c r="C99" s="2" t="s">
        <v>237</v>
      </c>
      <c r="D99" s="2">
        <v>28204</v>
      </c>
      <c r="E99" s="6"/>
      <c r="F99" s="119" t="str">
        <f t="shared" si="1"/>
        <v>-</v>
      </c>
      <c r="G99" s="181">
        <v>2.1124999999999998</v>
      </c>
      <c r="H99" s="181">
        <v>2.1324999999999998</v>
      </c>
      <c r="I99" s="8">
        <v>10000</v>
      </c>
      <c r="J99" s="8">
        <v>15000</v>
      </c>
      <c r="K99" s="14" t="s">
        <v>73</v>
      </c>
    </row>
    <row r="100" spans="3:11">
      <c r="C100" s="2" t="s">
        <v>238</v>
      </c>
      <c r="D100" s="2">
        <v>28205</v>
      </c>
      <c r="E100" s="6"/>
      <c r="F100" s="119" t="str">
        <f t="shared" si="1"/>
        <v>-</v>
      </c>
      <c r="G100" s="181"/>
      <c r="H100" s="181"/>
      <c r="I100" s="8"/>
      <c r="J100" s="8"/>
      <c r="K100" s="14" t="s">
        <v>73</v>
      </c>
    </row>
    <row r="101" spans="3:11">
      <c r="C101" s="2" t="s">
        <v>81</v>
      </c>
      <c r="D101" s="2">
        <v>48784</v>
      </c>
      <c r="E101" s="6"/>
      <c r="F101" s="119" t="str">
        <f t="shared" si="1"/>
        <v>-</v>
      </c>
      <c r="G101" s="181"/>
      <c r="H101" s="181"/>
      <c r="I101" s="8"/>
      <c r="J101" s="8"/>
      <c r="K101" s="14" t="s">
        <v>73</v>
      </c>
    </row>
    <row r="102" spans="3:11">
      <c r="C102" s="2" t="s">
        <v>82</v>
      </c>
      <c r="D102" s="2">
        <v>49353</v>
      </c>
      <c r="E102" s="6"/>
      <c r="F102" s="119" t="str">
        <f t="shared" si="1"/>
        <v>-</v>
      </c>
      <c r="G102" s="181">
        <v>3.165</v>
      </c>
      <c r="H102" s="181">
        <v>3.1749999999999998</v>
      </c>
      <c r="I102" s="8">
        <v>20000</v>
      </c>
      <c r="J102" s="8">
        <v>20000</v>
      </c>
      <c r="K102" s="14" t="s">
        <v>73</v>
      </c>
    </row>
    <row r="103" spans="3:11">
      <c r="C103" s="2" t="s">
        <v>243</v>
      </c>
      <c r="D103" s="11">
        <v>28266</v>
      </c>
      <c r="E103" s="6"/>
      <c r="F103" s="119" t="str">
        <f t="shared" si="1"/>
        <v>-</v>
      </c>
      <c r="G103" s="181">
        <v>2.1150000000000002</v>
      </c>
      <c r="H103" s="181">
        <v>2.1549999999999998</v>
      </c>
      <c r="I103" s="8">
        <v>5000</v>
      </c>
      <c r="J103" s="8">
        <v>5000</v>
      </c>
      <c r="K103" s="14" t="s">
        <v>73</v>
      </c>
    </row>
    <row r="104" spans="3:11">
      <c r="C104" s="2" t="s">
        <v>42</v>
      </c>
      <c r="D104" s="11">
        <v>49613</v>
      </c>
      <c r="E104" s="6"/>
      <c r="F104" s="119" t="str">
        <f t="shared" si="1"/>
        <v>-</v>
      </c>
      <c r="G104" s="181">
        <v>2.29</v>
      </c>
      <c r="H104" s="181">
        <v>2.3050000000000002</v>
      </c>
      <c r="I104" s="8">
        <v>20000</v>
      </c>
      <c r="J104" s="8">
        <v>70000</v>
      </c>
      <c r="K104" s="14" t="s">
        <v>73</v>
      </c>
    </row>
    <row r="105" spans="3:11">
      <c r="C105" s="2" t="s">
        <v>178</v>
      </c>
      <c r="D105" s="11">
        <v>37084</v>
      </c>
      <c r="E105" s="6"/>
      <c r="F105" s="119" t="str">
        <f>IF(AND(K105="A",ABS(G105)&gt;=0,ABS(H105)&gt;=0),(G105+H105)/2,"-")</f>
        <v>-</v>
      </c>
      <c r="G105" s="181">
        <v>1.2500000000000001E-2</v>
      </c>
      <c r="H105" s="181">
        <v>2.2499999999999999E-2</v>
      </c>
      <c r="I105" s="8">
        <v>50000</v>
      </c>
      <c r="J105" s="8">
        <v>50000</v>
      </c>
      <c r="K105" s="14" t="s">
        <v>73</v>
      </c>
    </row>
    <row r="106" spans="3:11">
      <c r="C106" s="2" t="s">
        <v>173</v>
      </c>
      <c r="D106" s="11">
        <v>36095</v>
      </c>
      <c r="E106" s="6"/>
      <c r="F106" s="119" t="str">
        <f t="shared" si="1"/>
        <v>-</v>
      </c>
      <c r="G106" s="181">
        <v>-2.2499999999999999E-2</v>
      </c>
      <c r="H106" s="181">
        <v>-1.2500000000000001E-2</v>
      </c>
      <c r="I106" s="8">
        <v>15000</v>
      </c>
      <c r="J106" s="8">
        <v>10000</v>
      </c>
      <c r="K106" s="14" t="s">
        <v>73</v>
      </c>
    </row>
    <row r="107" spans="3:11">
      <c r="C107" s="2" t="s">
        <v>175</v>
      </c>
      <c r="D107" s="11">
        <v>36166</v>
      </c>
      <c r="E107" s="6"/>
      <c r="F107" s="119" t="str">
        <f t="shared" ref="F107:F162" si="2">IF(AND(K107="A",ABS(G107)&gt;0,ABS(H107)&gt;0),(G107+H107)/2,"-")</f>
        <v>-</v>
      </c>
      <c r="G107" s="181">
        <v>-7.0000000000000007E-2</v>
      </c>
      <c r="H107" s="181">
        <v>-0.06</v>
      </c>
      <c r="I107" s="8">
        <v>15000</v>
      </c>
      <c r="J107" s="8">
        <v>12500</v>
      </c>
      <c r="K107" s="14" t="s">
        <v>73</v>
      </c>
    </row>
    <row r="108" spans="3:11">
      <c r="C108" s="2" t="s">
        <v>176</v>
      </c>
      <c r="D108" s="11">
        <v>36168</v>
      </c>
      <c r="E108" s="6"/>
      <c r="F108" s="119" t="str">
        <f t="shared" si="2"/>
        <v>-</v>
      </c>
      <c r="G108" s="181">
        <v>7.4999999999999997E-3</v>
      </c>
      <c r="H108" s="181">
        <v>1.7500000000000002E-2</v>
      </c>
      <c r="I108" s="8">
        <v>15000</v>
      </c>
      <c r="J108" s="8">
        <v>50000</v>
      </c>
      <c r="K108" s="14" t="s">
        <v>73</v>
      </c>
    </row>
    <row r="109" spans="3:11">
      <c r="C109" s="2" t="s">
        <v>41</v>
      </c>
      <c r="D109" s="11">
        <v>36170</v>
      </c>
      <c r="E109" s="6"/>
      <c r="F109" s="119" t="str">
        <f t="shared" si="2"/>
        <v>-</v>
      </c>
      <c r="G109" s="181">
        <v>0.3</v>
      </c>
      <c r="H109" s="181">
        <v>0.32</v>
      </c>
      <c r="I109" s="8">
        <v>10000</v>
      </c>
      <c r="J109" s="8">
        <v>10000</v>
      </c>
      <c r="K109" s="14" t="s">
        <v>73</v>
      </c>
    </row>
    <row r="110" spans="3:11">
      <c r="C110" s="2" t="s">
        <v>177</v>
      </c>
      <c r="D110" s="11">
        <v>36208</v>
      </c>
      <c r="E110" s="6"/>
      <c r="F110" s="119" t="str">
        <f t="shared" si="2"/>
        <v>-</v>
      </c>
      <c r="G110" s="181">
        <v>0.12</v>
      </c>
      <c r="H110" s="181">
        <v>0.13500000000000001</v>
      </c>
      <c r="I110" s="8">
        <v>10000</v>
      </c>
      <c r="J110" s="8">
        <v>10000</v>
      </c>
      <c r="K110" s="14" t="s">
        <v>73</v>
      </c>
    </row>
    <row r="111" spans="3:11">
      <c r="C111" s="2" t="s">
        <v>187</v>
      </c>
      <c r="D111" s="11">
        <v>36423</v>
      </c>
      <c r="E111" s="6"/>
      <c r="F111" s="119" t="str">
        <f t="shared" si="2"/>
        <v>-</v>
      </c>
      <c r="G111" s="181">
        <v>0.19500000000000001</v>
      </c>
      <c r="H111" s="181">
        <v>0.215</v>
      </c>
      <c r="I111" s="8">
        <v>10000</v>
      </c>
      <c r="J111" s="8">
        <v>10000</v>
      </c>
      <c r="K111" s="14" t="s">
        <v>73</v>
      </c>
    </row>
    <row r="112" spans="3:11">
      <c r="C112" s="2" t="s">
        <v>174</v>
      </c>
      <c r="D112" s="11">
        <v>36101</v>
      </c>
      <c r="E112" s="6"/>
      <c r="F112" s="119" t="str">
        <f t="shared" si="2"/>
        <v>-</v>
      </c>
      <c r="G112" s="181"/>
      <c r="H112" s="181"/>
      <c r="I112" s="8"/>
      <c r="J112" s="8"/>
      <c r="K112" s="14" t="s">
        <v>73</v>
      </c>
    </row>
    <row r="113" spans="3:11">
      <c r="C113" s="2" t="s">
        <v>167</v>
      </c>
      <c r="D113" s="11">
        <v>39258</v>
      </c>
      <c r="F113" s="119" t="str">
        <f t="shared" si="2"/>
        <v>-</v>
      </c>
      <c r="G113" s="181">
        <v>-2.5000000000000001E-2</v>
      </c>
      <c r="H113" s="181">
        <v>-5.0000000000000001E-3</v>
      </c>
      <c r="I113" s="8">
        <v>10000</v>
      </c>
      <c r="J113" s="8">
        <v>10000</v>
      </c>
      <c r="K113" s="14" t="s">
        <v>73</v>
      </c>
    </row>
    <row r="114" spans="3:11">
      <c r="C114" s="2" t="s">
        <v>166</v>
      </c>
      <c r="D114" s="11">
        <v>36214</v>
      </c>
      <c r="F114" s="119" t="str">
        <f t="shared" si="2"/>
        <v>-</v>
      </c>
      <c r="G114" s="181">
        <v>-0.08</v>
      </c>
      <c r="H114" s="181">
        <v>-6.5000000000000002E-2</v>
      </c>
      <c r="I114" s="8">
        <v>10000</v>
      </c>
      <c r="J114" s="8">
        <v>5000</v>
      </c>
      <c r="K114" s="14" t="s">
        <v>73</v>
      </c>
    </row>
    <row r="115" spans="3:11">
      <c r="C115" s="2" t="s">
        <v>172</v>
      </c>
      <c r="D115" s="11">
        <v>41313</v>
      </c>
      <c r="F115" s="119" t="str">
        <f t="shared" si="2"/>
        <v>-</v>
      </c>
      <c r="G115" s="181"/>
      <c r="H115" s="181"/>
      <c r="I115" s="8"/>
      <c r="J115" s="8"/>
      <c r="K115" s="14" t="s">
        <v>73</v>
      </c>
    </row>
    <row r="116" spans="3:11">
      <c r="C116" s="2" t="s">
        <v>191</v>
      </c>
      <c r="D116" s="11">
        <v>37042</v>
      </c>
      <c r="F116" s="119" t="str">
        <f t="shared" si="2"/>
        <v>-</v>
      </c>
      <c r="G116" s="181">
        <v>0.45</v>
      </c>
      <c r="H116" s="181">
        <v>0.47</v>
      </c>
      <c r="I116" s="8">
        <v>5000</v>
      </c>
      <c r="J116" s="8">
        <v>5000</v>
      </c>
      <c r="K116" s="14" t="s">
        <v>73</v>
      </c>
    </row>
    <row r="117" spans="3:11">
      <c r="C117" s="2" t="s">
        <v>190</v>
      </c>
      <c r="D117" s="11">
        <v>37036</v>
      </c>
      <c r="F117" s="119" t="str">
        <f t="shared" si="2"/>
        <v>-</v>
      </c>
      <c r="G117" s="181">
        <v>0.34499999999999997</v>
      </c>
      <c r="H117" s="181">
        <v>0.35499999999999998</v>
      </c>
      <c r="I117" s="8">
        <v>5000</v>
      </c>
      <c r="J117" s="8">
        <v>5000</v>
      </c>
      <c r="K117" s="14" t="s">
        <v>73</v>
      </c>
    </row>
    <row r="118" spans="3:11">
      <c r="C118" s="2" t="s">
        <v>189</v>
      </c>
      <c r="D118" s="11">
        <v>37033</v>
      </c>
      <c r="F118" s="119" t="str">
        <f t="shared" si="2"/>
        <v>-</v>
      </c>
      <c r="G118" s="181">
        <v>0.17499999999999999</v>
      </c>
      <c r="H118" s="181">
        <v>0.19500000000000001</v>
      </c>
      <c r="I118" s="8">
        <v>5000</v>
      </c>
      <c r="J118" s="8">
        <v>5000</v>
      </c>
      <c r="K118" s="14" t="s">
        <v>73</v>
      </c>
    </row>
    <row r="119" spans="3:11">
      <c r="C119" s="2" t="s">
        <v>188</v>
      </c>
      <c r="D119" s="11">
        <v>37001</v>
      </c>
      <c r="F119" s="119" t="str">
        <f t="shared" si="2"/>
        <v>-</v>
      </c>
      <c r="G119" s="181">
        <v>0.1275</v>
      </c>
      <c r="H119" s="181">
        <v>0.13750000000000001</v>
      </c>
      <c r="I119" s="8">
        <v>10000</v>
      </c>
      <c r="J119" s="8">
        <v>10000</v>
      </c>
      <c r="K119" s="14" t="s">
        <v>73</v>
      </c>
    </row>
    <row r="120" spans="3:11">
      <c r="C120" s="2" t="s">
        <v>194</v>
      </c>
      <c r="D120" s="11">
        <v>36463</v>
      </c>
      <c r="F120" s="119" t="str">
        <f t="shared" si="2"/>
        <v>-</v>
      </c>
      <c r="G120" s="181">
        <v>28.25</v>
      </c>
      <c r="H120" s="181">
        <v>28.75</v>
      </c>
      <c r="I120" s="8">
        <v>50</v>
      </c>
      <c r="J120" s="8">
        <v>50</v>
      </c>
      <c r="K120" s="14" t="s">
        <v>73</v>
      </c>
    </row>
    <row r="121" spans="3:11">
      <c r="C121" s="2" t="s">
        <v>200</v>
      </c>
      <c r="D121" s="11">
        <v>40677</v>
      </c>
      <c r="F121" s="119" t="str">
        <f t="shared" si="2"/>
        <v>-</v>
      </c>
      <c r="G121" s="181"/>
      <c r="H121" s="181"/>
      <c r="I121" s="8"/>
      <c r="J121" s="8"/>
      <c r="K121" s="14" t="s">
        <v>73</v>
      </c>
    </row>
    <row r="122" spans="3:11">
      <c r="C122" s="2" t="s">
        <v>195</v>
      </c>
      <c r="D122" s="11">
        <v>36484</v>
      </c>
      <c r="F122" s="119" t="str">
        <f t="shared" si="2"/>
        <v>-</v>
      </c>
      <c r="G122" s="181">
        <v>50.75</v>
      </c>
      <c r="H122" s="181">
        <v>51.75</v>
      </c>
      <c r="I122" s="8">
        <v>50</v>
      </c>
      <c r="J122" s="8">
        <v>50</v>
      </c>
      <c r="K122" s="14" t="s">
        <v>73</v>
      </c>
    </row>
    <row r="123" spans="3:11">
      <c r="C123" s="2" t="s">
        <v>260</v>
      </c>
      <c r="D123" s="11">
        <v>29565</v>
      </c>
      <c r="F123" s="119" t="str">
        <f t="shared" si="2"/>
        <v>-</v>
      </c>
      <c r="G123" s="181">
        <v>23.5</v>
      </c>
      <c r="H123" s="181">
        <v>26.5</v>
      </c>
      <c r="I123" s="8">
        <v>50</v>
      </c>
      <c r="J123" s="8">
        <v>50</v>
      </c>
      <c r="K123" s="14" t="s">
        <v>73</v>
      </c>
    </row>
    <row r="124" spans="3:11">
      <c r="C124" s="2" t="s">
        <v>260</v>
      </c>
      <c r="D124" s="11">
        <v>29565</v>
      </c>
      <c r="F124" s="119" t="str">
        <f t="shared" si="2"/>
        <v>-</v>
      </c>
      <c r="G124" s="181">
        <v>23.5</v>
      </c>
      <c r="H124" s="181">
        <v>26.5</v>
      </c>
      <c r="I124" s="8">
        <v>50</v>
      </c>
      <c r="J124" s="8">
        <v>50</v>
      </c>
      <c r="K124" s="14" t="s">
        <v>73</v>
      </c>
    </row>
    <row r="125" spans="3:11">
      <c r="C125" s="2" t="s">
        <v>255</v>
      </c>
      <c r="D125" s="11">
        <v>29067</v>
      </c>
      <c r="F125" s="119" t="str">
        <f t="shared" si="2"/>
        <v>-</v>
      </c>
      <c r="G125" s="181">
        <v>14</v>
      </c>
      <c r="H125" s="181">
        <v>16</v>
      </c>
      <c r="I125" s="8">
        <v>50</v>
      </c>
      <c r="J125" s="8">
        <v>50</v>
      </c>
      <c r="K125" s="14" t="s">
        <v>73</v>
      </c>
    </row>
    <row r="126" spans="3:11">
      <c r="C126" s="2" t="s">
        <v>256</v>
      </c>
      <c r="D126" s="11">
        <v>29070</v>
      </c>
      <c r="F126" s="119" t="str">
        <f t="shared" si="2"/>
        <v>-</v>
      </c>
      <c r="G126" s="181"/>
      <c r="H126" s="181"/>
      <c r="I126" s="8"/>
      <c r="J126" s="8"/>
      <c r="K126" s="14" t="s">
        <v>73</v>
      </c>
    </row>
    <row r="127" spans="3:11">
      <c r="C127" s="2" t="s">
        <v>269</v>
      </c>
      <c r="D127" s="11">
        <v>32228</v>
      </c>
      <c r="F127" s="119" t="str">
        <f t="shared" si="2"/>
        <v>-</v>
      </c>
      <c r="G127" s="181">
        <v>39.950000000000003</v>
      </c>
      <c r="H127" s="181">
        <v>40.35</v>
      </c>
      <c r="I127" s="8">
        <v>50</v>
      </c>
      <c r="J127" s="8">
        <v>50</v>
      </c>
      <c r="K127" s="14" t="s">
        <v>73</v>
      </c>
    </row>
    <row r="128" spans="3:11">
      <c r="C128" s="2" t="s">
        <v>271</v>
      </c>
      <c r="D128" s="11">
        <v>32233</v>
      </c>
      <c r="F128" s="119" t="str">
        <f t="shared" si="2"/>
        <v>-</v>
      </c>
      <c r="G128" s="181">
        <v>41.7</v>
      </c>
      <c r="H128" s="181">
        <v>42.2</v>
      </c>
      <c r="I128" s="8">
        <v>50</v>
      </c>
      <c r="J128" s="8">
        <v>50</v>
      </c>
      <c r="K128" s="14" t="s">
        <v>73</v>
      </c>
    </row>
    <row r="129" spans="3:11">
      <c r="C129" s="2" t="s">
        <v>270</v>
      </c>
      <c r="D129" s="11">
        <v>32230</v>
      </c>
      <c r="F129" s="119" t="str">
        <f t="shared" si="2"/>
        <v>-</v>
      </c>
      <c r="G129" s="181">
        <v>33.85</v>
      </c>
      <c r="H129" s="181">
        <v>34.450000000000003</v>
      </c>
      <c r="I129" s="8">
        <v>50</v>
      </c>
      <c r="J129" s="8">
        <v>50</v>
      </c>
      <c r="K129" s="14" t="s">
        <v>73</v>
      </c>
    </row>
    <row r="130" spans="3:11">
      <c r="C130" s="2" t="s">
        <v>258</v>
      </c>
      <c r="D130" s="11">
        <v>29086</v>
      </c>
      <c r="F130" s="119" t="str">
        <f t="shared" si="2"/>
        <v>-</v>
      </c>
      <c r="G130" s="181">
        <v>23.65</v>
      </c>
      <c r="H130" s="181">
        <v>24.15</v>
      </c>
      <c r="I130" s="8">
        <v>50</v>
      </c>
      <c r="J130" s="8">
        <v>50</v>
      </c>
      <c r="K130" s="14" t="s">
        <v>73</v>
      </c>
    </row>
    <row r="131" spans="3:11">
      <c r="C131" s="2" t="s">
        <v>257</v>
      </c>
      <c r="D131" s="11">
        <v>29084</v>
      </c>
      <c r="F131" s="119" t="str">
        <f t="shared" si="2"/>
        <v>-</v>
      </c>
      <c r="G131" s="181"/>
      <c r="H131" s="181"/>
      <c r="I131" s="8"/>
      <c r="J131" s="8"/>
      <c r="K131" s="14" t="s">
        <v>73</v>
      </c>
    </row>
    <row r="132" spans="3:11">
      <c r="C132" s="2" t="s">
        <v>259</v>
      </c>
      <c r="D132" s="11">
        <v>29089</v>
      </c>
      <c r="F132" s="119">
        <f t="shared" si="2"/>
        <v>24.05</v>
      </c>
      <c r="G132" s="181">
        <v>23.8</v>
      </c>
      <c r="H132" s="181">
        <v>24.3</v>
      </c>
      <c r="I132" s="8">
        <v>50</v>
      </c>
      <c r="J132" s="8">
        <v>50</v>
      </c>
      <c r="K132" s="14" t="s">
        <v>74</v>
      </c>
    </row>
    <row r="133" spans="3:11">
      <c r="C133" s="2" t="s">
        <v>254</v>
      </c>
      <c r="D133" s="11">
        <v>29065</v>
      </c>
      <c r="F133" s="119" t="str">
        <f t="shared" si="2"/>
        <v>-</v>
      </c>
      <c r="G133" s="181"/>
      <c r="H133" s="181"/>
      <c r="I133" s="8"/>
      <c r="J133" s="8"/>
      <c r="K133" s="14" t="s">
        <v>73</v>
      </c>
    </row>
    <row r="134" spans="3:11">
      <c r="C134" s="2" t="s">
        <v>195</v>
      </c>
      <c r="D134" s="11">
        <v>36484</v>
      </c>
      <c r="F134" s="119" t="str">
        <f t="shared" si="2"/>
        <v>-</v>
      </c>
      <c r="G134" s="181">
        <v>50.75</v>
      </c>
      <c r="H134" s="181">
        <v>51.75</v>
      </c>
      <c r="I134" s="8">
        <v>50</v>
      </c>
      <c r="J134" s="8">
        <v>50</v>
      </c>
      <c r="K134" s="14" t="s">
        <v>73</v>
      </c>
    </row>
    <row r="135" spans="3:11">
      <c r="C135" s="2" t="s">
        <v>202</v>
      </c>
      <c r="D135" s="11">
        <v>44329</v>
      </c>
      <c r="F135" s="119" t="str">
        <f t="shared" si="2"/>
        <v>-</v>
      </c>
      <c r="G135" s="181">
        <v>15.6</v>
      </c>
      <c r="H135" s="181">
        <v>15.95</v>
      </c>
      <c r="I135" s="8">
        <v>25000</v>
      </c>
      <c r="J135" s="8">
        <v>25000</v>
      </c>
      <c r="K135" s="14" t="s">
        <v>73</v>
      </c>
    </row>
    <row r="136" spans="3:11">
      <c r="C136" s="2" t="s">
        <v>149</v>
      </c>
      <c r="D136" s="11">
        <v>44395</v>
      </c>
      <c r="F136" s="119" t="str">
        <f t="shared" si="2"/>
        <v>-</v>
      </c>
      <c r="G136" s="181">
        <v>18.75</v>
      </c>
      <c r="H136" s="181">
        <v>19.149999999999999</v>
      </c>
      <c r="I136" s="8">
        <v>25000</v>
      </c>
      <c r="J136" s="8">
        <v>25000</v>
      </c>
      <c r="K136" s="14" t="s">
        <v>73</v>
      </c>
    </row>
    <row r="137" spans="3:11">
      <c r="C137" s="2" t="s">
        <v>202</v>
      </c>
      <c r="D137" s="11">
        <v>44329</v>
      </c>
      <c r="F137" s="119" t="str">
        <f t="shared" si="2"/>
        <v>-</v>
      </c>
      <c r="G137" s="181">
        <v>15.6</v>
      </c>
      <c r="H137" s="181">
        <v>15.95</v>
      </c>
      <c r="I137" s="8">
        <v>25000</v>
      </c>
      <c r="J137" s="8">
        <v>25000</v>
      </c>
      <c r="K137" s="14" t="s">
        <v>73</v>
      </c>
    </row>
    <row r="138" spans="3:11">
      <c r="C138" s="2" t="s">
        <v>193</v>
      </c>
      <c r="D138" s="11">
        <v>36462</v>
      </c>
      <c r="F138" s="119" t="str">
        <f t="shared" si="2"/>
        <v>-</v>
      </c>
      <c r="G138" s="181">
        <v>50</v>
      </c>
      <c r="H138" s="181">
        <v>51.5</v>
      </c>
      <c r="I138" s="8">
        <v>50</v>
      </c>
      <c r="J138" s="8">
        <v>50</v>
      </c>
      <c r="K138" s="14" t="s">
        <v>73</v>
      </c>
    </row>
    <row r="139" spans="3:11">
      <c r="C139" s="2" t="s">
        <v>28</v>
      </c>
      <c r="D139" s="11">
        <v>32246</v>
      </c>
      <c r="F139" s="119" t="str">
        <f t="shared" si="2"/>
        <v>-</v>
      </c>
      <c r="G139" s="181">
        <v>83.5</v>
      </c>
      <c r="H139" s="181">
        <v>88.5</v>
      </c>
      <c r="I139" s="8">
        <v>50</v>
      </c>
      <c r="J139" s="8">
        <v>50</v>
      </c>
      <c r="K139" s="14" t="s">
        <v>73</v>
      </c>
    </row>
    <row r="140" spans="3:11">
      <c r="C140" s="2" t="s">
        <v>27</v>
      </c>
      <c r="D140" s="11">
        <v>36169</v>
      </c>
      <c r="F140" s="119" t="str">
        <f t="shared" si="2"/>
        <v>-</v>
      </c>
      <c r="G140" s="181">
        <v>0.28249999999999997</v>
      </c>
      <c r="H140" s="181">
        <v>0.29249999999999998</v>
      </c>
      <c r="I140" s="8">
        <v>10000</v>
      </c>
      <c r="J140" s="8">
        <v>10000</v>
      </c>
      <c r="K140" s="14" t="s">
        <v>73</v>
      </c>
    </row>
    <row r="141" spans="3:11">
      <c r="C141" s="2" t="s">
        <v>170</v>
      </c>
      <c r="D141" s="11">
        <v>39352</v>
      </c>
      <c r="F141" s="119" t="str">
        <f t="shared" si="2"/>
        <v>-</v>
      </c>
      <c r="G141" s="181">
        <v>0.51</v>
      </c>
      <c r="H141" s="181">
        <v>0.53</v>
      </c>
      <c r="I141" s="8">
        <v>10000</v>
      </c>
      <c r="J141" s="8">
        <v>10000</v>
      </c>
      <c r="K141" s="14" t="s">
        <v>73</v>
      </c>
    </row>
    <row r="142" spans="3:11">
      <c r="C142" s="2" t="s">
        <v>165</v>
      </c>
      <c r="D142" s="11">
        <v>37083</v>
      </c>
      <c r="F142" s="119" t="str">
        <f>IF(AND(K142="A",ABS(G142)&gt;0,ABS(H142)&gt;=0),(G142+H142)/2,"-")</f>
        <v>-</v>
      </c>
      <c r="G142" s="181">
        <v>7.4999999999999997E-3</v>
      </c>
      <c r="H142" s="181">
        <v>1.2500000000000001E-2</v>
      </c>
      <c r="I142" s="8">
        <v>50000</v>
      </c>
      <c r="J142" s="8">
        <v>50000</v>
      </c>
      <c r="K142" s="14" t="s">
        <v>73</v>
      </c>
    </row>
    <row r="143" spans="3:11">
      <c r="C143" s="2" t="s">
        <v>163</v>
      </c>
      <c r="D143" s="11">
        <v>36167</v>
      </c>
      <c r="F143" s="119" t="str">
        <f t="shared" si="2"/>
        <v>-</v>
      </c>
      <c r="G143" s="181">
        <v>0.01</v>
      </c>
      <c r="H143" s="181">
        <v>0.02</v>
      </c>
      <c r="I143" s="8">
        <v>15000</v>
      </c>
      <c r="J143" s="8">
        <v>15000</v>
      </c>
      <c r="K143" s="14" t="s">
        <v>73</v>
      </c>
    </row>
    <row r="144" spans="3:11">
      <c r="C144" s="2" t="s">
        <v>162</v>
      </c>
      <c r="D144" s="11">
        <v>36165</v>
      </c>
      <c r="F144" s="119" t="str">
        <f t="shared" si="2"/>
        <v>-</v>
      </c>
      <c r="G144" s="181">
        <v>-7.2499999999999995E-2</v>
      </c>
      <c r="H144" s="181">
        <v>-6.25E-2</v>
      </c>
      <c r="I144" s="8">
        <v>15000</v>
      </c>
      <c r="J144" s="8">
        <v>25000</v>
      </c>
      <c r="K144" s="14" t="s">
        <v>73</v>
      </c>
    </row>
    <row r="145" spans="3:11">
      <c r="C145" s="2" t="s">
        <v>155</v>
      </c>
      <c r="D145" s="11">
        <v>37103</v>
      </c>
      <c r="F145" s="119" t="str">
        <f t="shared" si="2"/>
        <v>-</v>
      </c>
      <c r="G145" s="181">
        <v>0.26250000000000001</v>
      </c>
      <c r="H145" s="181">
        <v>0.27250000000000002</v>
      </c>
      <c r="I145" s="8">
        <v>10000</v>
      </c>
      <c r="J145" s="8">
        <v>10000</v>
      </c>
      <c r="K145" s="14" t="s">
        <v>73</v>
      </c>
    </row>
    <row r="146" spans="3:11">
      <c r="C146" s="2" t="s">
        <v>154</v>
      </c>
      <c r="D146" s="11">
        <v>36161</v>
      </c>
      <c r="F146" s="119" t="str">
        <f t="shared" si="2"/>
        <v>-</v>
      </c>
      <c r="G146" s="181">
        <v>0.14499999999999999</v>
      </c>
      <c r="H146" s="181">
        <v>0.155</v>
      </c>
      <c r="I146" s="8">
        <v>10000</v>
      </c>
      <c r="J146" s="8">
        <v>10000</v>
      </c>
      <c r="K146" s="14" t="s">
        <v>73</v>
      </c>
    </row>
    <row r="147" spans="3:11">
      <c r="C147" s="2" t="s">
        <v>153</v>
      </c>
      <c r="D147" s="11">
        <v>37071</v>
      </c>
      <c r="F147" s="119" t="str">
        <f t="shared" si="2"/>
        <v>-</v>
      </c>
      <c r="G147" s="181">
        <v>0.11</v>
      </c>
      <c r="H147" s="181">
        <v>0.12</v>
      </c>
      <c r="I147" s="8">
        <v>10000</v>
      </c>
      <c r="J147" s="8">
        <v>9000</v>
      </c>
      <c r="K147" s="14" t="s">
        <v>73</v>
      </c>
    </row>
    <row r="148" spans="3:11">
      <c r="C148" s="2" t="s">
        <v>169</v>
      </c>
      <c r="D148" s="11">
        <v>39326</v>
      </c>
      <c r="F148" s="119" t="str">
        <f t="shared" si="2"/>
        <v>-</v>
      </c>
      <c r="G148" s="181">
        <v>0.40500000000000003</v>
      </c>
      <c r="H148" s="181">
        <v>0.435</v>
      </c>
      <c r="I148" s="8">
        <v>10000</v>
      </c>
      <c r="J148" s="8">
        <v>10000</v>
      </c>
      <c r="K148" s="14" t="s">
        <v>73</v>
      </c>
    </row>
    <row r="149" spans="3:11">
      <c r="C149" s="2" t="s">
        <v>168</v>
      </c>
      <c r="D149" s="11">
        <v>39312</v>
      </c>
      <c r="F149" s="119" t="str">
        <f t="shared" si="2"/>
        <v>-</v>
      </c>
      <c r="G149" s="181">
        <v>0.22500000000000001</v>
      </c>
      <c r="H149" s="181">
        <v>0.23499999999999999</v>
      </c>
      <c r="I149" s="8">
        <v>10000</v>
      </c>
      <c r="J149" s="8">
        <v>10000</v>
      </c>
      <c r="K149" s="14" t="s">
        <v>73</v>
      </c>
    </row>
    <row r="150" spans="3:11">
      <c r="C150" s="2" t="s">
        <v>180</v>
      </c>
      <c r="D150" s="11">
        <v>39110</v>
      </c>
      <c r="F150" s="119" t="str">
        <f t="shared" si="2"/>
        <v>-</v>
      </c>
      <c r="G150" s="181">
        <v>0.26500000000000001</v>
      </c>
      <c r="H150" s="181">
        <v>0.27500000000000002</v>
      </c>
      <c r="I150" s="8">
        <v>10000</v>
      </c>
      <c r="J150" s="8">
        <v>10000</v>
      </c>
      <c r="K150" s="14" t="s">
        <v>73</v>
      </c>
    </row>
    <row r="151" spans="3:11">
      <c r="C151" s="2" t="s">
        <v>161</v>
      </c>
      <c r="D151" s="11">
        <v>36100</v>
      </c>
      <c r="F151" s="119" t="str">
        <f t="shared" si="2"/>
        <v>-</v>
      </c>
      <c r="G151" s="181"/>
      <c r="H151" s="181"/>
      <c r="I151" s="8"/>
      <c r="J151" s="8"/>
      <c r="K151" s="14" t="s">
        <v>73</v>
      </c>
    </row>
    <row r="152" spans="3:11">
      <c r="C152" s="2" t="s">
        <v>21</v>
      </c>
      <c r="D152" s="11">
        <v>37016</v>
      </c>
      <c r="F152" s="119" t="str">
        <f t="shared" si="2"/>
        <v>-</v>
      </c>
      <c r="G152" s="181"/>
      <c r="H152" s="181"/>
      <c r="I152" s="8"/>
      <c r="J152" s="8"/>
      <c r="K152" s="14" t="s">
        <v>73</v>
      </c>
    </row>
    <row r="153" spans="3:11">
      <c r="C153" s="2" t="s">
        <v>164</v>
      </c>
      <c r="D153" s="11">
        <v>36207</v>
      </c>
      <c r="F153" s="119" t="str">
        <f t="shared" si="2"/>
        <v>-</v>
      </c>
      <c r="G153" s="181"/>
      <c r="H153" s="181"/>
      <c r="I153" s="8"/>
      <c r="J153" s="8"/>
      <c r="K153" s="14" t="s">
        <v>73</v>
      </c>
    </row>
    <row r="154" spans="3:11">
      <c r="C154" s="2" t="s">
        <v>184</v>
      </c>
      <c r="D154" s="11">
        <v>39354</v>
      </c>
      <c r="F154" s="119">
        <f t="shared" si="2"/>
        <v>0.74</v>
      </c>
      <c r="G154" s="182">
        <v>0.73</v>
      </c>
      <c r="H154" s="181">
        <v>0.75</v>
      </c>
      <c r="I154" s="8">
        <v>10000</v>
      </c>
      <c r="J154" s="8">
        <v>10000</v>
      </c>
      <c r="K154" s="14" t="s">
        <v>74</v>
      </c>
    </row>
    <row r="155" spans="3:11">
      <c r="C155" s="2" t="s">
        <v>183</v>
      </c>
      <c r="D155" s="11">
        <v>39328</v>
      </c>
      <c r="F155" s="119">
        <f t="shared" si="2"/>
        <v>0.64500000000000002</v>
      </c>
      <c r="G155" s="181">
        <v>0.63</v>
      </c>
      <c r="H155" s="181">
        <v>0.66</v>
      </c>
      <c r="I155" s="8">
        <v>10000</v>
      </c>
      <c r="J155" s="8">
        <v>10000</v>
      </c>
      <c r="K155" s="14" t="s">
        <v>74</v>
      </c>
    </row>
    <row r="156" spans="3:11">
      <c r="C156" s="2" t="s">
        <v>182</v>
      </c>
      <c r="D156" s="11">
        <v>39314</v>
      </c>
      <c r="F156" s="119">
        <f t="shared" si="2"/>
        <v>0.13600000000000001</v>
      </c>
      <c r="G156" s="183">
        <v>0.13500000000000001</v>
      </c>
      <c r="H156" s="182">
        <v>0.13700000000000001</v>
      </c>
      <c r="I156" s="8">
        <v>10000</v>
      </c>
      <c r="J156" s="129">
        <v>10000</v>
      </c>
      <c r="K156" s="14" t="s">
        <v>74</v>
      </c>
    </row>
    <row r="157" spans="3:11">
      <c r="C157" s="2" t="s">
        <v>188</v>
      </c>
      <c r="D157" s="11">
        <v>37001</v>
      </c>
      <c r="F157" s="119" t="str">
        <f t="shared" si="2"/>
        <v>-</v>
      </c>
      <c r="G157" s="181">
        <v>0.1275</v>
      </c>
      <c r="H157" s="181">
        <v>0.13750000000000001</v>
      </c>
      <c r="I157" s="8">
        <v>10000</v>
      </c>
      <c r="J157" s="8">
        <v>10000</v>
      </c>
      <c r="K157" s="14" t="s">
        <v>73</v>
      </c>
    </row>
    <row r="158" spans="3:11">
      <c r="C158" s="2" t="s">
        <v>23</v>
      </c>
      <c r="D158" s="11">
        <v>39256</v>
      </c>
      <c r="F158" s="119" t="str">
        <f t="shared" si="2"/>
        <v>-</v>
      </c>
      <c r="G158" s="181">
        <v>0.32</v>
      </c>
      <c r="H158" s="181">
        <v>0.34</v>
      </c>
      <c r="I158" s="8">
        <v>5000</v>
      </c>
      <c r="J158" s="8">
        <v>5000</v>
      </c>
      <c r="K158" s="14" t="s">
        <v>73</v>
      </c>
    </row>
    <row r="159" spans="3:11">
      <c r="C159" s="2" t="s">
        <v>22</v>
      </c>
      <c r="D159" s="11">
        <v>36213</v>
      </c>
      <c r="F159" s="119" t="str">
        <f t="shared" si="2"/>
        <v>-</v>
      </c>
      <c r="G159" s="181">
        <v>0.27</v>
      </c>
      <c r="H159" s="181">
        <v>0.3</v>
      </c>
      <c r="I159" s="8">
        <v>15000</v>
      </c>
      <c r="J159" s="8">
        <v>15000</v>
      </c>
      <c r="K159" s="14" t="s">
        <v>73</v>
      </c>
    </row>
    <row r="160" spans="3:11">
      <c r="C160" s="2" t="s">
        <v>25</v>
      </c>
      <c r="D160" s="11">
        <v>41283</v>
      </c>
      <c r="F160" s="119" t="str">
        <f t="shared" si="2"/>
        <v>-</v>
      </c>
      <c r="G160" s="181"/>
      <c r="H160" s="181"/>
      <c r="I160" s="8"/>
      <c r="J160" s="8"/>
      <c r="K160" s="14" t="s">
        <v>73</v>
      </c>
    </row>
    <row r="161" spans="3:11">
      <c r="C161" s="2" t="s">
        <v>24</v>
      </c>
      <c r="D161" s="11">
        <v>47099</v>
      </c>
      <c r="F161" s="119" t="str">
        <f t="shared" si="2"/>
        <v>-</v>
      </c>
      <c r="G161" s="181">
        <v>0</v>
      </c>
      <c r="H161" s="181">
        <v>0.01</v>
      </c>
      <c r="I161" s="8">
        <v>10000</v>
      </c>
      <c r="J161" s="8">
        <v>10000</v>
      </c>
      <c r="K161" s="14" t="s">
        <v>73</v>
      </c>
    </row>
    <row r="162" spans="3:11">
      <c r="C162" s="2" t="s">
        <v>181</v>
      </c>
      <c r="D162" s="11">
        <v>39260</v>
      </c>
      <c r="F162" s="119" t="str">
        <f t="shared" si="2"/>
        <v>-</v>
      </c>
      <c r="G162" s="181">
        <v>-0.17</v>
      </c>
      <c r="H162" s="181">
        <v>-0.155</v>
      </c>
      <c r="I162" s="8">
        <v>10000</v>
      </c>
      <c r="J162" s="8">
        <v>10000</v>
      </c>
      <c r="K162" s="14" t="s">
        <v>73</v>
      </c>
    </row>
    <row r="163" spans="3:11">
      <c r="C163" s="2" t="s">
        <v>179</v>
      </c>
      <c r="D163" s="11">
        <v>38914</v>
      </c>
      <c r="F163" s="119" t="str">
        <f t="shared" ref="F163:F196" si="3">IF(AND(K163="A",ABS(G163)&gt;0,ABS(H163)&gt;0),(G163+H163)/2,"-")</f>
        <v>-</v>
      </c>
      <c r="G163" s="181">
        <v>-0.23499999999999999</v>
      </c>
      <c r="H163" s="181">
        <v>-0.215</v>
      </c>
      <c r="I163" s="8">
        <v>10000</v>
      </c>
      <c r="J163" s="8">
        <v>10000</v>
      </c>
      <c r="K163" s="14" t="s">
        <v>73</v>
      </c>
    </row>
    <row r="164" spans="3:11">
      <c r="C164" s="2" t="s">
        <v>186</v>
      </c>
      <c r="D164" s="11">
        <v>41281</v>
      </c>
      <c r="F164" s="119" t="str">
        <f t="shared" si="3"/>
        <v>-</v>
      </c>
      <c r="G164" s="181"/>
      <c r="H164" s="181"/>
      <c r="I164" s="8"/>
      <c r="J164" s="8"/>
      <c r="K164" s="14" t="s">
        <v>73</v>
      </c>
    </row>
    <row r="165" spans="3:11">
      <c r="C165" s="2" t="s">
        <v>185</v>
      </c>
      <c r="D165" s="11">
        <v>39370</v>
      </c>
      <c r="F165" s="119" t="str">
        <f t="shared" si="3"/>
        <v>-</v>
      </c>
      <c r="G165" s="181">
        <v>-0.32500000000000001</v>
      </c>
      <c r="H165" s="181">
        <v>-0.30499999999999999</v>
      </c>
      <c r="I165" s="8">
        <v>10000</v>
      </c>
      <c r="J165" s="8">
        <v>10000</v>
      </c>
      <c r="K165" s="14" t="s">
        <v>73</v>
      </c>
    </row>
    <row r="166" spans="3:11">
      <c r="C166" s="2" t="s">
        <v>59</v>
      </c>
      <c r="D166" s="11">
        <v>45213</v>
      </c>
      <c r="F166" s="119" t="str">
        <f t="shared" si="3"/>
        <v>-</v>
      </c>
      <c r="G166" s="181">
        <v>0.13500000000000001</v>
      </c>
      <c r="H166" s="181">
        <v>0.15</v>
      </c>
      <c r="I166" s="8">
        <v>5000</v>
      </c>
      <c r="J166" s="8">
        <v>5000</v>
      </c>
      <c r="K166" s="14" t="s">
        <v>73</v>
      </c>
    </row>
    <row r="167" spans="3:11">
      <c r="C167" s="2" t="s">
        <v>26</v>
      </c>
      <c r="D167" s="11">
        <v>49143</v>
      </c>
      <c r="F167" s="119" t="str">
        <f t="shared" si="3"/>
        <v>-</v>
      </c>
      <c r="G167" s="181">
        <v>0.75</v>
      </c>
      <c r="H167" s="181">
        <v>0.95</v>
      </c>
      <c r="I167" s="8">
        <v>5000</v>
      </c>
      <c r="J167" s="8">
        <v>5000</v>
      </c>
      <c r="K167" s="14" t="s">
        <v>73</v>
      </c>
    </row>
    <row r="168" spans="3:11">
      <c r="C168" s="2" t="s">
        <v>171</v>
      </c>
      <c r="D168" s="11">
        <v>37116</v>
      </c>
      <c r="F168" s="119" t="str">
        <f t="shared" si="3"/>
        <v>-</v>
      </c>
      <c r="G168" s="181">
        <v>-0.14499999999999999</v>
      </c>
      <c r="H168" s="181">
        <v>-0.125</v>
      </c>
      <c r="I168" s="8">
        <v>10000</v>
      </c>
      <c r="J168" s="8">
        <v>10000</v>
      </c>
      <c r="K168" s="14" t="s">
        <v>73</v>
      </c>
    </row>
    <row r="169" spans="3:11">
      <c r="C169" s="2" t="s">
        <v>12</v>
      </c>
      <c r="D169" s="11">
        <v>54054</v>
      </c>
      <c r="F169" s="119" t="str">
        <f t="shared" si="3"/>
        <v>-</v>
      </c>
      <c r="G169" s="181">
        <v>-5.0000000000000001E-3</v>
      </c>
      <c r="H169" s="181">
        <v>0</v>
      </c>
      <c r="I169" s="8">
        <v>50000</v>
      </c>
      <c r="J169" s="8">
        <v>50000</v>
      </c>
      <c r="K169" s="14" t="s">
        <v>73</v>
      </c>
    </row>
    <row r="170" spans="3:11">
      <c r="C170" s="2" t="s">
        <v>14</v>
      </c>
      <c r="D170" s="11">
        <v>54070</v>
      </c>
      <c r="F170" s="119" t="str">
        <f t="shared" si="3"/>
        <v>-</v>
      </c>
      <c r="G170" s="181">
        <v>7.4999999999999997E-3</v>
      </c>
      <c r="H170" s="181">
        <v>1.2500000000000001E-2</v>
      </c>
      <c r="I170" s="8">
        <v>25000</v>
      </c>
      <c r="J170" s="8">
        <v>25000</v>
      </c>
      <c r="K170" s="14" t="s">
        <v>73</v>
      </c>
    </row>
    <row r="171" spans="3:11">
      <c r="C171" s="2" t="s">
        <v>11</v>
      </c>
      <c r="D171" s="11">
        <v>54050</v>
      </c>
      <c r="F171" s="119" t="str">
        <f t="shared" si="3"/>
        <v>-</v>
      </c>
      <c r="G171" s="181">
        <v>-0.03</v>
      </c>
      <c r="H171" s="181">
        <v>-2.5000000000000001E-2</v>
      </c>
      <c r="I171" s="8">
        <v>25000</v>
      </c>
      <c r="J171" s="8">
        <v>25000</v>
      </c>
      <c r="K171" s="14" t="s">
        <v>73</v>
      </c>
    </row>
    <row r="172" spans="3:11">
      <c r="C172" s="2" t="s">
        <v>13</v>
      </c>
      <c r="D172" s="11">
        <v>54062</v>
      </c>
      <c r="F172" s="119" t="str">
        <f t="shared" si="3"/>
        <v>-</v>
      </c>
      <c r="G172" s="181">
        <v>-7.7499999999999999E-2</v>
      </c>
      <c r="H172" s="181">
        <v>-7.2499999999999995E-2</v>
      </c>
      <c r="I172" s="8">
        <v>25000</v>
      </c>
      <c r="J172" s="8">
        <v>25000</v>
      </c>
      <c r="K172" s="14" t="s">
        <v>73</v>
      </c>
    </row>
    <row r="173" spans="3:11">
      <c r="C173" s="2" t="s">
        <v>10</v>
      </c>
      <c r="D173" s="11">
        <v>52722</v>
      </c>
      <c r="F173" s="119" t="str">
        <f t="shared" si="3"/>
        <v>-</v>
      </c>
      <c r="G173" s="181">
        <v>3.2</v>
      </c>
      <c r="H173" s="181">
        <v>3.2149999999999999</v>
      </c>
      <c r="I173" s="8">
        <v>5000</v>
      </c>
      <c r="J173" s="8">
        <v>5000</v>
      </c>
      <c r="K173" s="14" t="s">
        <v>73</v>
      </c>
    </row>
    <row r="174" spans="3:11">
      <c r="C174" s="2" t="s">
        <v>9</v>
      </c>
      <c r="D174" s="11">
        <v>49615</v>
      </c>
      <c r="F174" s="119" t="str">
        <f t="shared" si="3"/>
        <v>-</v>
      </c>
      <c r="G174" s="181">
        <v>1.83</v>
      </c>
      <c r="H174" s="181">
        <v>1.835</v>
      </c>
      <c r="I174" s="8">
        <v>50000</v>
      </c>
      <c r="J174" s="8">
        <v>30000</v>
      </c>
      <c r="K174" s="14" t="s">
        <v>73</v>
      </c>
    </row>
    <row r="175" spans="3:11">
      <c r="C175" s="2" t="s">
        <v>6</v>
      </c>
      <c r="D175" s="11">
        <v>48730</v>
      </c>
      <c r="F175" s="119" t="str">
        <f t="shared" si="3"/>
        <v>-</v>
      </c>
      <c r="G175" s="181">
        <v>-2.2499999999999999E-2</v>
      </c>
      <c r="H175" s="181">
        <v>-1.2500000000000001E-2</v>
      </c>
      <c r="I175" s="8">
        <v>10000</v>
      </c>
      <c r="J175" s="8">
        <v>10000</v>
      </c>
      <c r="K175" s="14" t="s">
        <v>73</v>
      </c>
    </row>
    <row r="176" spans="3:11">
      <c r="C176" s="2" t="s">
        <v>196</v>
      </c>
      <c r="D176" s="11">
        <v>37096</v>
      </c>
      <c r="F176" s="119" t="str">
        <f t="shared" si="3"/>
        <v>-</v>
      </c>
      <c r="G176" s="181">
        <v>0.1</v>
      </c>
      <c r="H176" s="181">
        <v>0.12</v>
      </c>
      <c r="I176" s="8">
        <v>10000</v>
      </c>
      <c r="J176" s="8">
        <v>9839</v>
      </c>
      <c r="K176" s="14" t="s">
        <v>73</v>
      </c>
    </row>
    <row r="177" spans="3:11">
      <c r="C177" s="2" t="s">
        <v>8</v>
      </c>
      <c r="D177" s="11">
        <v>48788</v>
      </c>
      <c r="F177" s="119" t="str">
        <f t="shared" si="3"/>
        <v>-</v>
      </c>
      <c r="G177" s="181"/>
      <c r="H177" s="181"/>
      <c r="I177" s="8"/>
      <c r="J177" s="8"/>
      <c r="K177" s="14" t="s">
        <v>73</v>
      </c>
    </row>
    <row r="178" spans="3:11">
      <c r="C178" s="2" t="s">
        <v>198</v>
      </c>
      <c r="D178" s="11">
        <v>37182</v>
      </c>
      <c r="F178" s="119" t="str">
        <f t="shared" si="3"/>
        <v>-</v>
      </c>
      <c r="G178" s="181">
        <v>2.5000000000000001E-2</v>
      </c>
      <c r="H178" s="181">
        <v>4.4999999999999998E-2</v>
      </c>
      <c r="I178" s="8">
        <v>10000</v>
      </c>
      <c r="J178" s="8">
        <v>10000</v>
      </c>
      <c r="K178" s="14" t="s">
        <v>73</v>
      </c>
    </row>
    <row r="179" spans="3:11">
      <c r="C179" s="2" t="s">
        <v>7</v>
      </c>
      <c r="D179" s="11">
        <v>48738</v>
      </c>
      <c r="F179" s="119" t="str">
        <f t="shared" si="3"/>
        <v>-</v>
      </c>
      <c r="G179" s="181"/>
      <c r="H179" s="181"/>
      <c r="I179" s="8"/>
      <c r="J179" s="8"/>
      <c r="K179" s="14" t="s">
        <v>73</v>
      </c>
    </row>
    <row r="180" spans="3:11">
      <c r="C180" s="2" t="s">
        <v>192</v>
      </c>
      <c r="D180" s="11">
        <v>47664</v>
      </c>
      <c r="F180" s="119" t="str">
        <f t="shared" si="3"/>
        <v>-</v>
      </c>
      <c r="G180" s="181"/>
      <c r="H180" s="181"/>
      <c r="I180" s="8"/>
      <c r="J180" s="8"/>
      <c r="K180" s="14" t="s">
        <v>73</v>
      </c>
    </row>
    <row r="181" spans="3:11">
      <c r="C181" s="2" t="s">
        <v>15</v>
      </c>
      <c r="D181" s="11">
        <v>49625</v>
      </c>
      <c r="F181" s="119" t="str">
        <f t="shared" si="3"/>
        <v>-</v>
      </c>
      <c r="G181" s="181">
        <v>3.2185000000000001</v>
      </c>
      <c r="H181" s="181">
        <v>3.2315</v>
      </c>
      <c r="I181" s="8">
        <v>150</v>
      </c>
      <c r="J181" s="8">
        <v>150</v>
      </c>
      <c r="K181" s="14" t="s">
        <v>73</v>
      </c>
    </row>
    <row r="182" spans="3:11">
      <c r="C182" s="2" t="s">
        <v>199</v>
      </c>
      <c r="D182" s="11">
        <v>40519</v>
      </c>
      <c r="F182" s="119">
        <f t="shared" si="3"/>
        <v>37.299999999999997</v>
      </c>
      <c r="G182" s="182">
        <v>36.9</v>
      </c>
      <c r="H182" s="182">
        <v>37.700000000000003</v>
      </c>
      <c r="I182" s="8">
        <v>50</v>
      </c>
      <c r="J182" s="8">
        <v>50</v>
      </c>
      <c r="K182" s="14" t="s">
        <v>74</v>
      </c>
    </row>
    <row r="183" spans="3:11">
      <c r="C183" s="2" t="s">
        <v>159</v>
      </c>
      <c r="D183" s="11">
        <v>54117</v>
      </c>
      <c r="F183" s="119" t="str">
        <f t="shared" si="3"/>
        <v>-</v>
      </c>
      <c r="G183" s="181"/>
      <c r="H183" s="181"/>
      <c r="I183" s="8"/>
      <c r="J183" s="8"/>
      <c r="K183" s="14" t="s">
        <v>73</v>
      </c>
    </row>
    <row r="184" spans="3:11">
      <c r="C184" s="2" t="s">
        <v>16</v>
      </c>
      <c r="D184" s="11">
        <v>54962</v>
      </c>
      <c r="F184" s="119" t="str">
        <f t="shared" si="3"/>
        <v>-</v>
      </c>
      <c r="G184" s="181"/>
      <c r="H184" s="181"/>
      <c r="I184" s="8"/>
      <c r="J184" s="8"/>
      <c r="K184" s="14" t="s">
        <v>73</v>
      </c>
    </row>
    <row r="185" spans="3:11">
      <c r="C185" s="2" t="s">
        <v>152</v>
      </c>
      <c r="D185" s="11">
        <v>40993</v>
      </c>
      <c r="F185" s="119" t="str">
        <f t="shared" si="3"/>
        <v>-</v>
      </c>
      <c r="G185" s="181">
        <v>52.75</v>
      </c>
      <c r="H185" s="181">
        <v>53.75</v>
      </c>
      <c r="I185" s="8">
        <v>50</v>
      </c>
      <c r="J185" s="8">
        <v>50</v>
      </c>
      <c r="K185" s="14" t="s">
        <v>73</v>
      </c>
    </row>
    <row r="186" spans="3:11">
      <c r="C186" s="2" t="s">
        <v>158</v>
      </c>
      <c r="D186" s="11">
        <v>52917</v>
      </c>
      <c r="F186" s="119" t="str">
        <f t="shared" si="3"/>
        <v>-</v>
      </c>
      <c r="G186" s="181">
        <v>38</v>
      </c>
      <c r="H186" s="181">
        <v>39</v>
      </c>
      <c r="I186" s="8">
        <v>50</v>
      </c>
      <c r="J186" s="8">
        <v>50</v>
      </c>
      <c r="K186" s="14" t="s">
        <v>73</v>
      </c>
    </row>
    <row r="187" spans="3:11">
      <c r="C187" s="2" t="s">
        <v>17</v>
      </c>
      <c r="D187" s="11">
        <v>54992</v>
      </c>
      <c r="F187" s="119" t="str">
        <f t="shared" si="3"/>
        <v>-</v>
      </c>
      <c r="G187" s="181">
        <v>25.75</v>
      </c>
      <c r="H187" s="181">
        <v>26.25</v>
      </c>
      <c r="I187" s="8">
        <v>50</v>
      </c>
      <c r="J187" s="8">
        <v>850</v>
      </c>
      <c r="K187" s="14" t="s">
        <v>73</v>
      </c>
    </row>
    <row r="188" spans="3:11">
      <c r="C188" s="2" t="s">
        <v>18</v>
      </c>
      <c r="D188" s="11">
        <v>54994</v>
      </c>
      <c r="F188" s="119" t="str">
        <f t="shared" si="3"/>
        <v>-</v>
      </c>
      <c r="G188" s="181">
        <v>43</v>
      </c>
      <c r="H188" s="181">
        <v>44</v>
      </c>
      <c r="I188" s="8">
        <v>100</v>
      </c>
      <c r="J188" s="8">
        <v>50</v>
      </c>
      <c r="K188" s="14" t="s">
        <v>73</v>
      </c>
    </row>
    <row r="189" spans="3:11">
      <c r="C189" s="2" t="s">
        <v>254</v>
      </c>
      <c r="D189" s="11">
        <v>29066</v>
      </c>
      <c r="F189" s="119">
        <f t="shared" si="3"/>
        <v>18.8</v>
      </c>
      <c r="G189" s="181">
        <v>18.55</v>
      </c>
      <c r="H189" s="181">
        <v>19.05</v>
      </c>
      <c r="I189" s="8">
        <v>50</v>
      </c>
      <c r="J189" s="8">
        <v>50</v>
      </c>
      <c r="K189" s="14" t="s">
        <v>74</v>
      </c>
    </row>
    <row r="190" spans="3:11">
      <c r="C190" s="2" t="s">
        <v>256</v>
      </c>
      <c r="D190" s="11">
        <v>29070</v>
      </c>
      <c r="F190" s="119" t="str">
        <f t="shared" si="3"/>
        <v>-</v>
      </c>
      <c r="G190" s="181"/>
      <c r="H190" s="181"/>
      <c r="I190" s="8"/>
      <c r="J190" s="8"/>
      <c r="K190" s="14" t="s">
        <v>73</v>
      </c>
    </row>
    <row r="191" spans="3:11">
      <c r="C191" s="2" t="s">
        <v>151</v>
      </c>
      <c r="D191" s="11">
        <v>40869</v>
      </c>
      <c r="F191" s="119" t="str">
        <f t="shared" si="3"/>
        <v>-</v>
      </c>
      <c r="G191" s="181">
        <v>53.75</v>
      </c>
      <c r="H191" s="181">
        <v>54.75</v>
      </c>
      <c r="I191" s="8">
        <v>50</v>
      </c>
      <c r="J191" s="8">
        <v>50</v>
      </c>
      <c r="K191" s="14" t="s">
        <v>73</v>
      </c>
    </row>
    <row r="192" spans="3:11">
      <c r="C192" s="2" t="s">
        <v>201</v>
      </c>
      <c r="D192" s="11">
        <v>44327</v>
      </c>
      <c r="F192" s="119" t="str">
        <f t="shared" si="3"/>
        <v>-</v>
      </c>
      <c r="G192" s="181">
        <v>15.2</v>
      </c>
      <c r="H192" s="181">
        <v>15.45</v>
      </c>
      <c r="I192" s="8">
        <v>25000</v>
      </c>
      <c r="J192" s="8">
        <v>25000</v>
      </c>
      <c r="K192" s="14" t="s">
        <v>73</v>
      </c>
    </row>
    <row r="193" spans="3:11">
      <c r="C193" s="2" t="s">
        <v>197</v>
      </c>
      <c r="D193" s="11">
        <v>37098</v>
      </c>
      <c r="F193" s="119" t="str">
        <f t="shared" si="3"/>
        <v>-</v>
      </c>
      <c r="G193" s="181">
        <v>0.14000000000000001</v>
      </c>
      <c r="H193" s="181">
        <v>0.16</v>
      </c>
      <c r="I193" s="8">
        <v>5000</v>
      </c>
      <c r="J193" s="8">
        <v>5000</v>
      </c>
      <c r="K193" s="14" t="s">
        <v>73</v>
      </c>
    </row>
    <row r="194" spans="3:11">
      <c r="C194" s="2" t="s">
        <v>177</v>
      </c>
      <c r="D194" s="11">
        <v>36208</v>
      </c>
      <c r="F194" s="119" t="str">
        <f t="shared" si="3"/>
        <v>-</v>
      </c>
      <c r="G194" s="181">
        <v>0.12</v>
      </c>
      <c r="H194" s="181">
        <v>0.13500000000000001</v>
      </c>
      <c r="I194" s="8">
        <v>10000</v>
      </c>
      <c r="J194" s="8">
        <v>10000</v>
      </c>
      <c r="K194" s="14" t="s">
        <v>73</v>
      </c>
    </row>
    <row r="195" spans="3:11">
      <c r="C195" s="2" t="s">
        <v>1</v>
      </c>
      <c r="D195" s="11">
        <v>58074</v>
      </c>
      <c r="F195" s="119">
        <f t="shared" si="3"/>
        <v>2.5649999999999999</v>
      </c>
      <c r="G195" s="183">
        <v>2.56</v>
      </c>
      <c r="H195" s="183">
        <v>2.57</v>
      </c>
      <c r="I195" s="129">
        <v>20000</v>
      </c>
      <c r="J195" s="175">
        <v>20000</v>
      </c>
      <c r="K195" s="14" t="s">
        <v>74</v>
      </c>
    </row>
    <row r="196" spans="3:11">
      <c r="F196" s="119" t="str">
        <f t="shared" si="3"/>
        <v>-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409575</xdr:colOff>
                <xdr:row>0</xdr:row>
                <xdr:rowOff>38100</xdr:rowOff>
              </from>
              <to>
                <xdr:col>0</xdr:col>
                <xdr:colOff>762000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390525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266700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cash</vt:lpstr>
      <vt:lpstr>EOL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Felienne</cp:lastModifiedBy>
  <cp:lastPrinted>2001-06-04T19:14:12Z</cp:lastPrinted>
  <dcterms:created xsi:type="dcterms:W3CDTF">1999-11-22T15:31:15Z</dcterms:created>
  <dcterms:modified xsi:type="dcterms:W3CDTF">2014-09-05T11:14:49Z</dcterms:modified>
</cp:coreProperties>
</file>