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905" yWindow="-15" windowWidth="7515" windowHeight="8835" tabRatio="884" firstSheet="4" activeTab="5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</externalReferences>
  <definedNames>
    <definedName name="_xlnm.Print_Area" localSheetId="5">Brownsville!$A$1:$BA$211</definedName>
    <definedName name="_xlnm.Print_Area" localSheetId="6">Caledonia!$A$1:$BA$212</definedName>
    <definedName name="_xlnm.Print_Area" localSheetId="7">NewAlbany!$A$1:$BA$232</definedName>
    <definedName name="_xlnm.Print_Area" localSheetId="4">Summary!$A$1:$Q$97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152511" fullCalcOnLoad="1"/>
</workbook>
</file>

<file path=xl/calcChain.xml><?xml version="1.0" encoding="utf-8"?>
<calcChain xmlns="http://schemas.openxmlformats.org/spreadsheetml/2006/main">
  <c r="A1" i="3" l="1"/>
  <c r="A2" i="3"/>
  <c r="AW3" i="3"/>
  <c r="BA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O9" i="3"/>
  <c r="U9" i="3"/>
  <c r="U18" i="3" s="1"/>
  <c r="W9" i="3"/>
  <c r="W18" i="3" s="1"/>
  <c r="AS9" i="3"/>
  <c r="AU9" i="3"/>
  <c r="O10" i="3"/>
  <c r="AA10" i="3"/>
  <c r="AC10" i="3"/>
  <c r="AC18" i="3" s="1"/>
  <c r="AE10" i="3"/>
  <c r="AE18" i="3" s="1"/>
  <c r="O11" i="3"/>
  <c r="BA11" i="3" s="1"/>
  <c r="AS11" i="3"/>
  <c r="AW11" i="3"/>
  <c r="AY11" i="3"/>
  <c r="O12" i="3"/>
  <c r="AS12" i="3"/>
  <c r="O13" i="3"/>
  <c r="AW13" i="3" s="1"/>
  <c r="AY13" i="3" s="1"/>
  <c r="AS13" i="3"/>
  <c r="BA13" i="3"/>
  <c r="O14" i="3"/>
  <c r="AS14" i="3"/>
  <c r="AW14" i="3"/>
  <c r="AY14" i="3"/>
  <c r="BA14" i="3"/>
  <c r="O15" i="3"/>
  <c r="AS15" i="3"/>
  <c r="AW15" i="3"/>
  <c r="AY15" i="3" s="1"/>
  <c r="AS16" i="3"/>
  <c r="AW16" i="3"/>
  <c r="AY16" i="3"/>
  <c r="O17" i="3"/>
  <c r="AS17" i="3"/>
  <c r="K18" i="3"/>
  <c r="M18" i="3"/>
  <c r="Q18" i="3"/>
  <c r="S18" i="3"/>
  <c r="Y18" i="3"/>
  <c r="AA18" i="3"/>
  <c r="AA33" i="3" s="1"/>
  <c r="AG18" i="3"/>
  <c r="AI18" i="3"/>
  <c r="AK18" i="3"/>
  <c r="AM18" i="3"/>
  <c r="AO18" i="3"/>
  <c r="AQ18" i="3"/>
  <c r="AU18" i="3"/>
  <c r="O20" i="3"/>
  <c r="U20" i="3"/>
  <c r="U31" i="3" s="1"/>
  <c r="U33" i="3" s="1"/>
  <c r="AA20" i="3"/>
  <c r="AA31" i="3" s="1"/>
  <c r="AC20" i="3"/>
  <c r="AE20" i="3"/>
  <c r="AK20" i="3"/>
  <c r="AS20" i="3"/>
  <c r="O21" i="3"/>
  <c r="AK21" i="3"/>
  <c r="AS21" i="3" s="1"/>
  <c r="AW21" i="3"/>
  <c r="AY21" i="3" s="1"/>
  <c r="O22" i="3"/>
  <c r="AA22" i="3"/>
  <c r="AK22" i="3"/>
  <c r="AS22" i="3"/>
  <c r="O23" i="3"/>
  <c r="U23" i="3"/>
  <c r="AK23" i="3"/>
  <c r="AS23" i="3"/>
  <c r="AW23" i="3"/>
  <c r="AY23" i="3" s="1"/>
  <c r="O24" i="3"/>
  <c r="BA24" i="3" s="1"/>
  <c r="AS24" i="3"/>
  <c r="AY24" i="3" s="1"/>
  <c r="O25" i="3"/>
  <c r="AC25" i="3"/>
  <c r="AS25" i="3" s="1"/>
  <c r="O26" i="3"/>
  <c r="AS26" i="3"/>
  <c r="AY26" i="3"/>
  <c r="BA26" i="3"/>
  <c r="O27" i="3"/>
  <c r="BA27" i="3" s="1"/>
  <c r="AS27" i="3"/>
  <c r="AW27" i="3"/>
  <c r="AY27" i="3"/>
  <c r="O28" i="3"/>
  <c r="BA28" i="3" s="1"/>
  <c r="AS28" i="3"/>
  <c r="AW28" i="3"/>
  <c r="AY28" i="3"/>
  <c r="O29" i="3"/>
  <c r="BA29" i="3" s="1"/>
  <c r="AS29" i="3"/>
  <c r="AY29" i="3" s="1"/>
  <c r="O30" i="3"/>
  <c r="AC30" i="3"/>
  <c r="AS30" i="3" s="1"/>
  <c r="K31" i="3"/>
  <c r="M31" i="3"/>
  <c r="Q31" i="3"/>
  <c r="S31" i="3"/>
  <c r="S33" i="3" s="1"/>
  <c r="W31" i="3"/>
  <c r="W33" i="3" s="1"/>
  <c r="Y31" i="3"/>
  <c r="Y33" i="3" s="1"/>
  <c r="AE31" i="3"/>
  <c r="AE33" i="3" s="1"/>
  <c r="AG31" i="3"/>
  <c r="AI31" i="3"/>
  <c r="AI33" i="3" s="1"/>
  <c r="AM31" i="3"/>
  <c r="AO31" i="3"/>
  <c r="AO33" i="3" s="1"/>
  <c r="AQ31" i="3"/>
  <c r="AU31" i="3"/>
  <c r="AU33" i="3" s="1"/>
  <c r="K33" i="3"/>
  <c r="M33" i="3"/>
  <c r="AM33" i="3"/>
  <c r="AQ33" i="3"/>
  <c r="O36" i="3"/>
  <c r="S36" i="3"/>
  <c r="AE36" i="3"/>
  <c r="AG36" i="3"/>
  <c r="AI36" i="3"/>
  <c r="AM36" i="3"/>
  <c r="AO36" i="3"/>
  <c r="AS36" i="3"/>
  <c r="AU36" i="3"/>
  <c r="O37" i="3"/>
  <c r="AS37" i="3"/>
  <c r="AW37" i="3"/>
  <c r="AY37" i="3"/>
  <c r="BA37" i="3"/>
  <c r="O38" i="3"/>
  <c r="AE38" i="3"/>
  <c r="AS38" i="3"/>
  <c r="AW38" i="3" s="1"/>
  <c r="AY38" i="3" s="1"/>
  <c r="AU38" i="3"/>
  <c r="BA38" i="3"/>
  <c r="O39" i="3"/>
  <c r="S39" i="3"/>
  <c r="AE39" i="3"/>
  <c r="AS39" i="3" s="1"/>
  <c r="AW39" i="3" s="1"/>
  <c r="AG39" i="3"/>
  <c r="AI39" i="3"/>
  <c r="AU39" i="3"/>
  <c r="AY39" i="3"/>
  <c r="O40" i="3"/>
  <c r="AS40" i="3"/>
  <c r="AU40" i="3"/>
  <c r="K41" i="3"/>
  <c r="M41" i="3"/>
  <c r="O41" i="3"/>
  <c r="Q41" i="3"/>
  <c r="S41" i="3"/>
  <c r="U41" i="3"/>
  <c r="W41" i="3"/>
  <c r="Y41" i="3"/>
  <c r="AA41" i="3"/>
  <c r="AC41" i="3"/>
  <c r="AG41" i="3"/>
  <c r="AI41" i="3"/>
  <c r="AK41" i="3"/>
  <c r="AM41" i="3"/>
  <c r="AO41" i="3"/>
  <c r="AQ41" i="3"/>
  <c r="AU41" i="3"/>
  <c r="O45" i="3"/>
  <c r="AC45" i="3"/>
  <c r="AS45" i="3"/>
  <c r="AW45" i="3" s="1"/>
  <c r="AU45" i="3"/>
  <c r="O46" i="3"/>
  <c r="S46" i="3"/>
  <c r="U46" i="3"/>
  <c r="AA46" i="3"/>
  <c r="AC46" i="3"/>
  <c r="AG46" i="3"/>
  <c r="AG67" i="3" s="1"/>
  <c r="AU46" i="3"/>
  <c r="O47" i="3"/>
  <c r="AC47" i="3"/>
  <c r="AS47" i="3"/>
  <c r="AU47" i="3"/>
  <c r="O48" i="3"/>
  <c r="W48" i="3"/>
  <c r="W67" i="3" s="1"/>
  <c r="Y48" i="3"/>
  <c r="AC48" i="3"/>
  <c r="AS48" i="3" s="1"/>
  <c r="AU48" i="3"/>
  <c r="O49" i="3"/>
  <c r="AS49" i="3"/>
  <c r="AU49" i="3"/>
  <c r="O50" i="3"/>
  <c r="AC50" i="3"/>
  <c r="AS50" i="3"/>
  <c r="AW50" i="3" s="1"/>
  <c r="AU50" i="3"/>
  <c r="AY50" i="3"/>
  <c r="O51" i="3"/>
  <c r="AC51" i="3"/>
  <c r="AS51" i="3"/>
  <c r="AU51" i="3"/>
  <c r="O52" i="3"/>
  <c r="AE52" i="3"/>
  <c r="AS52" i="3"/>
  <c r="AU52" i="3"/>
  <c r="AW52" i="3"/>
  <c r="AY52" i="3" s="1"/>
  <c r="BA52" i="3" s="1"/>
  <c r="O53" i="3"/>
  <c r="AS53" i="3"/>
  <c r="AU53" i="3"/>
  <c r="O54" i="3"/>
  <c r="AS54" i="3"/>
  <c r="AU54" i="3"/>
  <c r="O55" i="3"/>
  <c r="Y55" i="3"/>
  <c r="AU55" i="3"/>
  <c r="O56" i="3"/>
  <c r="AC56" i="3"/>
  <c r="AS56" i="3"/>
  <c r="AU56" i="3"/>
  <c r="AW56" i="3"/>
  <c r="AY56" i="3" s="1"/>
  <c r="O57" i="3"/>
  <c r="AW57" i="3" s="1"/>
  <c r="AC57" i="3"/>
  <c r="AS57" i="3"/>
  <c r="AU57" i="3"/>
  <c r="AY57" i="3"/>
  <c r="BA57" i="3" s="1"/>
  <c r="O58" i="3"/>
  <c r="U58" i="3"/>
  <c r="W58" i="3"/>
  <c r="Y58" i="3"/>
  <c r="AS58" i="3" s="1"/>
  <c r="AW58" i="3" s="1"/>
  <c r="AY58" i="3" s="1"/>
  <c r="BA58" i="3" s="1"/>
  <c r="AU58" i="3"/>
  <c r="O59" i="3"/>
  <c r="AC59" i="3"/>
  <c r="AE59" i="3"/>
  <c r="AS59" i="3"/>
  <c r="AW59" i="3" s="1"/>
  <c r="AY59" i="3" s="1"/>
  <c r="AU59" i="3"/>
  <c r="O60" i="3"/>
  <c r="AS60" i="3"/>
  <c r="AW60" i="3"/>
  <c r="AY60" i="3"/>
  <c r="O61" i="3"/>
  <c r="AC61" i="3"/>
  <c r="AS61" i="3" s="1"/>
  <c r="AE61" i="3"/>
  <c r="AG61" i="3"/>
  <c r="AU61" i="3"/>
  <c r="O62" i="3"/>
  <c r="AW62" i="3" s="1"/>
  <c r="AY62" i="3" s="1"/>
  <c r="BA62" i="3" s="1"/>
  <c r="Y62" i="3"/>
  <c r="AC62" i="3"/>
  <c r="AS62" i="3"/>
  <c r="AU62" i="3"/>
  <c r="AU67" i="3" s="1"/>
  <c r="O63" i="3"/>
  <c r="AW63" i="3" s="1"/>
  <c r="AY63" i="3" s="1"/>
  <c r="AS63" i="3"/>
  <c r="AU63" i="3"/>
  <c r="O64" i="3"/>
  <c r="Q64" i="3"/>
  <c r="S64" i="3"/>
  <c r="S67" i="3" s="1"/>
  <c r="AU64" i="3"/>
  <c r="O65" i="3"/>
  <c r="S65" i="3"/>
  <c r="AA65" i="3"/>
  <c r="AU65" i="3"/>
  <c r="O66" i="3"/>
  <c r="AS66" i="3"/>
  <c r="AW66" i="3" s="1"/>
  <c r="AY66" i="3" s="1"/>
  <c r="BA66" i="3" s="1"/>
  <c r="K67" i="3"/>
  <c r="M67" i="3"/>
  <c r="M106" i="3" s="1"/>
  <c r="M109" i="3" s="1"/>
  <c r="M152" i="3" s="1"/>
  <c r="AE67" i="3"/>
  <c r="AI67" i="3"/>
  <c r="AK67" i="3"/>
  <c r="AM67" i="3"/>
  <c r="AO67" i="3"/>
  <c r="AQ67" i="3"/>
  <c r="O70" i="3"/>
  <c r="AS70" i="3"/>
  <c r="AU70" i="3"/>
  <c r="AW70" i="3"/>
  <c r="O71" i="3"/>
  <c r="AG71" i="3"/>
  <c r="AU71" i="3"/>
  <c r="O72" i="3"/>
  <c r="Y72" i="3"/>
  <c r="AG72" i="3"/>
  <c r="AU72" i="3"/>
  <c r="O73" i="3"/>
  <c r="Y73" i="3"/>
  <c r="AS73" i="3" s="1"/>
  <c r="AE73" i="3"/>
  <c r="AE94" i="3" s="1"/>
  <c r="AG73" i="3"/>
  <c r="AI73" i="3"/>
  <c r="AU73" i="3"/>
  <c r="AW73" i="3"/>
  <c r="AY73" i="3" s="1"/>
  <c r="BA73" i="3" s="1"/>
  <c r="O74" i="3"/>
  <c r="Y74" i="3"/>
  <c r="AG74" i="3"/>
  <c r="AI74" i="3"/>
  <c r="AS74" i="3"/>
  <c r="AU74" i="3"/>
  <c r="O75" i="3"/>
  <c r="Y75" i="3"/>
  <c r="AG75" i="3"/>
  <c r="AS75" i="3"/>
  <c r="AU75" i="3"/>
  <c r="O76" i="3"/>
  <c r="AE76" i="3"/>
  <c r="AG76" i="3"/>
  <c r="AS76" i="3"/>
  <c r="AU76" i="3"/>
  <c r="O77" i="3"/>
  <c r="AG77" i="3"/>
  <c r="AS77" i="3"/>
  <c r="AU77" i="3"/>
  <c r="AW77" i="3" s="1"/>
  <c r="AY77" i="3" s="1"/>
  <c r="BA77" i="3"/>
  <c r="O78" i="3"/>
  <c r="AG78" i="3"/>
  <c r="AS78" i="3"/>
  <c r="AU78" i="3"/>
  <c r="AW79" i="3"/>
  <c r="AY79" i="3"/>
  <c r="BA79" i="3" s="1"/>
  <c r="O80" i="3"/>
  <c r="AC80" i="3"/>
  <c r="AG80" i="3"/>
  <c r="AI80" i="3"/>
  <c r="AU80" i="3"/>
  <c r="O81" i="3"/>
  <c r="AS81" i="3"/>
  <c r="AU81" i="3"/>
  <c r="O82" i="3"/>
  <c r="AG82" i="3"/>
  <c r="AS82" i="3"/>
  <c r="AU82" i="3"/>
  <c r="AW82" i="3"/>
  <c r="AY82" i="3" s="1"/>
  <c r="BA82" i="3" s="1"/>
  <c r="AW83" i="3"/>
  <c r="AY83" i="3" s="1"/>
  <c r="BA83" i="3" s="1"/>
  <c r="O84" i="3"/>
  <c r="AA84" i="3"/>
  <c r="AC84" i="3"/>
  <c r="AE84" i="3"/>
  <c r="AG84" i="3"/>
  <c r="AI84" i="3"/>
  <c r="AI94" i="3" s="1"/>
  <c r="AU84" i="3"/>
  <c r="O85" i="3"/>
  <c r="AS85" i="3"/>
  <c r="AU85" i="3"/>
  <c r="O86" i="3"/>
  <c r="AG86" i="3"/>
  <c r="AS86" i="3" s="1"/>
  <c r="AW86" i="3" s="1"/>
  <c r="AY86" i="3" s="1"/>
  <c r="AU86" i="3"/>
  <c r="O87" i="3"/>
  <c r="AC87" i="3"/>
  <c r="AG87" i="3"/>
  <c r="AU87" i="3"/>
  <c r="O88" i="3"/>
  <c r="AG88" i="3"/>
  <c r="AI88" i="3"/>
  <c r="AU88" i="3"/>
  <c r="O89" i="3"/>
  <c r="AS89" i="3"/>
  <c r="AU89" i="3"/>
  <c r="O90" i="3"/>
  <c r="AG90" i="3"/>
  <c r="AS90" i="3"/>
  <c r="AU90" i="3"/>
  <c r="AW90" i="3"/>
  <c r="AY90" i="3" s="1"/>
  <c r="BA90" i="3" s="1"/>
  <c r="O91" i="3"/>
  <c r="U91" i="3"/>
  <c r="Y91" i="3"/>
  <c r="AS91" i="3" s="1"/>
  <c r="AC91" i="3"/>
  <c r="AE91" i="3"/>
  <c r="AG91" i="3"/>
  <c r="AU91" i="3"/>
  <c r="O92" i="3"/>
  <c r="S92" i="3"/>
  <c r="U92" i="3"/>
  <c r="U94" i="3" s="1"/>
  <c r="W92" i="3"/>
  <c r="Y92" i="3"/>
  <c r="AA92" i="3"/>
  <c r="AC92" i="3"/>
  <c r="AE92" i="3"/>
  <c r="AG92" i="3"/>
  <c r="AI92" i="3"/>
  <c r="AS92" i="3"/>
  <c r="AW92" i="3" s="1"/>
  <c r="AY92" i="3" s="1"/>
  <c r="AU92" i="3"/>
  <c r="AK93" i="3"/>
  <c r="AK94" i="3" s="1"/>
  <c r="AK106" i="3" s="1"/>
  <c r="AM93" i="3"/>
  <c r="AO93" i="3"/>
  <c r="K94" i="3"/>
  <c r="M94" i="3"/>
  <c r="Q94" i="3"/>
  <c r="S94" i="3"/>
  <c r="W94" i="3"/>
  <c r="AM94" i="3"/>
  <c r="AQ94" i="3"/>
  <c r="O97" i="3"/>
  <c r="AE97" i="3"/>
  <c r="AG97" i="3"/>
  <c r="AU97" i="3"/>
  <c r="O98" i="3"/>
  <c r="AG98" i="3"/>
  <c r="AU98" i="3"/>
  <c r="O99" i="3"/>
  <c r="Y99" i="3"/>
  <c r="AG99" i="3"/>
  <c r="AU99" i="3"/>
  <c r="K100" i="3"/>
  <c r="O100" i="3"/>
  <c r="Y100" i="3"/>
  <c r="AS100" i="3" s="1"/>
  <c r="AG100" i="3"/>
  <c r="AI100" i="3"/>
  <c r="AU100" i="3"/>
  <c r="O101" i="3"/>
  <c r="Y101" i="3"/>
  <c r="AG101" i="3"/>
  <c r="AI101" i="3"/>
  <c r="AS101" i="3"/>
  <c r="AU101" i="3"/>
  <c r="K102" i="3"/>
  <c r="M102" i="3"/>
  <c r="Q102" i="3"/>
  <c r="S102" i="3"/>
  <c r="U102" i="3"/>
  <c r="W102" i="3"/>
  <c r="Y102" i="3"/>
  <c r="AA102" i="3"/>
  <c r="AC102" i="3"/>
  <c r="AI102" i="3"/>
  <c r="AK102" i="3"/>
  <c r="AM102" i="3"/>
  <c r="AM106" i="3" s="1"/>
  <c r="AM109" i="3" s="1"/>
  <c r="AM152" i="3" s="1"/>
  <c r="AO102" i="3"/>
  <c r="AQ102" i="3"/>
  <c r="AY103" i="3"/>
  <c r="BA103" i="3" s="1"/>
  <c r="O104" i="3"/>
  <c r="Y104" i="3"/>
  <c r="AG104" i="3"/>
  <c r="AO104" i="3"/>
  <c r="AU104" i="3"/>
  <c r="K106" i="3"/>
  <c r="AQ106" i="3"/>
  <c r="K109" i="3"/>
  <c r="AQ109" i="3"/>
  <c r="O111" i="3"/>
  <c r="Q111" i="3"/>
  <c r="U111" i="3"/>
  <c r="AU111" i="3"/>
  <c r="O112" i="3"/>
  <c r="AS112" i="3"/>
  <c r="AW112" i="3"/>
  <c r="AY112" i="3" s="1"/>
  <c r="BA112" i="3" s="1"/>
  <c r="K113" i="3"/>
  <c r="M113" i="3"/>
  <c r="O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U113" i="3"/>
  <c r="O115" i="3"/>
  <c r="W115" i="3"/>
  <c r="AI115" i="3"/>
  <c r="AS115" i="3"/>
  <c r="AW115" i="3"/>
  <c r="AY115" i="3" s="1"/>
  <c r="BA115" i="3" s="1"/>
  <c r="O117" i="3"/>
  <c r="Q117" i="3"/>
  <c r="AS117" i="3"/>
  <c r="O118" i="3"/>
  <c r="AS118" i="3"/>
  <c r="AS119" i="3"/>
  <c r="AW119" i="3"/>
  <c r="AY119" i="3"/>
  <c r="BA119" i="3" s="1"/>
  <c r="K120" i="3"/>
  <c r="M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U120" i="3"/>
  <c r="AY122" i="3"/>
  <c r="Q123" i="3"/>
  <c r="U123" i="3"/>
  <c r="W123" i="3"/>
  <c r="W130" i="3" s="1"/>
  <c r="Y123" i="3"/>
  <c r="AA123" i="3"/>
  <c r="AC123" i="3"/>
  <c r="Q124" i="3"/>
  <c r="Q130" i="3" s="1"/>
  <c r="AS124" i="3"/>
  <c r="AY124" i="3" s="1"/>
  <c r="BA124" i="3" s="1"/>
  <c r="Q125" i="3"/>
  <c r="AS125" i="3"/>
  <c r="AY125" i="3"/>
  <c r="BA125" i="3" s="1"/>
  <c r="Q126" i="3"/>
  <c r="AS126" i="3"/>
  <c r="AY126" i="3" s="1"/>
  <c r="BA126" i="3" s="1"/>
  <c r="AS127" i="3"/>
  <c r="AY127" i="3"/>
  <c r="BA127" i="3"/>
  <c r="Q128" i="3"/>
  <c r="AS128" i="3"/>
  <c r="AY128" i="3"/>
  <c r="BA128" i="3" s="1"/>
  <c r="O129" i="3"/>
  <c r="O130" i="3" s="1"/>
  <c r="AM129" i="3"/>
  <c r="AS129" i="3"/>
  <c r="AY129" i="3" s="1"/>
  <c r="K130" i="3"/>
  <c r="M130" i="3"/>
  <c r="S130" i="3"/>
  <c r="Y130" i="3"/>
  <c r="AA130" i="3"/>
  <c r="AC130" i="3"/>
  <c r="AE130" i="3"/>
  <c r="AG130" i="3"/>
  <c r="AI130" i="3"/>
  <c r="AK130" i="3"/>
  <c r="AM130" i="3"/>
  <c r="AO130" i="3"/>
  <c r="AQ130" i="3"/>
  <c r="AU130" i="3"/>
  <c r="AW130" i="3"/>
  <c r="O132" i="3"/>
  <c r="AS132" i="3"/>
  <c r="O135" i="3"/>
  <c r="AA135" i="3"/>
  <c r="AA139" i="3" s="1"/>
  <c r="AS135" i="3"/>
  <c r="AW135" i="3"/>
  <c r="AY135" i="3" s="1"/>
  <c r="BA135" i="3"/>
  <c r="K136" i="3"/>
  <c r="AK136" i="3"/>
  <c r="AS136" i="3"/>
  <c r="O137" i="3"/>
  <c r="AA137" i="3"/>
  <c r="AS137" i="3" s="1"/>
  <c r="O138" i="3"/>
  <c r="AS138" i="3"/>
  <c r="AW138" i="3"/>
  <c r="AY138" i="3" s="1"/>
  <c r="M139" i="3"/>
  <c r="Q139" i="3"/>
  <c r="S139" i="3"/>
  <c r="U139" i="3"/>
  <c r="W139" i="3"/>
  <c r="Y139" i="3"/>
  <c r="AC139" i="3"/>
  <c r="AE139" i="3"/>
  <c r="AG139" i="3"/>
  <c r="AI139" i="3"/>
  <c r="AK139" i="3"/>
  <c r="AM139" i="3"/>
  <c r="AO139" i="3"/>
  <c r="AQ139" i="3"/>
  <c r="AU139" i="3"/>
  <c r="O141" i="3"/>
  <c r="AW141" i="3" s="1"/>
  <c r="AY141" i="3" s="1"/>
  <c r="BA141" i="3" s="1"/>
  <c r="AA141" i="3"/>
  <c r="AS141" i="3"/>
  <c r="O143" i="3"/>
  <c r="AS143" i="3"/>
  <c r="AW143" i="3" s="1"/>
  <c r="AY143" i="3" s="1"/>
  <c r="BA143" i="3" s="1"/>
  <c r="O145" i="3"/>
  <c r="W145" i="3"/>
  <c r="AA145" i="3"/>
  <c r="AC145" i="3"/>
  <c r="AE145" i="3"/>
  <c r="M147" i="3"/>
  <c r="O147" i="3"/>
  <c r="Q147" i="3"/>
  <c r="AS147" i="3" s="1"/>
  <c r="AW147" i="3" s="1"/>
  <c r="AY147" i="3" s="1"/>
  <c r="S147" i="3"/>
  <c r="U147" i="3"/>
  <c r="W147" i="3"/>
  <c r="Y147" i="3"/>
  <c r="AC147" i="3"/>
  <c r="AE147" i="3"/>
  <c r="BA147" i="3"/>
  <c r="O148" i="3"/>
  <c r="AA148" i="3"/>
  <c r="AS148" i="3"/>
  <c r="AY148" i="3"/>
  <c r="BA148" i="3"/>
  <c r="M149" i="3"/>
  <c r="O149" i="3" s="1"/>
  <c r="AS149" i="3"/>
  <c r="AW149" i="3"/>
  <c r="AY149" i="3" s="1"/>
  <c r="M150" i="3"/>
  <c r="O150" i="3"/>
  <c r="AS150" i="3"/>
  <c r="AB152" i="3"/>
  <c r="O154" i="3"/>
  <c r="AW154" i="3" s="1"/>
  <c r="AC154" i="3"/>
  <c r="AS154" i="3"/>
  <c r="AY154" i="3"/>
  <c r="BA154" i="3" s="1"/>
  <c r="S155" i="3"/>
  <c r="AS155" i="3"/>
  <c r="S156" i="3"/>
  <c r="AS156" i="3"/>
  <c r="AY156" i="3"/>
  <c r="BA156" i="3" s="1"/>
  <c r="S157" i="3"/>
  <c r="S158" i="3"/>
  <c r="AQ158" i="3"/>
  <c r="AQ159" i="3" s="1"/>
  <c r="AU158" i="3"/>
  <c r="K159" i="3"/>
  <c r="M159" i="3"/>
  <c r="O159" i="3"/>
  <c r="Q159" i="3"/>
  <c r="U159" i="3"/>
  <c r="W159" i="3"/>
  <c r="W196" i="3" s="1"/>
  <c r="Y159" i="3"/>
  <c r="AA159" i="3"/>
  <c r="AC159" i="3"/>
  <c r="AE159" i="3"/>
  <c r="AG159" i="3"/>
  <c r="AI159" i="3"/>
  <c r="AK159" i="3"/>
  <c r="AM159" i="3"/>
  <c r="AM196" i="3" s="1"/>
  <c r="AO159" i="3"/>
  <c r="AU159" i="3"/>
  <c r="O161" i="3"/>
  <c r="S161" i="3"/>
  <c r="AS161" i="3"/>
  <c r="AA164" i="3"/>
  <c r="AC164" i="3"/>
  <c r="AE164" i="3"/>
  <c r="AG164" i="3"/>
  <c r="AI164" i="3"/>
  <c r="AS165" i="3"/>
  <c r="AY165" i="3" s="1"/>
  <c r="AC166" i="3"/>
  <c r="AI166" i="3"/>
  <c r="AI179" i="3" s="1"/>
  <c r="AK166" i="3"/>
  <c r="AC167" i="3"/>
  <c r="AG167" i="3"/>
  <c r="AG179" i="3" s="1"/>
  <c r="AS168" i="3"/>
  <c r="AY168" i="3" s="1"/>
  <c r="AS169" i="3"/>
  <c r="AY169" i="3"/>
  <c r="AS170" i="3"/>
  <c r="AY170" i="3"/>
  <c r="AS171" i="3"/>
  <c r="AY171" i="3"/>
  <c r="Q172" i="3"/>
  <c r="AS172" i="3" s="1"/>
  <c r="AY172" i="3" s="1"/>
  <c r="Q173" i="3"/>
  <c r="AS173" i="3"/>
  <c r="AY173" i="3" s="1"/>
  <c r="Q174" i="3"/>
  <c r="AS174" i="3"/>
  <c r="AY174" i="3"/>
  <c r="Q175" i="3"/>
  <c r="AK175" i="3"/>
  <c r="AS175" i="3"/>
  <c r="AY175" i="3"/>
  <c r="AS176" i="3"/>
  <c r="AY176" i="3" s="1"/>
  <c r="AS177" i="3"/>
  <c r="AY177" i="3"/>
  <c r="AC178" i="3"/>
  <c r="AG178" i="3"/>
  <c r="AI178" i="3"/>
  <c r="AK178" i="3"/>
  <c r="AK179" i="3" s="1"/>
  <c r="AS178" i="3"/>
  <c r="AY178" i="3" s="1"/>
  <c r="O179" i="3"/>
  <c r="Q179" i="3"/>
  <c r="S179" i="3"/>
  <c r="U179" i="3"/>
  <c r="W179" i="3"/>
  <c r="Y179" i="3"/>
  <c r="AA179" i="3"/>
  <c r="AE179" i="3"/>
  <c r="AM179" i="3"/>
  <c r="AO179" i="3"/>
  <c r="AQ179" i="3"/>
  <c r="AU179" i="3"/>
  <c r="Q182" i="3"/>
  <c r="AS182" i="3"/>
  <c r="AS183" i="3"/>
  <c r="AY183" i="3"/>
  <c r="Q184" i="3"/>
  <c r="AS184" i="3" s="1"/>
  <c r="AY184" i="3" s="1"/>
  <c r="AC184" i="3"/>
  <c r="AG184" i="3"/>
  <c r="AK184" i="3"/>
  <c r="Q185" i="3"/>
  <c r="U185" i="3"/>
  <c r="U192" i="3" s="1"/>
  <c r="AC185" i="3"/>
  <c r="AC192" i="3" s="1"/>
  <c r="AK185" i="3"/>
  <c r="Q186" i="3"/>
  <c r="AS186" i="3" s="1"/>
  <c r="AY186" i="3" s="1"/>
  <c r="Q187" i="3"/>
  <c r="AS187" i="3"/>
  <c r="AY187" i="3" s="1"/>
  <c r="AA188" i="3"/>
  <c r="AC188" i="3"/>
  <c r="AS189" i="3"/>
  <c r="AY189" i="3"/>
  <c r="AS190" i="3"/>
  <c r="AY190" i="3" s="1"/>
  <c r="AC191" i="3"/>
  <c r="AG191" i="3"/>
  <c r="AK191" i="3"/>
  <c r="AM191" i="3"/>
  <c r="AS191" i="3"/>
  <c r="AY191" i="3" s="1"/>
  <c r="O192" i="3"/>
  <c r="S192" i="3"/>
  <c r="W192" i="3"/>
  <c r="Y192" i="3"/>
  <c r="AE192" i="3"/>
  <c r="AI192" i="3"/>
  <c r="AK192" i="3"/>
  <c r="AM192" i="3"/>
  <c r="AO192" i="3"/>
  <c r="AQ192" i="3"/>
  <c r="AU192" i="3"/>
  <c r="O194" i="3"/>
  <c r="AS194" i="3"/>
  <c r="AU194" i="3"/>
  <c r="K196" i="3"/>
  <c r="M196" i="3"/>
  <c r="O196" i="3"/>
  <c r="Y196" i="3"/>
  <c r="AE196" i="3"/>
  <c r="AI196" i="3"/>
  <c r="M197" i="3"/>
  <c r="M206" i="3" s="1"/>
  <c r="O204" i="3"/>
  <c r="AS204" i="3"/>
  <c r="AS205" i="3"/>
  <c r="AY205" i="3" s="1"/>
  <c r="BA210" i="3"/>
  <c r="O215" i="3"/>
  <c r="O219" i="3" s="1"/>
  <c r="O222" i="3" s="1"/>
  <c r="U215" i="3"/>
  <c r="W215" i="3"/>
  <c r="AY215" i="3"/>
  <c r="V219" i="3"/>
  <c r="X219" i="3"/>
  <c r="Z219" i="3"/>
  <c r="Z222" i="3" s="1"/>
  <c r="V222" i="3"/>
  <c r="X222" i="3"/>
  <c r="A1" i="2"/>
  <c r="A2" i="2"/>
  <c r="AW3" i="2"/>
  <c r="BA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O9" i="2"/>
  <c r="Q9" i="2"/>
  <c r="U9" i="2"/>
  <c r="AO9" i="2"/>
  <c r="K10" i="2"/>
  <c r="O10" i="2" s="1"/>
  <c r="AW10" i="2" s="1"/>
  <c r="AS10" i="2"/>
  <c r="O11" i="2"/>
  <c r="AS11" i="2"/>
  <c r="AW11" i="2"/>
  <c r="AY11" i="2" s="1"/>
  <c r="O12" i="2"/>
  <c r="AS12" i="2"/>
  <c r="O13" i="2"/>
  <c r="AS13" i="2"/>
  <c r="O14" i="2"/>
  <c r="AS14" i="2"/>
  <c r="O15" i="2"/>
  <c r="AS15" i="2"/>
  <c r="AW15" i="2"/>
  <c r="AY15" i="2" s="1"/>
  <c r="O16" i="2"/>
  <c r="AS16" i="2"/>
  <c r="AW16" i="2" s="1"/>
  <c r="AY16" i="2" s="1"/>
  <c r="BA16" i="2"/>
  <c r="O17" i="2"/>
  <c r="AS17" i="2"/>
  <c r="AY17" i="2"/>
  <c r="O18" i="2"/>
  <c r="AS18" i="2"/>
  <c r="AS19" i="2"/>
  <c r="O20" i="2"/>
  <c r="AS20" i="2"/>
  <c r="AW20" i="2"/>
  <c r="AY20" i="2"/>
  <c r="BA20" i="2"/>
  <c r="K21" i="2"/>
  <c r="M21" i="2"/>
  <c r="Q21" i="2"/>
  <c r="S21" i="2"/>
  <c r="U21" i="2"/>
  <c r="W21" i="2"/>
  <c r="Y21" i="2"/>
  <c r="Y36" i="2" s="1"/>
  <c r="AA21" i="2"/>
  <c r="AC21" i="2"/>
  <c r="AE21" i="2"/>
  <c r="AG21" i="2"/>
  <c r="AI21" i="2"/>
  <c r="AK21" i="2"/>
  <c r="AM21" i="2"/>
  <c r="AQ21" i="2"/>
  <c r="AU21" i="2"/>
  <c r="O23" i="2"/>
  <c r="Q23" i="2"/>
  <c r="U23" i="2"/>
  <c r="AA23" i="2"/>
  <c r="AC23" i="2"/>
  <c r="AE23" i="2"/>
  <c r="AK23" i="2"/>
  <c r="AS23" i="2"/>
  <c r="O24" i="2"/>
  <c r="AK24" i="2"/>
  <c r="AS24" i="2" s="1"/>
  <c r="AW24" i="2" s="1"/>
  <c r="AY24" i="2"/>
  <c r="O25" i="2"/>
  <c r="AK25" i="2"/>
  <c r="AS25" i="2" s="1"/>
  <c r="AW25" i="2" s="1"/>
  <c r="AY25" i="2" s="1"/>
  <c r="O26" i="2"/>
  <c r="Q26" i="2"/>
  <c r="U26" i="2"/>
  <c r="U34" i="2" s="1"/>
  <c r="AC26" i="2"/>
  <c r="AK26" i="2"/>
  <c r="O27" i="2"/>
  <c r="AS27" i="2"/>
  <c r="AY27" i="2"/>
  <c r="O28" i="2"/>
  <c r="AS28" i="2"/>
  <c r="AW28" i="2" s="1"/>
  <c r="AY28" i="2" s="1"/>
  <c r="BA28" i="2"/>
  <c r="O29" i="2"/>
  <c r="AS29" i="2"/>
  <c r="AY29" i="2" s="1"/>
  <c r="O30" i="2"/>
  <c r="AS30" i="2"/>
  <c r="AY30" i="2"/>
  <c r="BA30" i="2"/>
  <c r="O31" i="2"/>
  <c r="AS31" i="2"/>
  <c r="AY31" i="2" s="1"/>
  <c r="O32" i="2"/>
  <c r="AS32" i="2"/>
  <c r="AY32" i="2"/>
  <c r="BA32" i="2"/>
  <c r="O33" i="2"/>
  <c r="AC33" i="2"/>
  <c r="AS33" i="2" s="1"/>
  <c r="AW33" i="2"/>
  <c r="AY33" i="2" s="1"/>
  <c r="K34" i="2"/>
  <c r="M34" i="2"/>
  <c r="M36" i="2" s="1"/>
  <c r="S34" i="2"/>
  <c r="W34" i="2"/>
  <c r="Y34" i="2"/>
  <c r="AA34" i="2"/>
  <c r="AA36" i="2" s="1"/>
  <c r="AE34" i="2"/>
  <c r="AE36" i="2" s="1"/>
  <c r="AG34" i="2"/>
  <c r="AI34" i="2"/>
  <c r="AM34" i="2"/>
  <c r="AO34" i="2"/>
  <c r="AQ34" i="2"/>
  <c r="AQ36" i="2" s="1"/>
  <c r="AU34" i="2"/>
  <c r="S36" i="2"/>
  <c r="U36" i="2"/>
  <c r="AG36" i="2"/>
  <c r="AI36" i="2"/>
  <c r="AU36" i="2"/>
  <c r="M39" i="2"/>
  <c r="O39" i="2"/>
  <c r="S39" i="2"/>
  <c r="AE39" i="2"/>
  <c r="AG39" i="2"/>
  <c r="AS39" i="2"/>
  <c r="AU39" i="2"/>
  <c r="O40" i="2"/>
  <c r="AS40" i="2"/>
  <c r="AW40" i="2"/>
  <c r="AY40" i="2" s="1"/>
  <c r="BA40" i="2"/>
  <c r="O41" i="2"/>
  <c r="AW41" i="2" s="1"/>
  <c r="AY41" i="2" s="1"/>
  <c r="AE41" i="2"/>
  <c r="AG41" i="2"/>
  <c r="AS41" i="2" s="1"/>
  <c r="AU41" i="2"/>
  <c r="M42" i="2"/>
  <c r="S42" i="2"/>
  <c r="AE42" i="2"/>
  <c r="AG42" i="2"/>
  <c r="AS42" i="2"/>
  <c r="AU42" i="2"/>
  <c r="O43" i="2"/>
  <c r="AW43" i="2" s="1"/>
  <c r="AS43" i="2"/>
  <c r="AU43" i="2"/>
  <c r="AY43" i="2"/>
  <c r="K44" i="2"/>
  <c r="Q44" i="2"/>
  <c r="U44" i="2"/>
  <c r="W44" i="2"/>
  <c r="Y44" i="2"/>
  <c r="AA44" i="2"/>
  <c r="AC44" i="2"/>
  <c r="AE44" i="2"/>
  <c r="AI44" i="2"/>
  <c r="AK44" i="2"/>
  <c r="AM44" i="2"/>
  <c r="AO44" i="2"/>
  <c r="AQ44" i="2"/>
  <c r="AU44" i="2"/>
  <c r="O48" i="2"/>
  <c r="AS48" i="2"/>
  <c r="AS70" i="2" s="1"/>
  <c r="AU48" i="2"/>
  <c r="O49" i="2"/>
  <c r="U49" i="2"/>
  <c r="U70" i="2" s="1"/>
  <c r="AS49" i="2"/>
  <c r="AW49" i="2" s="1"/>
  <c r="AY49" i="2" s="1"/>
  <c r="AU49" i="2"/>
  <c r="BA49" i="2"/>
  <c r="O50" i="2"/>
  <c r="AS50" i="2"/>
  <c r="AU50" i="2"/>
  <c r="O51" i="2"/>
  <c r="W51" i="2"/>
  <c r="AS51" i="2"/>
  <c r="AU51" i="2"/>
  <c r="O52" i="2"/>
  <c r="AS52" i="2"/>
  <c r="AW52" i="2"/>
  <c r="AY52" i="2"/>
  <c r="O53" i="2"/>
  <c r="U53" i="2"/>
  <c r="AS53" i="2"/>
  <c r="AU53" i="2"/>
  <c r="O54" i="2"/>
  <c r="AS54" i="2"/>
  <c r="AU54" i="2"/>
  <c r="AW54" i="2"/>
  <c r="AY54" i="2" s="1"/>
  <c r="AU55" i="2"/>
  <c r="AW55" i="2" s="1"/>
  <c r="AY55" i="2" s="1"/>
  <c r="O56" i="2"/>
  <c r="AS56" i="2"/>
  <c r="AU56" i="2"/>
  <c r="O57" i="2"/>
  <c r="AS57" i="2"/>
  <c r="AW57" i="2"/>
  <c r="AY57" i="2"/>
  <c r="BA57" i="2"/>
  <c r="O58" i="2"/>
  <c r="AS58" i="2"/>
  <c r="AU58" i="2"/>
  <c r="O59" i="2"/>
  <c r="AS59" i="2"/>
  <c r="AU59" i="2"/>
  <c r="O60" i="2"/>
  <c r="AS60" i="2"/>
  <c r="AU60" i="2"/>
  <c r="O61" i="2"/>
  <c r="AS61" i="2"/>
  <c r="AU61" i="2"/>
  <c r="AW61" i="2"/>
  <c r="AY61" i="2" s="1"/>
  <c r="BA61" i="2"/>
  <c r="O62" i="2"/>
  <c r="AS62" i="2"/>
  <c r="O63" i="2"/>
  <c r="AS63" i="2"/>
  <c r="AU63" i="2"/>
  <c r="O64" i="2"/>
  <c r="AS64" i="2"/>
  <c r="AW64" i="2"/>
  <c r="AY64" i="2" s="1"/>
  <c r="O65" i="2"/>
  <c r="AS65" i="2"/>
  <c r="AU65" i="2"/>
  <c r="O66" i="2"/>
  <c r="AS66" i="2"/>
  <c r="AU66" i="2"/>
  <c r="AW66" i="2"/>
  <c r="AY66" i="2" s="1"/>
  <c r="O67" i="2"/>
  <c r="AS67" i="2"/>
  <c r="AU67" i="2"/>
  <c r="O68" i="2"/>
  <c r="AW68" i="2" s="1"/>
  <c r="AS68" i="2"/>
  <c r="AU68" i="2"/>
  <c r="AY68" i="2"/>
  <c r="BA68" i="2"/>
  <c r="O69" i="2"/>
  <c r="AS69" i="2"/>
  <c r="AU69" i="2"/>
  <c r="K70" i="2"/>
  <c r="M70" i="2"/>
  <c r="Q70" i="2"/>
  <c r="S70" i="2"/>
  <c r="W70" i="2"/>
  <c r="Y70" i="2"/>
  <c r="AA70" i="2"/>
  <c r="AA117" i="2" s="1"/>
  <c r="AA119" i="2" s="1"/>
  <c r="AA161" i="2" s="1"/>
  <c r="AC70" i="2"/>
  <c r="AE70" i="2"/>
  <c r="AE117" i="2" s="1"/>
  <c r="AG70" i="2"/>
  <c r="AI70" i="2"/>
  <c r="AK70" i="2"/>
  <c r="AM70" i="2"/>
  <c r="AO70" i="2"/>
  <c r="AQ70" i="2"/>
  <c r="BA72" i="2"/>
  <c r="O73" i="2"/>
  <c r="AG73" i="2"/>
  <c r="AS73" i="2"/>
  <c r="AU73" i="2"/>
  <c r="O74" i="2"/>
  <c r="AG74" i="2"/>
  <c r="AS74" i="2"/>
  <c r="AU74" i="2"/>
  <c r="AW74" i="2"/>
  <c r="AY74" i="2" s="1"/>
  <c r="O75" i="2"/>
  <c r="Y75" i="2"/>
  <c r="Y98" i="2" s="1"/>
  <c r="AC75" i="2"/>
  <c r="AG75" i="2"/>
  <c r="AS75" i="2"/>
  <c r="AU75" i="2"/>
  <c r="O76" i="2"/>
  <c r="Y76" i="2"/>
  <c r="AG76" i="2"/>
  <c r="AS76" i="2"/>
  <c r="AW76" i="2" s="1"/>
  <c r="AY76" i="2" s="1"/>
  <c r="AU76" i="2"/>
  <c r="O77" i="2"/>
  <c r="Y77" i="2"/>
  <c r="AS77" i="2" s="1"/>
  <c r="AW77" i="2" s="1"/>
  <c r="AG77" i="2"/>
  <c r="AU77" i="2"/>
  <c r="AY77" i="2"/>
  <c r="O78" i="2"/>
  <c r="AG78" i="2"/>
  <c r="AS78" i="2" s="1"/>
  <c r="AU78" i="2"/>
  <c r="O79" i="2"/>
  <c r="AG79" i="2"/>
  <c r="AS79" i="2"/>
  <c r="AU79" i="2"/>
  <c r="AW79" i="2" s="1"/>
  <c r="AY79" i="2" s="1"/>
  <c r="BA79" i="2"/>
  <c r="O80" i="2"/>
  <c r="AS80" i="2"/>
  <c r="AU80" i="2"/>
  <c r="O81" i="2"/>
  <c r="AG81" i="2"/>
  <c r="AS81" i="2"/>
  <c r="AW81" i="2" s="1"/>
  <c r="AY81" i="2" s="1"/>
  <c r="AU81" i="2"/>
  <c r="BA81" i="2"/>
  <c r="O82" i="2"/>
  <c r="AS82" i="2"/>
  <c r="AW82" i="2"/>
  <c r="AY82" i="2"/>
  <c r="O83" i="2"/>
  <c r="AG83" i="2"/>
  <c r="AI83" i="2"/>
  <c r="AS83" i="2"/>
  <c r="AU83" i="2"/>
  <c r="O84" i="2"/>
  <c r="AS84" i="2"/>
  <c r="AU84" i="2"/>
  <c r="O85" i="2"/>
  <c r="AG85" i="2"/>
  <c r="AS85" i="2"/>
  <c r="AU85" i="2"/>
  <c r="O86" i="2"/>
  <c r="AS86" i="2"/>
  <c r="O87" i="2"/>
  <c r="AG87" i="2"/>
  <c r="AI87" i="2"/>
  <c r="AS87" i="2" s="1"/>
  <c r="AU87" i="2"/>
  <c r="O88" i="2"/>
  <c r="AS88" i="2"/>
  <c r="AU88" i="2"/>
  <c r="AW88" i="2"/>
  <c r="AY88" i="2" s="1"/>
  <c r="O89" i="2"/>
  <c r="AG89" i="2"/>
  <c r="AS89" i="2"/>
  <c r="AU89" i="2"/>
  <c r="O90" i="2"/>
  <c r="AG90" i="2"/>
  <c r="AS90" i="2" s="1"/>
  <c r="AW90" i="2" s="1"/>
  <c r="AY90" i="2" s="1"/>
  <c r="AI90" i="2"/>
  <c r="AU90" i="2"/>
  <c r="BA90" i="2"/>
  <c r="O91" i="2"/>
  <c r="AS91" i="2"/>
  <c r="AU91" i="2"/>
  <c r="O92" i="2"/>
  <c r="AS92" i="2"/>
  <c r="AU92" i="2"/>
  <c r="AW92" i="2"/>
  <c r="AY92" i="2" s="1"/>
  <c r="BA92" i="2"/>
  <c r="O93" i="2"/>
  <c r="AS93" i="2"/>
  <c r="O94" i="2"/>
  <c r="Y94" i="2"/>
  <c r="AG94" i="2"/>
  <c r="AS94" i="2"/>
  <c r="AU94" i="2"/>
  <c r="O95" i="2"/>
  <c r="U95" i="2"/>
  <c r="U98" i="2" s="1"/>
  <c r="W95" i="2"/>
  <c r="Y95" i="2"/>
  <c r="AG95" i="2"/>
  <c r="AS95" i="2"/>
  <c r="AU95" i="2"/>
  <c r="O96" i="2"/>
  <c r="AS96" i="2"/>
  <c r="AU96" i="2"/>
  <c r="AM97" i="2"/>
  <c r="AS97" i="2" s="1"/>
  <c r="AW97" i="2"/>
  <c r="AY97" i="2" s="1"/>
  <c r="BA97" i="2"/>
  <c r="K98" i="2"/>
  <c r="M98" i="2"/>
  <c r="Q98" i="2"/>
  <c r="S98" i="2"/>
  <c r="W98" i="2"/>
  <c r="AA98" i="2"/>
  <c r="AC98" i="2"/>
  <c r="AE98" i="2"/>
  <c r="AI98" i="2"/>
  <c r="AK98" i="2"/>
  <c r="AM98" i="2"/>
  <c r="AO98" i="2"/>
  <c r="AQ98" i="2"/>
  <c r="O101" i="2"/>
  <c r="Y101" i="2"/>
  <c r="AG101" i="2"/>
  <c r="AS101" i="2"/>
  <c r="AU101" i="2"/>
  <c r="O102" i="2"/>
  <c r="Y102" i="2"/>
  <c r="AG102" i="2"/>
  <c r="AS102" i="2" s="1"/>
  <c r="AU102" i="2"/>
  <c r="O103" i="2"/>
  <c r="Y103" i="2"/>
  <c r="AG103" i="2"/>
  <c r="AG106" i="2" s="1"/>
  <c r="AU103" i="2"/>
  <c r="K104" i="2"/>
  <c r="K106" i="2" s="1"/>
  <c r="O104" i="2"/>
  <c r="Y104" i="2"/>
  <c r="Y106" i="2" s="1"/>
  <c r="AG104" i="2"/>
  <c r="AI104" i="2"/>
  <c r="AK104" i="2"/>
  <c r="AK106" i="2" s="1"/>
  <c r="AS104" i="2"/>
  <c r="AU104" i="2"/>
  <c r="O105" i="2"/>
  <c r="AW105" i="2" s="1"/>
  <c r="AY105" i="2" s="1"/>
  <c r="Y105" i="2"/>
  <c r="AG105" i="2"/>
  <c r="AI105" i="2"/>
  <c r="AS105" i="2" s="1"/>
  <c r="AU105" i="2"/>
  <c r="M106" i="2"/>
  <c r="Q106" i="2"/>
  <c r="S106" i="2"/>
  <c r="S117" i="2" s="1"/>
  <c r="U106" i="2"/>
  <c r="W106" i="2"/>
  <c r="AA106" i="2"/>
  <c r="AC106" i="2"/>
  <c r="AE106" i="2"/>
  <c r="AI106" i="2"/>
  <c r="AI117" i="2" s="1"/>
  <c r="AI119" i="2" s="1"/>
  <c r="AM106" i="2"/>
  <c r="AO106" i="2"/>
  <c r="AQ106" i="2"/>
  <c r="AU106" i="2"/>
  <c r="O108" i="2"/>
  <c r="Y108" i="2"/>
  <c r="AS108" i="2" s="1"/>
  <c r="AG108" i="2"/>
  <c r="AU108" i="2"/>
  <c r="AS111" i="2"/>
  <c r="AW111" i="2" s="1"/>
  <c r="AY111" i="2" s="1"/>
  <c r="BA111" i="2"/>
  <c r="AS112" i="2"/>
  <c r="AW112" i="2"/>
  <c r="AY112" i="2"/>
  <c r="BA112" i="2"/>
  <c r="K113" i="2"/>
  <c r="K117" i="2" s="1"/>
  <c r="M113" i="2"/>
  <c r="O113" i="2"/>
  <c r="Q113" i="2"/>
  <c r="S113" i="2"/>
  <c r="U113" i="2"/>
  <c r="W113" i="2"/>
  <c r="W117" i="2" s="1"/>
  <c r="Y113" i="2"/>
  <c r="AA113" i="2"/>
  <c r="AC113" i="2"/>
  <c r="AE113" i="2"/>
  <c r="AG113" i="2"/>
  <c r="AI113" i="2"/>
  <c r="AK113" i="2"/>
  <c r="AM113" i="2"/>
  <c r="AO113" i="2"/>
  <c r="AQ113" i="2"/>
  <c r="AS113" i="2"/>
  <c r="BA113" i="2" s="1"/>
  <c r="AU113" i="2"/>
  <c r="AW113" i="2"/>
  <c r="O115" i="2"/>
  <c r="AW115" i="2"/>
  <c r="M117" i="2"/>
  <c r="U117" i="2"/>
  <c r="U119" i="2" s="1"/>
  <c r="U161" i="2" s="1"/>
  <c r="AC117" i="2"/>
  <c r="AK117" i="2"/>
  <c r="AQ117" i="2"/>
  <c r="AQ119" i="2"/>
  <c r="O121" i="2"/>
  <c r="AW121" i="2" s="1"/>
  <c r="AS121" i="2"/>
  <c r="AU121" i="2"/>
  <c r="AY121" i="2"/>
  <c r="AY123" i="2" s="1"/>
  <c r="BA121" i="2"/>
  <c r="O122" i="2"/>
  <c r="AS122" i="2"/>
  <c r="AU122" i="2"/>
  <c r="AW122" i="2"/>
  <c r="AY122" i="2" s="1"/>
  <c r="K123" i="2"/>
  <c r="M123" i="2"/>
  <c r="O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O125" i="2"/>
  <c r="AW125" i="2" s="1"/>
  <c r="AY125" i="2" s="1"/>
  <c r="AI125" i="2"/>
  <c r="AS125" i="2"/>
  <c r="K127" i="2"/>
  <c r="O127" i="2" s="1"/>
  <c r="Q127" i="2"/>
  <c r="AS127" i="2" s="1"/>
  <c r="O128" i="2"/>
  <c r="AS128" i="2"/>
  <c r="AW128" i="2"/>
  <c r="AY128" i="2" s="1"/>
  <c r="K129" i="2"/>
  <c r="O129" i="2" s="1"/>
  <c r="AS129" i="2"/>
  <c r="O130" i="2"/>
  <c r="AS130" i="2"/>
  <c r="O131" i="2"/>
  <c r="AS131" i="2"/>
  <c r="O132" i="2"/>
  <c r="AS132" i="2"/>
  <c r="AW132" i="2"/>
  <c r="AY132" i="2" s="1"/>
  <c r="O133" i="2"/>
  <c r="AS133" i="2"/>
  <c r="K134" i="2"/>
  <c r="AS134" i="2"/>
  <c r="O135" i="2"/>
  <c r="AW135" i="2" s="1"/>
  <c r="AY135" i="2" s="1"/>
  <c r="AS135" i="2"/>
  <c r="M136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U136" i="2"/>
  <c r="O138" i="2"/>
  <c r="S138" i="2"/>
  <c r="AS138" i="2"/>
  <c r="O141" i="2"/>
  <c r="AS141" i="2"/>
  <c r="O144" i="2"/>
  <c r="AA144" i="2"/>
  <c r="AI144" i="2"/>
  <c r="K145" i="2"/>
  <c r="AK145" i="2"/>
  <c r="AS145" i="2"/>
  <c r="O146" i="2"/>
  <c r="AW146" i="2" s="1"/>
  <c r="AY146" i="2" s="1"/>
  <c r="AS146" i="2"/>
  <c r="M147" i="2"/>
  <c r="O147" i="2"/>
  <c r="AS147" i="2"/>
  <c r="M148" i="2"/>
  <c r="Q148" i="2"/>
  <c r="S148" i="2"/>
  <c r="U148" i="2"/>
  <c r="W148" i="2"/>
  <c r="Y148" i="2"/>
  <c r="AA148" i="2"/>
  <c r="AC148" i="2"/>
  <c r="AE148" i="2"/>
  <c r="AG148" i="2"/>
  <c r="AK148" i="2"/>
  <c r="AM148" i="2"/>
  <c r="AO148" i="2"/>
  <c r="AQ148" i="2"/>
  <c r="AU148" i="2"/>
  <c r="O150" i="2"/>
  <c r="U150" i="2"/>
  <c r="AS150" i="2" s="1"/>
  <c r="AG150" i="2"/>
  <c r="AU150" i="2"/>
  <c r="O152" i="2"/>
  <c r="U152" i="2"/>
  <c r="AS152" i="2" s="1"/>
  <c r="AW152" i="2"/>
  <c r="AY152" i="2" s="1"/>
  <c r="O154" i="2"/>
  <c r="W154" i="2"/>
  <c r="AS154" i="2" s="1"/>
  <c r="BA154" i="2" s="1"/>
  <c r="AC154" i="2"/>
  <c r="AE154" i="2"/>
  <c r="M156" i="2"/>
  <c r="O156" i="2" s="1"/>
  <c r="Q156" i="2"/>
  <c r="S156" i="2"/>
  <c r="U156" i="2"/>
  <c r="W156" i="2"/>
  <c r="Y156" i="2"/>
  <c r="AC156" i="2"/>
  <c r="AE156" i="2"/>
  <c r="O157" i="2"/>
  <c r="AA157" i="2"/>
  <c r="AS157" i="2" s="1"/>
  <c r="BA157" i="2" s="1"/>
  <c r="AY157" i="2"/>
  <c r="M158" i="2"/>
  <c r="O158" i="2" s="1"/>
  <c r="AS158" i="2"/>
  <c r="M159" i="2"/>
  <c r="O159" i="2" s="1"/>
  <c r="Y159" i="2"/>
  <c r="AA159" i="2"/>
  <c r="AS159" i="2" s="1"/>
  <c r="AD161" i="2"/>
  <c r="O163" i="2"/>
  <c r="AC163" i="2"/>
  <c r="AS163" i="2" s="1"/>
  <c r="S164" i="2"/>
  <c r="AS164" i="2"/>
  <c r="S165" i="2"/>
  <c r="AS165" i="2" s="1"/>
  <c r="BA165" i="2" s="1"/>
  <c r="AY165" i="2"/>
  <c r="S166" i="2"/>
  <c r="AS167" i="2"/>
  <c r="S168" i="2"/>
  <c r="AS168" i="2" s="1"/>
  <c r="BA168" i="2" s="1"/>
  <c r="AQ168" i="2"/>
  <c r="AU168" i="2"/>
  <c r="AU169" i="2" s="1"/>
  <c r="AY168" i="2"/>
  <c r="K169" i="2"/>
  <c r="M169" i="2"/>
  <c r="M196" i="2" s="1"/>
  <c r="Q169" i="2"/>
  <c r="U169" i="2"/>
  <c r="W169" i="2"/>
  <c r="Y169" i="2"/>
  <c r="AA169" i="2"/>
  <c r="AC169" i="2"/>
  <c r="AE169" i="2"/>
  <c r="AG169" i="2"/>
  <c r="AI169" i="2"/>
  <c r="AK169" i="2"/>
  <c r="AM169" i="2"/>
  <c r="AM196" i="2" s="1"/>
  <c r="AO169" i="2"/>
  <c r="AQ169" i="2"/>
  <c r="S171" i="2"/>
  <c r="AS171" i="2" s="1"/>
  <c r="AW171" i="2"/>
  <c r="AY171" i="2" s="1"/>
  <c r="AY173" i="2"/>
  <c r="U174" i="2"/>
  <c r="W174" i="2"/>
  <c r="AA174" i="2"/>
  <c r="AA184" i="2" s="1"/>
  <c r="AE174" i="2"/>
  <c r="AG174" i="2"/>
  <c r="AS175" i="2"/>
  <c r="AY175" i="2" s="1"/>
  <c r="Q176" i="2"/>
  <c r="AC176" i="2"/>
  <c r="AS176" i="2" s="1"/>
  <c r="AY176" i="2" s="1"/>
  <c r="AK176" i="2"/>
  <c r="U177" i="2"/>
  <c r="AC177" i="2"/>
  <c r="AS177" i="2" s="1"/>
  <c r="AG177" i="2"/>
  <c r="AY177" i="2"/>
  <c r="AS178" i="2"/>
  <c r="AY178" i="2"/>
  <c r="AS179" i="2"/>
  <c r="AY179" i="2" s="1"/>
  <c r="AS180" i="2"/>
  <c r="AY180" i="2"/>
  <c r="Q181" i="2"/>
  <c r="AS181" i="2"/>
  <c r="AY181" i="2" s="1"/>
  <c r="AC182" i="2"/>
  <c r="AS182" i="2" s="1"/>
  <c r="AY182" i="2" s="1"/>
  <c r="AE182" i="2"/>
  <c r="AE184" i="2" s="1"/>
  <c r="AG182" i="2"/>
  <c r="AI182" i="2"/>
  <c r="AI184" i="2" s="1"/>
  <c r="AO182" i="2"/>
  <c r="Q183" i="2"/>
  <c r="AK183" i="2"/>
  <c r="AS183" i="2"/>
  <c r="AY183" i="2" s="1"/>
  <c r="O184" i="2"/>
  <c r="Q184" i="2"/>
  <c r="S184" i="2"/>
  <c r="W184" i="2"/>
  <c r="Y184" i="2"/>
  <c r="AG184" i="2"/>
  <c r="AK184" i="2"/>
  <c r="AK196" i="2" s="1"/>
  <c r="AM184" i="2"/>
  <c r="AO184" i="2"/>
  <c r="AQ184" i="2"/>
  <c r="AU184" i="2"/>
  <c r="Q187" i="2"/>
  <c r="AC187" i="2"/>
  <c r="AG187" i="2"/>
  <c r="AS187" i="2" s="1"/>
  <c r="AK187" i="2"/>
  <c r="AS188" i="2"/>
  <c r="AY188" i="2"/>
  <c r="Q189" i="2"/>
  <c r="AS189" i="2"/>
  <c r="AY189" i="2" s="1"/>
  <c r="Q190" i="2"/>
  <c r="AC190" i="2"/>
  <c r="AS190" i="2" s="1"/>
  <c r="AY190" i="2" s="1"/>
  <c r="AK190" i="2"/>
  <c r="AC191" i="2"/>
  <c r="AG191" i="2"/>
  <c r="AS191" i="2" s="1"/>
  <c r="AY191" i="2" s="1"/>
  <c r="AK191" i="2"/>
  <c r="AK192" i="2" s="1"/>
  <c r="AM191" i="2"/>
  <c r="AO191" i="2"/>
  <c r="O192" i="2"/>
  <c r="Q192" i="2"/>
  <c r="S192" i="2"/>
  <c r="U192" i="2"/>
  <c r="V192" i="2"/>
  <c r="W192" i="2"/>
  <c r="X192" i="2"/>
  <c r="Y192" i="2"/>
  <c r="Z192" i="2"/>
  <c r="AA192" i="2"/>
  <c r="AB192" i="2"/>
  <c r="AC192" i="2"/>
  <c r="AD192" i="2"/>
  <c r="AE192" i="2"/>
  <c r="AI192" i="2"/>
  <c r="AM192" i="2"/>
  <c r="AO192" i="2"/>
  <c r="AO196" i="2" s="1"/>
  <c r="AQ192" i="2"/>
  <c r="AR192" i="2"/>
  <c r="AU192" i="2"/>
  <c r="O194" i="2"/>
  <c r="AE194" i="2"/>
  <c r="AS194" i="2" s="1"/>
  <c r="AU194" i="2"/>
  <c r="AU196" i="2" s="1"/>
  <c r="AW194" i="2"/>
  <c r="K196" i="2"/>
  <c r="Y196" i="2"/>
  <c r="AE196" i="2"/>
  <c r="AI196" i="2"/>
  <c r="O205" i="2"/>
  <c r="AS205" i="2"/>
  <c r="AW205" i="2"/>
  <c r="AY205" i="2" s="1"/>
  <c r="AS206" i="2"/>
  <c r="AY206" i="2" s="1"/>
  <c r="BA211" i="2"/>
  <c r="O216" i="2"/>
  <c r="O220" i="2" s="1"/>
  <c r="AY216" i="2"/>
  <c r="O223" i="2"/>
  <c r="G6" i="6"/>
  <c r="G7" i="6"/>
  <c r="G8" i="6"/>
  <c r="G10" i="6"/>
  <c r="G12" i="6"/>
  <c r="C14" i="6"/>
  <c r="E14" i="6"/>
  <c r="G14" i="6" s="1"/>
  <c r="E7" i="7"/>
  <c r="E8" i="7"/>
  <c r="E13" i="7"/>
  <c r="E14" i="7"/>
  <c r="E18" i="7"/>
  <c r="E23" i="7"/>
  <c r="E25" i="7"/>
  <c r="E30" i="7"/>
  <c r="E33" i="7" s="1"/>
  <c r="E31" i="7"/>
  <c r="A1" i="4"/>
  <c r="A2" i="4"/>
  <c r="AW3" i="4"/>
  <c r="BA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O9" i="4"/>
  <c r="Q9" i="4"/>
  <c r="AS9" i="4" s="1"/>
  <c r="O10" i="4"/>
  <c r="Q10" i="4"/>
  <c r="AS10" i="4"/>
  <c r="AW10" i="4"/>
  <c r="BA10" i="4"/>
  <c r="C71" i="5" s="1"/>
  <c r="K11" i="4"/>
  <c r="O11" i="4"/>
  <c r="Q11" i="4"/>
  <c r="AS11" i="4"/>
  <c r="O12" i="4"/>
  <c r="Q12" i="4"/>
  <c r="AS12" i="4" s="1"/>
  <c r="BA12" i="4" s="1"/>
  <c r="AY12" i="4"/>
  <c r="BE12" i="4" s="1"/>
  <c r="O13" i="4"/>
  <c r="AS13" i="4"/>
  <c r="O14" i="4"/>
  <c r="AS14" i="4"/>
  <c r="AW14" i="4"/>
  <c r="AY14" i="4" s="1"/>
  <c r="BE14" i="4"/>
  <c r="O15" i="4"/>
  <c r="Q15" i="4"/>
  <c r="AS15" i="4"/>
  <c r="O16" i="4"/>
  <c r="U16" i="4"/>
  <c r="Y16" i="4"/>
  <c r="Y25" i="4" s="1"/>
  <c r="AA16" i="4"/>
  <c r="AC16" i="4"/>
  <c r="AE16" i="4"/>
  <c r="AG16" i="4"/>
  <c r="AG25" i="4" s="1"/>
  <c r="AU16" i="4"/>
  <c r="AU25" i="4" s="1"/>
  <c r="BD16" i="4"/>
  <c r="O17" i="4"/>
  <c r="AS17" i="4"/>
  <c r="O18" i="4"/>
  <c r="AS18" i="4"/>
  <c r="AW18" i="4"/>
  <c r="AY18" i="4" s="1"/>
  <c r="BE18" i="4" s="1"/>
  <c r="O19" i="4"/>
  <c r="AS19" i="4"/>
  <c r="O20" i="4"/>
  <c r="Q20" i="4"/>
  <c r="AS20" i="4"/>
  <c r="AW20" i="4" s="1"/>
  <c r="AY20" i="4" s="1"/>
  <c r="BE20" i="4" s="1"/>
  <c r="O21" i="4"/>
  <c r="AS21" i="4"/>
  <c r="AW21" i="4" s="1"/>
  <c r="O22" i="4"/>
  <c r="U22" i="4"/>
  <c r="U25" i="4" s="1"/>
  <c r="U43" i="4" s="1"/>
  <c r="Y22" i="4"/>
  <c r="AS22" i="4"/>
  <c r="AY22" i="4" s="1"/>
  <c r="BE22" i="4" s="1"/>
  <c r="BD22" i="4"/>
  <c r="BD25" i="4" s="1"/>
  <c r="AS23" i="4"/>
  <c r="K24" i="4"/>
  <c r="O24" i="4"/>
  <c r="Q24" i="4"/>
  <c r="U24" i="4"/>
  <c r="Y24" i="4"/>
  <c r="AA24" i="4"/>
  <c r="AC24" i="4"/>
  <c r="AC25" i="4" s="1"/>
  <c r="AE24" i="4"/>
  <c r="AG24" i="4"/>
  <c r="AI24" i="4"/>
  <c r="AI25" i="4" s="1"/>
  <c r="AM24" i="4"/>
  <c r="AO24" i="4"/>
  <c r="BC24" i="4"/>
  <c r="K25" i="4"/>
  <c r="K43" i="4" s="1"/>
  <c r="M25" i="4"/>
  <c r="S25" i="4"/>
  <c r="W25" i="4"/>
  <c r="AK25" i="4"/>
  <c r="AM25" i="4"/>
  <c r="AM43" i="4" s="1"/>
  <c r="AO25" i="4"/>
  <c r="AO43" i="4" s="1"/>
  <c r="AQ25" i="4"/>
  <c r="AQ43" i="4" s="1"/>
  <c r="O27" i="4"/>
  <c r="Q27" i="4"/>
  <c r="U27" i="4"/>
  <c r="AA27" i="4"/>
  <c r="AC27" i="4"/>
  <c r="AE27" i="4"/>
  <c r="AI27" i="4"/>
  <c r="AK27" i="4"/>
  <c r="AM27" i="4"/>
  <c r="O28" i="4"/>
  <c r="AS28" i="4"/>
  <c r="AW28" i="4" s="1"/>
  <c r="O30" i="4"/>
  <c r="Q30" i="4"/>
  <c r="Y30" i="4"/>
  <c r="Y41" i="4" s="1"/>
  <c r="AC30" i="4"/>
  <c r="AE30" i="4"/>
  <c r="AK30" i="4"/>
  <c r="AK41" i="4" s="1"/>
  <c r="M31" i="4"/>
  <c r="O31" i="4"/>
  <c r="AK31" i="4"/>
  <c r="AS31" i="4" s="1"/>
  <c r="AW31" i="4" s="1"/>
  <c r="AY31" i="4" s="1"/>
  <c r="BE31" i="4" s="1"/>
  <c r="BA31" i="4"/>
  <c r="M32" i="4"/>
  <c r="AK32" i="4"/>
  <c r="AS32" i="4" s="1"/>
  <c r="AW32" i="4" s="1"/>
  <c r="AY32" i="4" s="1"/>
  <c r="BE32" i="4" s="1"/>
  <c r="O33" i="4"/>
  <c r="BA33" i="4" s="1"/>
  <c r="C75" i="5" s="1"/>
  <c r="Q33" i="4"/>
  <c r="AS33" i="4" s="1"/>
  <c r="AY33" i="4" s="1"/>
  <c r="BE33" i="4" s="1"/>
  <c r="U33" i="4"/>
  <c r="U41" i="4" s="1"/>
  <c r="W33" i="4"/>
  <c r="Y33" i="4"/>
  <c r="AC33" i="4"/>
  <c r="AK33" i="4"/>
  <c r="O34" i="4"/>
  <c r="AS34" i="4"/>
  <c r="O35" i="4"/>
  <c r="BA35" i="4" s="1"/>
  <c r="AS35" i="4"/>
  <c r="AW35" i="4" s="1"/>
  <c r="AY35" i="4"/>
  <c r="O36" i="4"/>
  <c r="AS36" i="4"/>
  <c r="AY36" i="4"/>
  <c r="BE36" i="4" s="1"/>
  <c r="BA36" i="4"/>
  <c r="O37" i="4"/>
  <c r="BA37" i="4" s="1"/>
  <c r="AS37" i="4"/>
  <c r="AY37" i="4" s="1"/>
  <c r="BE37" i="4"/>
  <c r="O38" i="4"/>
  <c r="AS38" i="4"/>
  <c r="BA38" i="4" s="1"/>
  <c r="O39" i="4"/>
  <c r="AS39" i="4"/>
  <c r="O40" i="4"/>
  <c r="BA40" i="4" s="1"/>
  <c r="AC40" i="4"/>
  <c r="AC41" i="4" s="1"/>
  <c r="AS40" i="4"/>
  <c r="AY40" i="4" s="1"/>
  <c r="BE40" i="4" s="1"/>
  <c r="K41" i="4"/>
  <c r="Q41" i="4"/>
  <c r="S41" i="4"/>
  <c r="W41" i="4"/>
  <c r="AA41" i="4"/>
  <c r="AE41" i="4"/>
  <c r="AG41" i="4"/>
  <c r="AI41" i="4"/>
  <c r="AM41" i="4"/>
  <c r="AO41" i="4"/>
  <c r="AQ41" i="4"/>
  <c r="AU41" i="4"/>
  <c r="S43" i="4"/>
  <c r="AC43" i="4"/>
  <c r="AG43" i="4"/>
  <c r="AU43" i="4"/>
  <c r="BD43" i="4"/>
  <c r="BD143" i="4" s="1"/>
  <c r="M46" i="4"/>
  <c r="O46" i="4" s="1"/>
  <c r="S46" i="4"/>
  <c r="AA46" i="4"/>
  <c r="AA51" i="4" s="1"/>
  <c r="AE46" i="4"/>
  <c r="AG46" i="4"/>
  <c r="AI46" i="4"/>
  <c r="AU46" i="4"/>
  <c r="O47" i="4"/>
  <c r="AS47" i="4"/>
  <c r="O48" i="4"/>
  <c r="AW48" i="4" s="1"/>
  <c r="AY48" i="4" s="1"/>
  <c r="AE48" i="4"/>
  <c r="AG48" i="4"/>
  <c r="AS48" i="4"/>
  <c r="AU48" i="4"/>
  <c r="M49" i="4"/>
  <c r="O49" i="4"/>
  <c r="S49" i="4"/>
  <c r="U49" i="4"/>
  <c r="AE49" i="4"/>
  <c r="AG49" i="4"/>
  <c r="AG51" i="4" s="1"/>
  <c r="AI49" i="4"/>
  <c r="AU49" i="4"/>
  <c r="O50" i="4"/>
  <c r="AE50" i="4"/>
  <c r="AS50" i="4" s="1"/>
  <c r="AU50" i="4"/>
  <c r="AW50" i="4"/>
  <c r="AY50" i="4" s="1"/>
  <c r="K51" i="4"/>
  <c r="Q51" i="4"/>
  <c r="U51" i="4"/>
  <c r="W51" i="4"/>
  <c r="Y51" i="4"/>
  <c r="AC51" i="4"/>
  <c r="AE51" i="4"/>
  <c r="AI51" i="4"/>
  <c r="AK51" i="4"/>
  <c r="AM51" i="4"/>
  <c r="AO51" i="4"/>
  <c r="AQ51" i="4"/>
  <c r="AU51" i="4"/>
  <c r="M55" i="4"/>
  <c r="AS55" i="4"/>
  <c r="AU55" i="4"/>
  <c r="O56" i="4"/>
  <c r="AS56" i="4"/>
  <c r="AU56" i="4"/>
  <c r="O57" i="4"/>
  <c r="AS57" i="4"/>
  <c r="AU57" i="4"/>
  <c r="O58" i="4"/>
  <c r="W58" i="4"/>
  <c r="AS58" i="4"/>
  <c r="AU58" i="4"/>
  <c r="O59" i="4"/>
  <c r="AS59" i="4"/>
  <c r="AU59" i="4"/>
  <c r="AW59" i="4"/>
  <c r="AY59" i="4" s="1"/>
  <c r="O60" i="4"/>
  <c r="AS60" i="4"/>
  <c r="AU60" i="4"/>
  <c r="O61" i="4"/>
  <c r="AS61" i="4"/>
  <c r="AU61" i="4"/>
  <c r="O62" i="4"/>
  <c r="AS62" i="4"/>
  <c r="AU62" i="4"/>
  <c r="O63" i="4"/>
  <c r="AS63" i="4"/>
  <c r="AU63" i="4"/>
  <c r="AW63" i="4" s="1"/>
  <c r="AY63" i="4" s="1"/>
  <c r="O64" i="4"/>
  <c r="AW64" i="4" s="1"/>
  <c r="AY64" i="4" s="1"/>
  <c r="AS64" i="4"/>
  <c r="AU64" i="4"/>
  <c r="O65" i="4"/>
  <c r="U65" i="4"/>
  <c r="AS65" i="4"/>
  <c r="AU65" i="4"/>
  <c r="O66" i="4"/>
  <c r="AS66" i="4"/>
  <c r="AW66" i="4" s="1"/>
  <c r="AY66" i="4" s="1"/>
  <c r="AU66" i="4"/>
  <c r="O67" i="4"/>
  <c r="AS67" i="4"/>
  <c r="AU67" i="4"/>
  <c r="AW67" i="4"/>
  <c r="AY67" i="4" s="1"/>
  <c r="M68" i="4"/>
  <c r="O68" i="4" s="1"/>
  <c r="AW68" i="4" s="1"/>
  <c r="AY68" i="4" s="1"/>
  <c r="AS68" i="4"/>
  <c r="AU68" i="4"/>
  <c r="O69" i="4"/>
  <c r="AW69" i="4" s="1"/>
  <c r="AY69" i="4" s="1"/>
  <c r="AS69" i="4"/>
  <c r="BA69" i="4"/>
  <c r="O70" i="4"/>
  <c r="AS70" i="4"/>
  <c r="AW70" i="4" s="1"/>
  <c r="AY70" i="4" s="1"/>
  <c r="AU70" i="4"/>
  <c r="O71" i="4"/>
  <c r="AS71" i="4"/>
  <c r="AU71" i="4"/>
  <c r="AW71" i="4"/>
  <c r="AY71" i="4" s="1"/>
  <c r="O72" i="4"/>
  <c r="AS72" i="4"/>
  <c r="AU72" i="4"/>
  <c r="AW72" i="4" s="1"/>
  <c r="BA72" i="4" s="1"/>
  <c r="AY72" i="4"/>
  <c r="O73" i="4"/>
  <c r="AW73" i="4" s="1"/>
  <c r="AY73" i="4" s="1"/>
  <c r="AS73" i="4"/>
  <c r="BA73" i="4"/>
  <c r="O74" i="4"/>
  <c r="S74" i="4"/>
  <c r="AS74" i="4" s="1"/>
  <c r="AU74" i="4"/>
  <c r="Q75" i="4"/>
  <c r="AS76" i="4"/>
  <c r="AS77" i="4"/>
  <c r="AS78" i="4"/>
  <c r="AW78" i="4" s="1"/>
  <c r="AY78" i="4" s="1"/>
  <c r="BA78" i="4"/>
  <c r="AS79" i="4"/>
  <c r="AW79" i="4"/>
  <c r="AY79" i="4" s="1"/>
  <c r="K80" i="4"/>
  <c r="U80" i="4"/>
  <c r="W80" i="4"/>
  <c r="Y80" i="4"/>
  <c r="AA80" i="4"/>
  <c r="AC80" i="4"/>
  <c r="AE80" i="4"/>
  <c r="AG80" i="4"/>
  <c r="AI80" i="4"/>
  <c r="AK80" i="4"/>
  <c r="AM80" i="4"/>
  <c r="AO80" i="4"/>
  <c r="AQ80" i="4"/>
  <c r="O83" i="4"/>
  <c r="AW83" i="4" s="1"/>
  <c r="AS83" i="4"/>
  <c r="O84" i="4"/>
  <c r="AS84" i="4"/>
  <c r="AS87" i="4" s="1"/>
  <c r="O85" i="4"/>
  <c r="AW85" i="4" s="1"/>
  <c r="AS85" i="4"/>
  <c r="AY85" i="4"/>
  <c r="BA85" i="4"/>
  <c r="O86" i="4"/>
  <c r="AS86" i="4"/>
  <c r="K87" i="4"/>
  <c r="M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U87" i="4"/>
  <c r="O90" i="4"/>
  <c r="AG90" i="4"/>
  <c r="AS90" i="4" s="1"/>
  <c r="AW90" i="4" s="1"/>
  <c r="AU90" i="4"/>
  <c r="O91" i="4"/>
  <c r="AG91" i="4"/>
  <c r="AS91" i="4" s="1"/>
  <c r="AW91" i="4" s="1"/>
  <c r="AY91" i="4" s="1"/>
  <c r="AU91" i="4"/>
  <c r="O92" i="4"/>
  <c r="Y92" i="4"/>
  <c r="AS92" i="4" s="1"/>
  <c r="AG92" i="4"/>
  <c r="AU92" i="4"/>
  <c r="AW92" i="4"/>
  <c r="AY92" i="4" s="1"/>
  <c r="O93" i="4"/>
  <c r="Y93" i="4"/>
  <c r="AG93" i="4"/>
  <c r="AU93" i="4"/>
  <c r="O94" i="4"/>
  <c r="Y94" i="4"/>
  <c r="AS94" i="4" s="1"/>
  <c r="AW94" i="4" s="1"/>
  <c r="AY94" i="4" s="1"/>
  <c r="AG94" i="4"/>
  <c r="AU94" i="4"/>
  <c r="BA94" i="4"/>
  <c r="O95" i="4"/>
  <c r="AG95" i="4"/>
  <c r="AS95" i="4"/>
  <c r="AU95" i="4"/>
  <c r="O96" i="4"/>
  <c r="AG96" i="4"/>
  <c r="AS96" i="4" s="1"/>
  <c r="AU96" i="4"/>
  <c r="O97" i="4"/>
  <c r="AG97" i="4"/>
  <c r="AS97" i="4"/>
  <c r="AU97" i="4"/>
  <c r="O98" i="4"/>
  <c r="AG98" i="4"/>
  <c r="AS98" i="4" s="1"/>
  <c r="AU98" i="4"/>
  <c r="O99" i="4"/>
  <c r="AS99" i="4"/>
  <c r="AW99" i="4"/>
  <c r="AY99" i="4" s="1"/>
  <c r="O100" i="4"/>
  <c r="AG100" i="4"/>
  <c r="AS100" i="4" s="1"/>
  <c r="AU100" i="4"/>
  <c r="AW100" i="4"/>
  <c r="AY100" i="4" s="1"/>
  <c r="O101" i="4"/>
  <c r="AW101" i="4" s="1"/>
  <c r="AY101" i="4" s="1"/>
  <c r="AS101" i="4"/>
  <c r="AU101" i="4"/>
  <c r="BA101" i="4"/>
  <c r="O102" i="4"/>
  <c r="AG102" i="4"/>
  <c r="AS102" i="4" s="1"/>
  <c r="AW102" i="4" s="1"/>
  <c r="AY102" i="4" s="1"/>
  <c r="AU102" i="4"/>
  <c r="O103" i="4"/>
  <c r="AW103" i="4" s="1"/>
  <c r="AY103" i="4" s="1"/>
  <c r="AS103" i="4"/>
  <c r="O104" i="4"/>
  <c r="AG104" i="4"/>
  <c r="AS104" i="4" s="1"/>
  <c r="AU104" i="4"/>
  <c r="AW104" i="4"/>
  <c r="AY104" i="4" s="1"/>
  <c r="O105" i="4"/>
  <c r="AW105" i="4" s="1"/>
  <c r="AY105" i="4" s="1"/>
  <c r="AS105" i="4"/>
  <c r="AU105" i="4"/>
  <c r="BA105" i="4"/>
  <c r="O106" i="4"/>
  <c r="AG106" i="4"/>
  <c r="AS106" i="4" s="1"/>
  <c r="AU106" i="4"/>
  <c r="O107" i="4"/>
  <c r="AG107" i="4"/>
  <c r="AS107" i="4" s="1"/>
  <c r="AI107" i="4"/>
  <c r="AU107" i="4"/>
  <c r="O108" i="4"/>
  <c r="AS108" i="4"/>
  <c r="AU108" i="4"/>
  <c r="O109" i="4"/>
  <c r="AS109" i="4"/>
  <c r="AU109" i="4"/>
  <c r="AW109" i="4"/>
  <c r="AY109" i="4" s="1"/>
  <c r="O110" i="4"/>
  <c r="AW110" i="4" s="1"/>
  <c r="AY110" i="4" s="1"/>
  <c r="AS110" i="4"/>
  <c r="BA110" i="4"/>
  <c r="O111" i="4"/>
  <c r="AG111" i="4"/>
  <c r="AI111" i="4"/>
  <c r="AM111" i="4"/>
  <c r="AM121" i="4" s="1"/>
  <c r="AU111" i="4"/>
  <c r="O112" i="4"/>
  <c r="AW112" i="4" s="1"/>
  <c r="Y112" i="4"/>
  <c r="AS112" i="4" s="1"/>
  <c r="AG112" i="4"/>
  <c r="AU112" i="4"/>
  <c r="AY112" i="4"/>
  <c r="O113" i="4"/>
  <c r="AS113" i="4"/>
  <c r="AW113" i="4"/>
  <c r="AY113" i="4" s="1"/>
  <c r="O114" i="4"/>
  <c r="AS114" i="4"/>
  <c r="O115" i="4"/>
  <c r="AW115" i="4" s="1"/>
  <c r="AS115" i="4"/>
  <c r="AY115" i="4"/>
  <c r="BA115" i="4"/>
  <c r="O116" i="4"/>
  <c r="AS116" i="4"/>
  <c r="O117" i="4"/>
  <c r="AS117" i="4"/>
  <c r="AW117" i="4"/>
  <c r="AY117" i="4" s="1"/>
  <c r="BA117" i="4"/>
  <c r="O118" i="4"/>
  <c r="S118" i="4"/>
  <c r="S121" i="4" s="1"/>
  <c r="U118" i="4"/>
  <c r="W118" i="4"/>
  <c r="Y118" i="4"/>
  <c r="AC118" i="4"/>
  <c r="AC121" i="4" s="1"/>
  <c r="AG118" i="4"/>
  <c r="AU118" i="4"/>
  <c r="K119" i="4"/>
  <c r="K121" i="4" s="1"/>
  <c r="M119" i="4"/>
  <c r="AI119" i="4"/>
  <c r="AS119" i="4" s="1"/>
  <c r="AU119" i="4"/>
  <c r="AK120" i="4"/>
  <c r="AM120" i="4"/>
  <c r="L121" i="4"/>
  <c r="M121" i="4"/>
  <c r="N121" i="4"/>
  <c r="P121" i="4"/>
  <c r="Q121" i="4"/>
  <c r="U121" i="4"/>
  <c r="W121" i="4"/>
  <c r="Y121" i="4"/>
  <c r="AA121" i="4"/>
  <c r="AE121" i="4"/>
  <c r="AE141" i="4" s="1"/>
  <c r="AO121" i="4"/>
  <c r="AQ121" i="4"/>
  <c r="AU121" i="4"/>
  <c r="O125" i="4"/>
  <c r="Y125" i="4"/>
  <c r="AG125" i="4"/>
  <c r="AG132" i="4" s="1"/>
  <c r="AI125" i="4"/>
  <c r="AM125" i="4"/>
  <c r="AM132" i="4" s="1"/>
  <c r="AU125" i="4"/>
  <c r="O126" i="4"/>
  <c r="Y126" i="4"/>
  <c r="AS126" i="4" s="1"/>
  <c r="AG126" i="4"/>
  <c r="AU126" i="4"/>
  <c r="M127" i="4"/>
  <c r="M132" i="4" s="1"/>
  <c r="Y127" i="4"/>
  <c r="AS127" i="4" s="1"/>
  <c r="AG127" i="4"/>
  <c r="AI127" i="4"/>
  <c r="AU127" i="4"/>
  <c r="M128" i="4"/>
  <c r="O128" i="4" s="1"/>
  <c r="Y128" i="4"/>
  <c r="AG128" i="4"/>
  <c r="AS128" i="4"/>
  <c r="AU128" i="4"/>
  <c r="O129" i="4"/>
  <c r="AS129" i="4"/>
  <c r="O130" i="4"/>
  <c r="AS130" i="4"/>
  <c r="O131" i="4"/>
  <c r="AS131" i="4"/>
  <c r="AW131" i="4"/>
  <c r="AY131" i="4" s="1"/>
  <c r="BA131" i="4"/>
  <c r="K132" i="4"/>
  <c r="K141" i="4" s="1"/>
  <c r="Q132" i="4"/>
  <c r="S132" i="4"/>
  <c r="U132" i="4"/>
  <c r="W132" i="4"/>
  <c r="AA132" i="4"/>
  <c r="AC132" i="4"/>
  <c r="AE132" i="4"/>
  <c r="AI132" i="4"/>
  <c r="AK132" i="4"/>
  <c r="AO132" i="4"/>
  <c r="AQ132" i="4"/>
  <c r="M134" i="4"/>
  <c r="O134" i="4"/>
  <c r="Y134" i="4"/>
  <c r="AG134" i="4"/>
  <c r="AU134" i="4"/>
  <c r="O135" i="4"/>
  <c r="AS135" i="4"/>
  <c r="O137" i="4"/>
  <c r="BA137" i="4" s="1"/>
  <c r="C88" i="5" s="1"/>
  <c r="AS137" i="4"/>
  <c r="AY137" i="4"/>
  <c r="O139" i="4"/>
  <c r="AS139" i="4"/>
  <c r="AA141" i="4"/>
  <c r="AC141" i="4"/>
  <c r="AO141" i="4"/>
  <c r="K143" i="4"/>
  <c r="O145" i="4"/>
  <c r="Q145" i="4"/>
  <c r="Q147" i="4" s="1"/>
  <c r="U145" i="4"/>
  <c r="U147" i="4" s="1"/>
  <c r="AO145" i="4"/>
  <c r="AS145" i="4"/>
  <c r="AS147" i="4" s="1"/>
  <c r="AU145" i="4"/>
  <c r="O146" i="4"/>
  <c r="AS146" i="4"/>
  <c r="AW146" i="4" s="1"/>
  <c r="AY146" i="4"/>
  <c r="BA146" i="4"/>
  <c r="K147" i="4"/>
  <c r="M147" i="4"/>
  <c r="O147" i="4"/>
  <c r="S147" i="4"/>
  <c r="W147" i="4"/>
  <c r="Y147" i="4"/>
  <c r="AA147" i="4"/>
  <c r="AC147" i="4"/>
  <c r="AE147" i="4"/>
  <c r="AG147" i="4"/>
  <c r="AI147" i="4"/>
  <c r="AK147" i="4"/>
  <c r="AM147" i="4"/>
  <c r="AO147" i="4"/>
  <c r="AQ147" i="4"/>
  <c r="AU147" i="4"/>
  <c r="O149" i="4"/>
  <c r="AS149" i="4"/>
  <c r="K151" i="4"/>
  <c r="Q151" i="4"/>
  <c r="O152" i="4"/>
  <c r="AS152" i="4"/>
  <c r="BA152" i="4" s="1"/>
  <c r="AY152" i="4"/>
  <c r="M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U153" i="4"/>
  <c r="O155" i="4"/>
  <c r="Q155" i="4"/>
  <c r="S155" i="4"/>
  <c r="W155" i="4"/>
  <c r="AM156" i="4"/>
  <c r="AS156" i="4" s="1"/>
  <c r="K157" i="4"/>
  <c r="M157" i="4"/>
  <c r="O157" i="4"/>
  <c r="S157" i="4"/>
  <c r="U157" i="4"/>
  <c r="W157" i="4"/>
  <c r="Y157" i="4"/>
  <c r="AA157" i="4"/>
  <c r="AC157" i="4"/>
  <c r="AE157" i="4"/>
  <c r="AG157" i="4"/>
  <c r="AI157" i="4"/>
  <c r="AK157" i="4"/>
  <c r="AO157" i="4"/>
  <c r="AQ157" i="4"/>
  <c r="AU157" i="4"/>
  <c r="O159" i="4"/>
  <c r="AW159" i="4" s="1"/>
  <c r="AS159" i="4"/>
  <c r="AY159" i="4"/>
  <c r="BA159" i="4"/>
  <c r="AY161" i="4"/>
  <c r="O162" i="4"/>
  <c r="AA162" i="4"/>
  <c r="AS162" i="4" s="1"/>
  <c r="K163" i="4"/>
  <c r="O163" i="4"/>
  <c r="AK163" i="4"/>
  <c r="AK166" i="4" s="1"/>
  <c r="AS163" i="4"/>
  <c r="O164" i="4"/>
  <c r="AW164" i="4" s="1"/>
  <c r="AY164" i="4" s="1"/>
  <c r="AS164" i="4"/>
  <c r="M165" i="4"/>
  <c r="O165" i="4" s="1"/>
  <c r="BA165" i="4" s="1"/>
  <c r="AI165" i="4"/>
  <c r="AS165" i="4"/>
  <c r="AW165" i="4"/>
  <c r="AY165" i="4" s="1"/>
  <c r="K166" i="4"/>
  <c r="Q166" i="4"/>
  <c r="S166" i="4"/>
  <c r="U166" i="4"/>
  <c r="W166" i="4"/>
  <c r="Y166" i="4"/>
  <c r="AA166" i="4"/>
  <c r="AC166" i="4"/>
  <c r="AE166" i="4"/>
  <c r="AG166" i="4"/>
  <c r="AI166" i="4"/>
  <c r="AM166" i="4"/>
  <c r="AO166" i="4"/>
  <c r="AQ166" i="4"/>
  <c r="AU166" i="4"/>
  <c r="O168" i="4"/>
  <c r="U168" i="4"/>
  <c r="AG168" i="4"/>
  <c r="AS168" i="4"/>
  <c r="AU168" i="4"/>
  <c r="O170" i="4"/>
  <c r="Y170" i="4"/>
  <c r="AS170" i="4"/>
  <c r="AU170" i="4"/>
  <c r="O172" i="4"/>
  <c r="AC172" i="4"/>
  <c r="AS172" i="4" s="1"/>
  <c r="AY172" i="4" s="1"/>
  <c r="AE172" i="4"/>
  <c r="AG172" i="4"/>
  <c r="M174" i="4"/>
  <c r="O174" i="4" s="1"/>
  <c r="Q174" i="4"/>
  <c r="AS174" i="4" s="1"/>
  <c r="U174" i="4"/>
  <c r="W174" i="4"/>
  <c r="Y174" i="4"/>
  <c r="AC174" i="4"/>
  <c r="AE174" i="4"/>
  <c r="O175" i="4"/>
  <c r="AA175" i="4"/>
  <c r="AS175" i="4" s="1"/>
  <c r="AY175" i="4" s="1"/>
  <c r="BA175" i="4"/>
  <c r="M176" i="4"/>
  <c r="O176" i="4"/>
  <c r="AA176" i="4"/>
  <c r="AS176" i="4"/>
  <c r="M177" i="4"/>
  <c r="O177" i="4"/>
  <c r="AS177" i="4"/>
  <c r="AB179" i="4"/>
  <c r="AD179" i="4"/>
  <c r="O183" i="4"/>
  <c r="AC183" i="4"/>
  <c r="AS183" i="4"/>
  <c r="AW183" i="4"/>
  <c r="BA183" i="4"/>
  <c r="O184" i="4"/>
  <c r="S184" i="4"/>
  <c r="AS184" i="4" s="1"/>
  <c r="O185" i="4"/>
  <c r="S185" i="4"/>
  <c r="AS185" i="4" s="1"/>
  <c r="AY185" i="4"/>
  <c r="O186" i="4"/>
  <c r="S186" i="4"/>
  <c r="AS186" i="4" s="1"/>
  <c r="AS187" i="4"/>
  <c r="AW187" i="4" s="1"/>
  <c r="AY187" i="4" s="1"/>
  <c r="BA187" i="4"/>
  <c r="O188" i="4"/>
  <c r="S188" i="4"/>
  <c r="AS188" i="4" s="1"/>
  <c r="AY188" i="4" s="1"/>
  <c r="AQ188" i="4"/>
  <c r="AQ189" i="4" s="1"/>
  <c r="AU188" i="4"/>
  <c r="K189" i="4"/>
  <c r="K218" i="4" s="1"/>
  <c r="M189" i="4"/>
  <c r="O189" i="4"/>
  <c r="Q189" i="4"/>
  <c r="S189" i="4"/>
  <c r="U189" i="4"/>
  <c r="W189" i="4"/>
  <c r="Y189" i="4"/>
  <c r="AA189" i="4"/>
  <c r="AC189" i="4"/>
  <c r="AE189" i="4"/>
  <c r="AG189" i="4"/>
  <c r="AI189" i="4"/>
  <c r="AK189" i="4"/>
  <c r="AM189" i="4"/>
  <c r="AO189" i="4"/>
  <c r="AU189" i="4"/>
  <c r="AU218" i="4" s="1"/>
  <c r="M191" i="4"/>
  <c r="O191" i="4"/>
  <c r="Q191" i="4"/>
  <c r="AS191" i="4" s="1"/>
  <c r="AW191" i="4" s="1"/>
  <c r="AY191" i="4" s="1"/>
  <c r="AY193" i="4"/>
  <c r="U194" i="4"/>
  <c r="W194" i="4"/>
  <c r="AA194" i="4"/>
  <c r="AA205" i="4" s="1"/>
  <c r="AC194" i="4"/>
  <c r="AE194" i="4"/>
  <c r="AE205" i="4" s="1"/>
  <c r="AM194" i="4"/>
  <c r="AS195" i="4"/>
  <c r="AY195" i="4" s="1"/>
  <c r="Q196" i="4"/>
  <c r="AC196" i="4"/>
  <c r="AS196" i="4" s="1"/>
  <c r="AY196" i="4" s="1"/>
  <c r="AK196" i="4"/>
  <c r="AC197" i="4"/>
  <c r="AS197" i="4" s="1"/>
  <c r="AG197" i="4"/>
  <c r="AY197" i="4"/>
  <c r="Q198" i="4"/>
  <c r="U198" i="4"/>
  <c r="U205" i="4" s="1"/>
  <c r="AS199" i="4"/>
  <c r="AY199" i="4" s="1"/>
  <c r="AS200" i="4"/>
  <c r="AY200" i="4"/>
  <c r="Q201" i="4"/>
  <c r="AS201" i="4" s="1"/>
  <c r="AY201" i="4" s="1"/>
  <c r="AK201" i="4"/>
  <c r="AC202" i="4"/>
  <c r="AS202" i="4" s="1"/>
  <c r="AY202" i="4" s="1"/>
  <c r="AG202" i="4"/>
  <c r="AI202" i="4"/>
  <c r="AK202" i="4"/>
  <c r="AK205" i="4" s="1"/>
  <c r="AS203" i="4"/>
  <c r="AY203" i="4" s="1"/>
  <c r="Q204" i="4"/>
  <c r="AS204" i="4" s="1"/>
  <c r="AY204" i="4" s="1"/>
  <c r="O205" i="4"/>
  <c r="Q205" i="4"/>
  <c r="S205" i="4"/>
  <c r="S218" i="4" s="1"/>
  <c r="W205" i="4"/>
  <c r="Y205" i="4"/>
  <c r="AG205" i="4"/>
  <c r="AI205" i="4"/>
  <c r="AM205" i="4"/>
  <c r="AM218" i="4" s="1"/>
  <c r="AO205" i="4"/>
  <c r="AQ205" i="4"/>
  <c r="AU205" i="4"/>
  <c r="Q208" i="4"/>
  <c r="Q214" i="4" s="1"/>
  <c r="AS208" i="4"/>
  <c r="Q209" i="4"/>
  <c r="AC209" i="4"/>
  <c r="AG209" i="4"/>
  <c r="AG214" i="4" s="1"/>
  <c r="AG218" i="4" s="1"/>
  <c r="AK209" i="4"/>
  <c r="AS210" i="4"/>
  <c r="AY210" i="4" s="1"/>
  <c r="AS211" i="4"/>
  <c r="AY211" i="4"/>
  <c r="AC212" i="4"/>
  <c r="AG212" i="4"/>
  <c r="AS212" i="4" s="1"/>
  <c r="AY212" i="4" s="1"/>
  <c r="AK212" i="4"/>
  <c r="AM212" i="4"/>
  <c r="Q213" i="4"/>
  <c r="U213" i="4"/>
  <c r="AS213" i="4" s="1"/>
  <c r="AY213" i="4" s="1"/>
  <c r="AC213" i="4"/>
  <c r="AK213" i="4"/>
  <c r="O214" i="4"/>
  <c r="O218" i="4" s="1"/>
  <c r="S214" i="4"/>
  <c r="U214" i="4"/>
  <c r="W214" i="4"/>
  <c r="Y214" i="4"/>
  <c r="Y218" i="4" s="1"/>
  <c r="AA214" i="4"/>
  <c r="AC214" i="4"/>
  <c r="AE214" i="4"/>
  <c r="AI214" i="4"/>
  <c r="AK214" i="4"/>
  <c r="AM214" i="4"/>
  <c r="AO214" i="4"/>
  <c r="AQ214" i="4"/>
  <c r="AU214" i="4"/>
  <c r="O216" i="4"/>
  <c r="AE216" i="4"/>
  <c r="AS216" i="4"/>
  <c r="AW216" i="4"/>
  <c r="AY216" i="4" s="1"/>
  <c r="M218" i="4"/>
  <c r="W218" i="4"/>
  <c r="AE218" i="4"/>
  <c r="AI218" i="4"/>
  <c r="O225" i="4"/>
  <c r="AS225" i="4"/>
  <c r="AW225" i="4"/>
  <c r="AY225" i="4"/>
  <c r="BA225" i="4" s="1"/>
  <c r="AS226" i="4"/>
  <c r="AY226" i="4" s="1"/>
  <c r="G15" i="5" s="1"/>
  <c r="Y230" i="4"/>
  <c r="BA231" i="4"/>
  <c r="AY236" i="4"/>
  <c r="B15" i="10"/>
  <c r="D15" i="10"/>
  <c r="B19" i="10"/>
  <c r="B24" i="10"/>
  <c r="B43" i="10"/>
  <c r="D43" i="10"/>
  <c r="K14" i="8"/>
  <c r="K15" i="8"/>
  <c r="K18" i="8" s="1"/>
  <c r="K16" i="8"/>
  <c r="E18" i="8"/>
  <c r="G18" i="8"/>
  <c r="I18" i="8"/>
  <c r="O2" i="5"/>
  <c r="E7" i="5"/>
  <c r="G7" i="5"/>
  <c r="I7" i="5"/>
  <c r="K7" i="5"/>
  <c r="C17" i="5"/>
  <c r="C46" i="5"/>
  <c r="C49" i="5"/>
  <c r="C51" i="5"/>
  <c r="C52" i="5"/>
  <c r="C63" i="5"/>
  <c r="C66" i="5"/>
  <c r="E66" i="5"/>
  <c r="C85" i="5"/>
  <c r="E86" i="5"/>
  <c r="E88" i="5"/>
  <c r="A97" i="5"/>
  <c r="K15" i="5" l="1"/>
  <c r="BA106" i="4"/>
  <c r="AY187" i="2"/>
  <c r="AS192" i="2"/>
  <c r="AW192" i="2" s="1"/>
  <c r="AY192" i="2" s="1"/>
  <c r="BA123" i="2"/>
  <c r="AW186" i="4"/>
  <c r="AY186" i="4" s="1"/>
  <c r="BA168" i="4"/>
  <c r="C86" i="5" s="1"/>
  <c r="M141" i="4"/>
  <c r="M143" i="4" s="1"/>
  <c r="M179" i="4" s="1"/>
  <c r="M220" i="4" s="1"/>
  <c r="M227" i="4" s="1"/>
  <c r="AY28" i="4"/>
  <c r="BA28" i="4"/>
  <c r="AW128" i="4"/>
  <c r="AY128" i="4" s="1"/>
  <c r="BA128" i="4"/>
  <c r="AY90" i="4"/>
  <c r="BA90" i="4"/>
  <c r="AY83" i="4"/>
  <c r="AY87" i="4" s="1"/>
  <c r="AC196" i="2"/>
  <c r="BA96" i="2"/>
  <c r="AW96" i="2"/>
  <c r="AY96" i="2" s="1"/>
  <c r="AS198" i="4"/>
  <c r="AY198" i="4" s="1"/>
  <c r="AS189" i="4"/>
  <c r="AW163" i="4"/>
  <c r="AY163" i="4" s="1"/>
  <c r="AW135" i="4"/>
  <c r="AY135" i="4" s="1"/>
  <c r="O127" i="4"/>
  <c r="AQ141" i="4"/>
  <c r="AQ143" i="4" s="1"/>
  <c r="AQ179" i="4" s="1"/>
  <c r="AQ220" i="4" s="1"/>
  <c r="BA118" i="4"/>
  <c r="BA113" i="4"/>
  <c r="AW106" i="4"/>
  <c r="AY106" i="4" s="1"/>
  <c r="BA92" i="4"/>
  <c r="AW86" i="4"/>
  <c r="AY86" i="4" s="1"/>
  <c r="S80" i="4"/>
  <c r="AW76" i="4"/>
  <c r="AY76" i="4" s="1"/>
  <c r="BA76" i="4"/>
  <c r="BA71" i="4"/>
  <c r="AY38" i="4"/>
  <c r="BE38" i="4" s="1"/>
  <c r="AK43" i="4"/>
  <c r="AW133" i="2"/>
  <c r="AY133" i="2" s="1"/>
  <c r="AW130" i="2"/>
  <c r="AY130" i="2" s="1"/>
  <c r="BA130" i="2"/>
  <c r="AS103" i="2"/>
  <c r="K179" i="4"/>
  <c r="K220" i="4" s="1"/>
  <c r="BA216" i="4"/>
  <c r="C87" i="5" s="1"/>
  <c r="AW129" i="4"/>
  <c r="AY129" i="4" s="1"/>
  <c r="BA129" i="4"/>
  <c r="AS118" i="4"/>
  <c r="AW118" i="4" s="1"/>
  <c r="AY118" i="4" s="1"/>
  <c r="AW96" i="4"/>
  <c r="AY96" i="4" s="1"/>
  <c r="BA96" i="4"/>
  <c r="AW61" i="4"/>
  <c r="AY61" i="4" s="1"/>
  <c r="BA61" i="4"/>
  <c r="AY194" i="2"/>
  <c r="BA194" i="2"/>
  <c r="C65" i="5" s="1"/>
  <c r="Q218" i="4"/>
  <c r="AS194" i="4"/>
  <c r="BA191" i="4"/>
  <c r="AW174" i="4"/>
  <c r="AY174" i="4" s="1"/>
  <c r="BA164" i="4"/>
  <c r="Q153" i="4"/>
  <c r="AS151" i="4"/>
  <c r="AS153" i="4" s="1"/>
  <c r="AO143" i="4"/>
  <c r="AO179" i="4" s="1"/>
  <c r="AM141" i="4"/>
  <c r="AM143" i="4" s="1"/>
  <c r="BA99" i="4"/>
  <c r="AW97" i="4"/>
  <c r="AY97" i="4" s="1"/>
  <c r="BA91" i="4"/>
  <c r="AS121" i="4"/>
  <c r="BA83" i="4"/>
  <c r="AW57" i="4"/>
  <c r="AY57" i="4" s="1"/>
  <c r="AS46" i="4"/>
  <c r="S51" i="4"/>
  <c r="AI43" i="4"/>
  <c r="AY21" i="4"/>
  <c r="BE21" i="4" s="1"/>
  <c r="BA21" i="4"/>
  <c r="AW17" i="4"/>
  <c r="AY17" i="4" s="1"/>
  <c r="BE17" i="4" s="1"/>
  <c r="AS117" i="2"/>
  <c r="AW132" i="3"/>
  <c r="AY132" i="3" s="1"/>
  <c r="BA132" i="3" s="1"/>
  <c r="O132" i="4"/>
  <c r="AW50" i="2"/>
  <c r="AY50" i="2" s="1"/>
  <c r="AY183" i="4"/>
  <c r="AW189" i="4"/>
  <c r="AY189" i="4" s="1"/>
  <c r="AW126" i="4"/>
  <c r="AY126" i="4" s="1"/>
  <c r="BA126" i="4"/>
  <c r="BA108" i="4"/>
  <c r="AW108" i="4"/>
  <c r="AY108" i="4" s="1"/>
  <c r="AW77" i="4"/>
  <c r="AY77" i="4" s="1"/>
  <c r="AW98" i="4"/>
  <c r="AY98" i="4" s="1"/>
  <c r="M41" i="4"/>
  <c r="M43" i="4" s="1"/>
  <c r="O32" i="4"/>
  <c r="BA32" i="4" s="1"/>
  <c r="W43" i="4"/>
  <c r="AS106" i="2"/>
  <c r="BA101" i="2"/>
  <c r="AW101" i="2"/>
  <c r="AE197" i="3"/>
  <c r="AQ218" i="4"/>
  <c r="M166" i="4"/>
  <c r="AS166" i="4"/>
  <c r="O151" i="4"/>
  <c r="K153" i="4"/>
  <c r="AW145" i="4"/>
  <c r="AW139" i="4"/>
  <c r="S141" i="4"/>
  <c r="S143" i="4" s="1"/>
  <c r="S179" i="4" s="1"/>
  <c r="S220" i="4" s="1"/>
  <c r="AG121" i="4"/>
  <c r="AG141" i="4" s="1"/>
  <c r="AG143" i="4" s="1"/>
  <c r="AG179" i="4" s="1"/>
  <c r="AG220" i="4" s="1"/>
  <c r="AS111" i="4"/>
  <c r="BA79" i="4"/>
  <c r="Q80" i="4"/>
  <c r="Q141" i="4" s="1"/>
  <c r="AS75" i="4"/>
  <c r="BA64" i="4"/>
  <c r="AW60" i="4"/>
  <c r="AY60" i="4" s="1"/>
  <c r="AS49" i="4"/>
  <c r="AW49" i="4" s="1"/>
  <c r="AY49" i="4" s="1"/>
  <c r="BA48" i="4"/>
  <c r="AW47" i="4"/>
  <c r="AY47" i="4" s="1"/>
  <c r="AW46" i="4"/>
  <c r="O51" i="4"/>
  <c r="Q25" i="4"/>
  <c r="Q43" i="4" s="1"/>
  <c r="U184" i="2"/>
  <c r="U196" i="2" s="1"/>
  <c r="U198" i="2" s="1"/>
  <c r="AS174" i="2"/>
  <c r="BA167" i="2"/>
  <c r="AW167" i="2"/>
  <c r="AY167" i="2" s="1"/>
  <c r="AY154" i="2"/>
  <c r="AM117" i="2"/>
  <c r="AM119" i="2" s="1"/>
  <c r="AM161" i="2" s="1"/>
  <c r="AM198" i="2" s="1"/>
  <c r="W119" i="2"/>
  <c r="W161" i="2" s="1"/>
  <c r="AY10" i="2"/>
  <c r="BA10" i="2"/>
  <c r="BA130" i="4"/>
  <c r="AW116" i="4"/>
  <c r="AY116" i="4" s="1"/>
  <c r="AW62" i="4"/>
  <c r="AY62" i="4" s="1"/>
  <c r="AS24" i="4"/>
  <c r="AW24" i="4" s="1"/>
  <c r="AY24" i="4" s="1"/>
  <c r="BE24" i="4" s="1"/>
  <c r="AA25" i="4"/>
  <c r="AA43" i="4" s="1"/>
  <c r="AA143" i="4" s="1"/>
  <c r="AA179" i="4" s="1"/>
  <c r="AA220" i="4" s="1"/>
  <c r="AW48" i="2"/>
  <c r="BA48" i="2" s="1"/>
  <c r="O70" i="2"/>
  <c r="AM157" i="4"/>
  <c r="AW84" i="4"/>
  <c r="AY84" i="4" s="1"/>
  <c r="BA58" i="4"/>
  <c r="AW58" i="4"/>
  <c r="AY58" i="4" s="1"/>
  <c r="W141" i="4"/>
  <c r="W143" i="4" s="1"/>
  <c r="W179" i="4" s="1"/>
  <c r="W220" i="4" s="1"/>
  <c r="AK121" i="4"/>
  <c r="AK141" i="4" s="1"/>
  <c r="AK143" i="4" s="1"/>
  <c r="AK179" i="4" s="1"/>
  <c r="AK220" i="4" s="1"/>
  <c r="AS120" i="4"/>
  <c r="BA59" i="4"/>
  <c r="B21" i="10"/>
  <c r="Y27" i="4" s="1"/>
  <c r="Y43" i="4" s="1"/>
  <c r="AO218" i="4"/>
  <c r="AS209" i="4"/>
  <c r="AY209" i="4" s="1"/>
  <c r="AC143" i="4"/>
  <c r="AC179" i="4" s="1"/>
  <c r="AW130" i="4"/>
  <c r="AY130" i="4" s="1"/>
  <c r="BA103" i="4"/>
  <c r="O87" i="4"/>
  <c r="BA50" i="4"/>
  <c r="AW23" i="4"/>
  <c r="AY23" i="4" s="1"/>
  <c r="BA20" i="4"/>
  <c r="BA18" i="4"/>
  <c r="AC184" i="2"/>
  <c r="BA146" i="2"/>
  <c r="AS136" i="2"/>
  <c r="AW89" i="2"/>
  <c r="AY89" i="2" s="1"/>
  <c r="AW39" i="2"/>
  <c r="BA39" i="2"/>
  <c r="BA27" i="2"/>
  <c r="O34" i="2"/>
  <c r="O36" i="2" s="1"/>
  <c r="AW19" i="2"/>
  <c r="AY19" i="2" s="1"/>
  <c r="BA19" i="2"/>
  <c r="AW13" i="2"/>
  <c r="AY13" i="2" s="1"/>
  <c r="O21" i="2"/>
  <c r="AK218" i="4"/>
  <c r="AW95" i="4"/>
  <c r="AY95" i="4" s="1"/>
  <c r="AW74" i="4"/>
  <c r="AY74" i="4" s="1"/>
  <c r="AW13" i="4"/>
  <c r="AY13" i="4" s="1"/>
  <c r="BE13" i="4" s="1"/>
  <c r="BA13" i="4"/>
  <c r="AW150" i="2"/>
  <c r="AY150" i="2" s="1"/>
  <c r="BA150" i="2"/>
  <c r="C64" i="5" s="1"/>
  <c r="O134" i="2"/>
  <c r="K136" i="2"/>
  <c r="AW34" i="4"/>
  <c r="AY34" i="4" s="1"/>
  <c r="AY208" i="4"/>
  <c r="AS214" i="4"/>
  <c r="AW177" i="4"/>
  <c r="AY177" i="4" s="1"/>
  <c r="BA177" i="4"/>
  <c r="BA104" i="4"/>
  <c r="BA67" i="4"/>
  <c r="AG192" i="2"/>
  <c r="AG196" i="2" s="1"/>
  <c r="AG198" i="2" s="1"/>
  <c r="U218" i="4"/>
  <c r="AW176" i="4"/>
  <c r="AY176" i="4" s="1"/>
  <c r="AW156" i="4"/>
  <c r="AY156" i="4" s="1"/>
  <c r="AS125" i="4"/>
  <c r="AS132" i="4" s="1"/>
  <c r="Y132" i="4"/>
  <c r="Y141" i="4" s="1"/>
  <c r="BA114" i="4"/>
  <c r="AW114" i="4"/>
  <c r="AY114" i="4" s="1"/>
  <c r="BA100" i="4"/>
  <c r="BA68" i="4"/>
  <c r="BA56" i="4"/>
  <c r="BA15" i="4"/>
  <c r="BA188" i="4"/>
  <c r="AW184" i="4"/>
  <c r="AY184" i="4" s="1"/>
  <c r="BA172" i="4"/>
  <c r="AS155" i="4"/>
  <c r="AS157" i="4" s="1"/>
  <c r="AW149" i="4"/>
  <c r="BA109" i="4"/>
  <c r="AI121" i="4"/>
  <c r="AI141" i="4" s="1"/>
  <c r="AI143" i="4" s="1"/>
  <c r="AI179" i="4" s="1"/>
  <c r="AI220" i="4" s="1"/>
  <c r="BA70" i="4"/>
  <c r="AW65" i="4"/>
  <c r="AU80" i="4"/>
  <c r="BA22" i="4"/>
  <c r="C76" i="5" s="1"/>
  <c r="Q196" i="2"/>
  <c r="AS156" i="2"/>
  <c r="AW156" i="2" s="1"/>
  <c r="AY156" i="2" s="1"/>
  <c r="BA152" i="2"/>
  <c r="AY115" i="2"/>
  <c r="BA115" i="2"/>
  <c r="AW83" i="2"/>
  <c r="AY83" i="2" s="1"/>
  <c r="AW9" i="3"/>
  <c r="AY39" i="4"/>
  <c r="BE39" i="4" s="1"/>
  <c r="BA39" i="4"/>
  <c r="AW41" i="4"/>
  <c r="BA205" i="2"/>
  <c r="AS166" i="2"/>
  <c r="S169" i="2"/>
  <c r="S196" i="2" s="1"/>
  <c r="S198" i="2" s="1"/>
  <c r="AW163" i="2"/>
  <c r="O169" i="2"/>
  <c r="O196" i="2" s="1"/>
  <c r="BA156" i="2"/>
  <c r="AW141" i="2"/>
  <c r="AY141" i="2" s="1"/>
  <c r="BA141" i="2"/>
  <c r="BA135" i="2"/>
  <c r="AW123" i="2"/>
  <c r="AE119" i="2"/>
  <c r="AE161" i="2" s="1"/>
  <c r="AE198" i="2" s="1"/>
  <c r="AC205" i="4"/>
  <c r="AC218" i="4" s="1"/>
  <c r="AW170" i="4"/>
  <c r="AU132" i="4"/>
  <c r="O119" i="4"/>
  <c r="BA112" i="4"/>
  <c r="AW107" i="4"/>
  <c r="BA102" i="4"/>
  <c r="AS93" i="4"/>
  <c r="BA66" i="4"/>
  <c r="BA63" i="4"/>
  <c r="O55" i="4"/>
  <c r="M80" i="4"/>
  <c r="BA14" i="4"/>
  <c r="AW159" i="2"/>
  <c r="AW147" i="2"/>
  <c r="AY147" i="2" s="1"/>
  <c r="K148" i="2"/>
  <c r="O145" i="2"/>
  <c r="AW138" i="2"/>
  <c r="AY138" i="2" s="1"/>
  <c r="AQ161" i="2"/>
  <c r="AY113" i="2"/>
  <c r="Q117" i="2"/>
  <c r="Q119" i="2" s="1"/>
  <c r="Q161" i="2" s="1"/>
  <c r="AW86" i="2"/>
  <c r="AY86" i="2" s="1"/>
  <c r="BA86" i="2"/>
  <c r="AW60" i="2"/>
  <c r="AY60" i="2" s="1"/>
  <c r="BA31" i="2"/>
  <c r="AW61" i="3"/>
  <c r="AY61" i="3" s="1"/>
  <c r="BA61" i="3" s="1"/>
  <c r="AY22" i="3"/>
  <c r="BA22" i="3"/>
  <c r="AW102" i="2"/>
  <c r="AY102" i="2" s="1"/>
  <c r="BA74" i="2"/>
  <c r="AW118" i="3"/>
  <c r="AY118" i="3" s="1"/>
  <c r="BA118" i="3" s="1"/>
  <c r="AS120" i="3"/>
  <c r="AW131" i="2"/>
  <c r="AY131" i="2" s="1"/>
  <c r="AA218" i="4"/>
  <c r="BA185" i="4"/>
  <c r="AW168" i="4"/>
  <c r="AY168" i="4" s="1"/>
  <c r="AW162" i="4"/>
  <c r="O166" i="4"/>
  <c r="Q157" i="4"/>
  <c r="AS134" i="4"/>
  <c r="AW134" i="4" s="1"/>
  <c r="AY134" i="4" s="1"/>
  <c r="U141" i="4"/>
  <c r="U143" i="4" s="1"/>
  <c r="U179" i="4" s="1"/>
  <c r="AW56" i="4"/>
  <c r="AY56" i="4" s="1"/>
  <c r="AW19" i="4"/>
  <c r="AY19" i="4" s="1"/>
  <c r="BE19" i="4" s="1"/>
  <c r="AE25" i="4"/>
  <c r="AE43" i="4" s="1"/>
  <c r="AE143" i="4" s="1"/>
  <c r="AE179" i="4" s="1"/>
  <c r="AE220" i="4" s="1"/>
  <c r="AW11" i="4"/>
  <c r="AY11" i="4" s="1"/>
  <c r="BE11" i="4" s="1"/>
  <c r="BA11" i="4"/>
  <c r="O25" i="4"/>
  <c r="AQ196" i="2"/>
  <c r="AQ198" i="2" s="1"/>
  <c r="AA196" i="2"/>
  <c r="AA198" i="2" s="1"/>
  <c r="BA164" i="2"/>
  <c r="AW164" i="2"/>
  <c r="AY164" i="2" s="1"/>
  <c r="AI148" i="2"/>
  <c r="AI161" i="2" s="1"/>
  <c r="AI198" i="2" s="1"/>
  <c r="AS144" i="2"/>
  <c r="AC119" i="2"/>
  <c r="AC161" i="2" s="1"/>
  <c r="AW91" i="2"/>
  <c r="AY91" i="2" s="1"/>
  <c r="AW80" i="2"/>
  <c r="AY80" i="2" s="1"/>
  <c r="BA80" i="2"/>
  <c r="AC34" i="2"/>
  <c r="AC36" i="2" s="1"/>
  <c r="AO94" i="3"/>
  <c r="AO106" i="3" s="1"/>
  <c r="AO109" i="3" s="1"/>
  <c r="AO152" i="3" s="1"/>
  <c r="AS93" i="3"/>
  <c r="AW93" i="3" s="1"/>
  <c r="AY93" i="3" s="1"/>
  <c r="BA93" i="3" s="1"/>
  <c r="AS30" i="4"/>
  <c r="AS16" i="4"/>
  <c r="AW16" i="4" s="1"/>
  <c r="AY16" i="4" s="1"/>
  <c r="BE16" i="4" s="1"/>
  <c r="BA171" i="2"/>
  <c r="BA128" i="2"/>
  <c r="AW95" i="2"/>
  <c r="AY95" i="2" s="1"/>
  <c r="O98" i="2"/>
  <c r="AW73" i="2"/>
  <c r="BA59" i="2"/>
  <c r="AW59" i="2"/>
  <c r="AY59" i="2" s="1"/>
  <c r="AM36" i="2"/>
  <c r="BA14" i="2"/>
  <c r="AW14" i="2"/>
  <c r="AY14" i="2" s="1"/>
  <c r="AG196" i="3"/>
  <c r="AS123" i="3"/>
  <c r="U130" i="3"/>
  <c r="BA75" i="2"/>
  <c r="AW75" i="2"/>
  <c r="AY75" i="2" s="1"/>
  <c r="AU70" i="2"/>
  <c r="AS111" i="3"/>
  <c r="Q113" i="3"/>
  <c r="AS104" i="3"/>
  <c r="M51" i="4"/>
  <c r="AY10" i="4"/>
  <c r="BE10" i="4" s="1"/>
  <c r="AW9" i="4"/>
  <c r="BA9" i="4" s="1"/>
  <c r="BA132" i="2"/>
  <c r="O136" i="2"/>
  <c r="AW127" i="2"/>
  <c r="BA108" i="2"/>
  <c r="AW108" i="2"/>
  <c r="AY108" i="2" s="1"/>
  <c r="BA105" i="2"/>
  <c r="AW94" i="2"/>
  <c r="AY94" i="2" s="1"/>
  <c r="BA66" i="2"/>
  <c r="AW56" i="2"/>
  <c r="AW51" i="2"/>
  <c r="AY51" i="2" s="1"/>
  <c r="BA51" i="2"/>
  <c r="BA41" i="2"/>
  <c r="AW18" i="2"/>
  <c r="AY18" i="2" s="1"/>
  <c r="BA18" i="2"/>
  <c r="BA15" i="2"/>
  <c r="AO196" i="3"/>
  <c r="AS98" i="3"/>
  <c r="AG102" i="3"/>
  <c r="O106" i="2"/>
  <c r="AW84" i="2"/>
  <c r="AY84" i="2" s="1"/>
  <c r="AS26" i="2"/>
  <c r="AS34" i="2"/>
  <c r="AW23" i="2"/>
  <c r="AW15" i="4"/>
  <c r="AY15" i="4" s="1"/>
  <c r="BE15" i="4" s="1"/>
  <c r="E26" i="7"/>
  <c r="E37" i="7" s="1"/>
  <c r="E41" i="7" s="1"/>
  <c r="W196" i="2"/>
  <c r="W198" i="2" s="1"/>
  <c r="AW158" i="2"/>
  <c r="AW129" i="2"/>
  <c r="AY129" i="2" s="1"/>
  <c r="BA129" i="2"/>
  <c r="AG98" i="2"/>
  <c r="AG117" i="2" s="1"/>
  <c r="AG119" i="2" s="1"/>
  <c r="AG161" i="2" s="1"/>
  <c r="BA76" i="2"/>
  <c r="AS98" i="2"/>
  <c r="AW67" i="2"/>
  <c r="AY67" i="2" s="1"/>
  <c r="AW63" i="2"/>
  <c r="AY63" i="2" s="1"/>
  <c r="AS44" i="2"/>
  <c r="AW155" i="3"/>
  <c r="AW100" i="3"/>
  <c r="AY100" i="3" s="1"/>
  <c r="BA100" i="3" s="1"/>
  <c r="AY70" i="3"/>
  <c r="BA93" i="2"/>
  <c r="AW93" i="2"/>
  <c r="AY93" i="2" s="1"/>
  <c r="AW65" i="2"/>
  <c r="AY65" i="2" s="1"/>
  <c r="BA54" i="2"/>
  <c r="K36" i="2"/>
  <c r="K119" i="2" s="1"/>
  <c r="BA29" i="2"/>
  <c r="BA25" i="2"/>
  <c r="AS71" i="3"/>
  <c r="AG94" i="3"/>
  <c r="BA125" i="2"/>
  <c r="AO117" i="2"/>
  <c r="Y117" i="2"/>
  <c r="Y119" i="2" s="1"/>
  <c r="Y161" i="2" s="1"/>
  <c r="Y198" i="2" s="1"/>
  <c r="AW104" i="2"/>
  <c r="AY104" i="2" s="1"/>
  <c r="AW87" i="2"/>
  <c r="BA77" i="2"/>
  <c r="BA64" i="2"/>
  <c r="BA55" i="2"/>
  <c r="BA43" i="2"/>
  <c r="O42" i="2"/>
  <c r="M44" i="2"/>
  <c r="M119" i="2" s="1"/>
  <c r="M161" i="2" s="1"/>
  <c r="M198" i="2" s="1"/>
  <c r="M207" i="2" s="1"/>
  <c r="AG44" i="2"/>
  <c r="AW12" i="2"/>
  <c r="AY12" i="2" s="1"/>
  <c r="AW204" i="3"/>
  <c r="AY204" i="3" s="1"/>
  <c r="BA204" i="3" s="1"/>
  <c r="AY182" i="3"/>
  <c r="AS167" i="3"/>
  <c r="AY167" i="3" s="1"/>
  <c r="AS164" i="3"/>
  <c r="AC179" i="3"/>
  <c r="AC196" i="3" s="1"/>
  <c r="BA87" i="3"/>
  <c r="AY45" i="3"/>
  <c r="W36" i="2"/>
  <c r="Q34" i="2"/>
  <c r="Q36" i="2" s="1"/>
  <c r="AO21" i="2"/>
  <c r="AO36" i="2" s="1"/>
  <c r="AS9" i="2"/>
  <c r="AS185" i="3"/>
  <c r="AY185" i="3" s="1"/>
  <c r="AM197" i="3"/>
  <c r="BA92" i="3"/>
  <c r="AS41" i="3"/>
  <c r="BA122" i="2"/>
  <c r="C59" i="5" s="1"/>
  <c r="BA88" i="2"/>
  <c r="AW85" i="2"/>
  <c r="AY85" i="2" s="1"/>
  <c r="BA82" i="2"/>
  <c r="AW78" i="2"/>
  <c r="AY78" i="2" s="1"/>
  <c r="AW69" i="2"/>
  <c r="AW62" i="2"/>
  <c r="AY62" i="2" s="1"/>
  <c r="BA23" i="2"/>
  <c r="AU196" i="3"/>
  <c r="AU98" i="2"/>
  <c r="AU117" i="2" s="1"/>
  <c r="AU119" i="2" s="1"/>
  <c r="AU161" i="2" s="1"/>
  <c r="AU198" i="2" s="1"/>
  <c r="S220" i="2" s="1"/>
  <c r="AW58" i="2"/>
  <c r="AY58" i="2" s="1"/>
  <c r="AW53" i="2"/>
  <c r="BA11" i="2"/>
  <c r="AW161" i="3"/>
  <c r="AY161" i="3" s="1"/>
  <c r="BA161" i="3" s="1"/>
  <c r="AS145" i="3"/>
  <c r="AY145" i="3" s="1"/>
  <c r="BA145" i="3" s="1"/>
  <c r="W106" i="3"/>
  <c r="W109" i="3" s="1"/>
  <c r="W152" i="3" s="1"/>
  <c r="W197" i="3" s="1"/>
  <c r="W219" i="3" s="1"/>
  <c r="W222" i="3" s="1"/>
  <c r="AW91" i="3"/>
  <c r="AY91" i="3" s="1"/>
  <c r="BA91" i="3" s="1"/>
  <c r="AE41" i="3"/>
  <c r="AW30" i="3"/>
  <c r="AY30" i="3" s="1"/>
  <c r="BA30" i="3"/>
  <c r="AW25" i="3"/>
  <c r="AY25" i="3" s="1"/>
  <c r="BA25" i="3"/>
  <c r="AW20" i="3"/>
  <c r="AS31" i="3"/>
  <c r="BA20" i="3"/>
  <c r="BA52" i="2"/>
  <c r="S44" i="2"/>
  <c r="S119" i="2" s="1"/>
  <c r="S161" i="2" s="1"/>
  <c r="AK34" i="2"/>
  <c r="AK36" i="2" s="1"/>
  <c r="AK119" i="2" s="1"/>
  <c r="AK161" i="2" s="1"/>
  <c r="AK198" i="2" s="1"/>
  <c r="BA33" i="2"/>
  <c r="BA24" i="2"/>
  <c r="BA17" i="2"/>
  <c r="AW194" i="3"/>
  <c r="AY194" i="3" s="1"/>
  <c r="BA194" i="3" s="1"/>
  <c r="C48" i="5" s="1"/>
  <c r="AS188" i="3"/>
  <c r="AY188" i="3" s="1"/>
  <c r="AA192" i="3"/>
  <c r="AA196" i="3" s="1"/>
  <c r="AA197" i="3" s="1"/>
  <c r="AQ196" i="3"/>
  <c r="O120" i="3"/>
  <c r="AW117" i="3"/>
  <c r="Y106" i="3"/>
  <c r="Y109" i="3" s="1"/>
  <c r="Y152" i="3" s="1"/>
  <c r="Y197" i="3" s="1"/>
  <c r="Y219" i="3" s="1"/>
  <c r="Y222" i="3" s="1"/>
  <c r="BA59" i="3"/>
  <c r="BA45" i="3"/>
  <c r="BA88" i="3"/>
  <c r="AW48" i="3"/>
  <c r="AY48" i="3" s="1"/>
  <c r="O67" i="3"/>
  <c r="BA48" i="3"/>
  <c r="BA12" i="2"/>
  <c r="AK196" i="3"/>
  <c r="U196" i="3"/>
  <c r="S159" i="3"/>
  <c r="S196" i="3" s="1"/>
  <c r="AS157" i="3"/>
  <c r="AW157" i="3" s="1"/>
  <c r="AY157" i="3" s="1"/>
  <c r="BA157" i="3" s="1"/>
  <c r="AS72" i="3"/>
  <c r="AW72" i="3" s="1"/>
  <c r="AY72" i="3" s="1"/>
  <c r="BA72" i="3" s="1"/>
  <c r="Y94" i="3"/>
  <c r="AW53" i="3"/>
  <c r="AY53" i="3" s="1"/>
  <c r="BA53" i="3" s="1"/>
  <c r="AS46" i="3"/>
  <c r="AW46" i="3" s="1"/>
  <c r="AY46" i="3" s="1"/>
  <c r="BA46" i="3" s="1"/>
  <c r="U67" i="3"/>
  <c r="U106" i="3" s="1"/>
  <c r="U109" i="3" s="1"/>
  <c r="U152" i="3" s="1"/>
  <c r="Q192" i="3"/>
  <c r="Q196" i="3" s="1"/>
  <c r="AS158" i="3"/>
  <c r="AY158" i="3" s="1"/>
  <c r="BA158" i="3" s="1"/>
  <c r="AQ152" i="3"/>
  <c r="AW101" i="3"/>
  <c r="AY101" i="3" s="1"/>
  <c r="BA101" i="3" s="1"/>
  <c r="AS97" i="3"/>
  <c r="AS102" i="3" s="1"/>
  <c r="AE102" i="3"/>
  <c r="AE106" i="3" s="1"/>
  <c r="AE109" i="3" s="1"/>
  <c r="AE152" i="3" s="1"/>
  <c r="AS80" i="3"/>
  <c r="AW80" i="3" s="1"/>
  <c r="AY80" i="3" s="1"/>
  <c r="BA80" i="3" s="1"/>
  <c r="AU94" i="3"/>
  <c r="O94" i="3"/>
  <c r="AC67" i="3"/>
  <c r="BA23" i="3"/>
  <c r="BA15" i="3"/>
  <c r="AG192" i="3"/>
  <c r="BA149" i="3"/>
  <c r="C50" i="5" s="1"/>
  <c r="AW137" i="3"/>
  <c r="AY137" i="3" s="1"/>
  <c r="BA137" i="3" s="1"/>
  <c r="AS139" i="3"/>
  <c r="O102" i="3"/>
  <c r="AS88" i="3"/>
  <c r="AW88" i="3" s="1"/>
  <c r="AY88" i="3" s="1"/>
  <c r="Y67" i="3"/>
  <c r="AS55" i="3"/>
  <c r="AW55" i="3" s="1"/>
  <c r="AY55" i="3" s="1"/>
  <c r="BA55" i="3" s="1"/>
  <c r="AA67" i="3"/>
  <c r="AW40" i="3"/>
  <c r="AY40" i="3" s="1"/>
  <c r="BA39" i="3"/>
  <c r="AG33" i="3"/>
  <c r="BA21" i="3"/>
  <c r="O31" i="3"/>
  <c r="AU102" i="3"/>
  <c r="AU106" i="3" s="1"/>
  <c r="AU109" i="3" s="1"/>
  <c r="AU152" i="3" s="1"/>
  <c r="AW98" i="3"/>
  <c r="AY98" i="3" s="1"/>
  <c r="BA98" i="3" s="1"/>
  <c r="BA86" i="3"/>
  <c r="AW81" i="3"/>
  <c r="AY81" i="3" s="1"/>
  <c r="BA81" i="3" s="1"/>
  <c r="AS64" i="3"/>
  <c r="AW64" i="3" s="1"/>
  <c r="AY64" i="3" s="1"/>
  <c r="BA64" i="3" s="1"/>
  <c r="Q67" i="3"/>
  <c r="Q106" i="3" s="1"/>
  <c r="Q109" i="3" s="1"/>
  <c r="Q152" i="3" s="1"/>
  <c r="BA60" i="3"/>
  <c r="AW47" i="3"/>
  <c r="AY47" i="3" s="1"/>
  <c r="BA47" i="3"/>
  <c r="AK31" i="3"/>
  <c r="AK33" i="3" s="1"/>
  <c r="AK109" i="3" s="1"/>
  <c r="AK152" i="3" s="1"/>
  <c r="AW17" i="3"/>
  <c r="AY17" i="3" s="1"/>
  <c r="BA17" i="3"/>
  <c r="BA50" i="3"/>
  <c r="AW12" i="3"/>
  <c r="AY12" i="3" s="1"/>
  <c r="BA12" i="3"/>
  <c r="AW150" i="3"/>
  <c r="AY150" i="3" s="1"/>
  <c r="BA150" i="3" s="1"/>
  <c r="S106" i="3"/>
  <c r="S109" i="3" s="1"/>
  <c r="S152" i="3" s="1"/>
  <c r="AS99" i="3"/>
  <c r="AW99" i="3" s="1"/>
  <c r="AY99" i="3" s="1"/>
  <c r="BA99" i="3" s="1"/>
  <c r="AW89" i="3"/>
  <c r="AY89" i="3" s="1"/>
  <c r="BA89" i="3" s="1"/>
  <c r="AC94" i="3"/>
  <c r="AC106" i="3" s="1"/>
  <c r="AW78" i="3"/>
  <c r="AY78" i="3" s="1"/>
  <c r="BA78" i="3" s="1"/>
  <c r="AW75" i="3"/>
  <c r="AY75" i="3" s="1"/>
  <c r="BA75" i="3" s="1"/>
  <c r="AW74" i="3"/>
  <c r="AY74" i="3" s="1"/>
  <c r="BA74" i="3" s="1"/>
  <c r="BA70" i="3"/>
  <c r="AS65" i="3"/>
  <c r="AW65" i="3" s="1"/>
  <c r="AY65" i="3" s="1"/>
  <c r="BA65" i="3" s="1"/>
  <c r="BA63" i="3"/>
  <c r="AW54" i="3"/>
  <c r="AY54" i="3" s="1"/>
  <c r="BA54" i="3" s="1"/>
  <c r="AW49" i="3"/>
  <c r="AY49" i="3" s="1"/>
  <c r="BA49" i="3" s="1"/>
  <c r="AC31" i="3"/>
  <c r="AC33" i="3" s="1"/>
  <c r="AS10" i="3"/>
  <c r="AW10" i="3" s="1"/>
  <c r="AY10" i="3" s="1"/>
  <c r="BA9" i="3"/>
  <c r="AS166" i="3"/>
  <c r="AY166" i="3" s="1"/>
  <c r="BA138" i="3"/>
  <c r="C45" i="5" s="1"/>
  <c r="O136" i="3"/>
  <c r="K139" i="3"/>
  <c r="K152" i="3" s="1"/>
  <c r="K197" i="3" s="1"/>
  <c r="AI106" i="3"/>
  <c r="AI109" i="3" s="1"/>
  <c r="AI152" i="3" s="1"/>
  <c r="AI197" i="3" s="1"/>
  <c r="AS87" i="3"/>
  <c r="AW87" i="3" s="1"/>
  <c r="AY87" i="3" s="1"/>
  <c r="AW85" i="3"/>
  <c r="AY85" i="3" s="1"/>
  <c r="BA85" i="3" s="1"/>
  <c r="AS84" i="3"/>
  <c r="AW84" i="3" s="1"/>
  <c r="AY84" i="3" s="1"/>
  <c r="BA84" i="3" s="1"/>
  <c r="AA94" i="3"/>
  <c r="AA106" i="3" s="1"/>
  <c r="AA109" i="3" s="1"/>
  <c r="AA152" i="3" s="1"/>
  <c r="AW76" i="3"/>
  <c r="AY76" i="3" s="1"/>
  <c r="BA76" i="3" s="1"/>
  <c r="BA56" i="3"/>
  <c r="AW51" i="3"/>
  <c r="AY51" i="3" s="1"/>
  <c r="BA51" i="3" s="1"/>
  <c r="BA40" i="3"/>
  <c r="AW36" i="3"/>
  <c r="Q33" i="3"/>
  <c r="BA16" i="3"/>
  <c r="BA129" i="3"/>
  <c r="O18" i="3"/>
  <c r="K206" i="3" l="1"/>
  <c r="K208" i="3" s="1"/>
  <c r="K199" i="3"/>
  <c r="AY170" i="4"/>
  <c r="BA170" i="4"/>
  <c r="BA192" i="2"/>
  <c r="Y143" i="4"/>
  <c r="Y179" i="4" s="1"/>
  <c r="Y220" i="4" s="1"/>
  <c r="BA24" i="4"/>
  <c r="C77" i="5" s="1"/>
  <c r="BA60" i="4"/>
  <c r="AY36" i="3"/>
  <c r="AY41" i="3" s="1"/>
  <c r="AW41" i="3"/>
  <c r="O33" i="3"/>
  <c r="BA31" i="3"/>
  <c r="AS67" i="3"/>
  <c r="AW120" i="3"/>
  <c r="AY117" i="3"/>
  <c r="AY20" i="3"/>
  <c r="AY31" i="3" s="1"/>
  <c r="AW31" i="3"/>
  <c r="AW33" i="3" s="1"/>
  <c r="AU197" i="3"/>
  <c r="BA94" i="2"/>
  <c r="AS21" i="2"/>
  <c r="AW9" i="2"/>
  <c r="AC197" i="3"/>
  <c r="AY87" i="2"/>
  <c r="BA87" i="2"/>
  <c r="BA63" i="2"/>
  <c r="BA98" i="2"/>
  <c r="BA144" i="2"/>
  <c r="AS148" i="2"/>
  <c r="AW144" i="2"/>
  <c r="BA147" i="2"/>
  <c r="BA93" i="4"/>
  <c r="BA121" i="4" s="1"/>
  <c r="AW93" i="4"/>
  <c r="AW169" i="2"/>
  <c r="BA163" i="2"/>
  <c r="BA169" i="2" s="1"/>
  <c r="C67" i="5" s="1"/>
  <c r="AY163" i="2"/>
  <c r="AS27" i="4"/>
  <c r="BA34" i="4"/>
  <c r="BA95" i="4"/>
  <c r="BA84" i="4"/>
  <c r="BA62" i="4"/>
  <c r="AY139" i="4"/>
  <c r="BA139" i="4"/>
  <c r="BA49" i="4"/>
  <c r="BA174" i="4"/>
  <c r="BA97" i="4"/>
  <c r="BA133" i="2"/>
  <c r="AW127" i="4"/>
  <c r="AY127" i="4" s="1"/>
  <c r="BA127" i="4"/>
  <c r="BA186" i="4"/>
  <c r="AS130" i="3"/>
  <c r="AY123" i="3"/>
  <c r="BA84" i="2"/>
  <c r="BA18" i="3"/>
  <c r="O117" i="2"/>
  <c r="BA131" i="2"/>
  <c r="BA74" i="4"/>
  <c r="BA89" i="2"/>
  <c r="AY9" i="3"/>
  <c r="AY18" i="3" s="1"/>
  <c r="AW18" i="3"/>
  <c r="AY149" i="4"/>
  <c r="BA149" i="4"/>
  <c r="BA75" i="4"/>
  <c r="AW75" i="4"/>
  <c r="AY75" i="4" s="1"/>
  <c r="AY145" i="4"/>
  <c r="AY147" i="4" s="1"/>
  <c r="AW147" i="4"/>
  <c r="K222" i="4"/>
  <c r="K227" i="4"/>
  <c r="K229" i="4" s="1"/>
  <c r="AS25" i="4"/>
  <c r="AC109" i="3"/>
  <c r="AC152" i="3" s="1"/>
  <c r="Q197" i="3"/>
  <c r="S197" i="3"/>
  <c r="AQ197" i="3"/>
  <c r="BA36" i="3"/>
  <c r="BA41" i="3" s="1"/>
  <c r="C40" i="5" s="1"/>
  <c r="K161" i="2"/>
  <c r="K198" i="2" s="1"/>
  <c r="AG106" i="3"/>
  <c r="AG109" i="3" s="1"/>
  <c r="AG152" i="3" s="1"/>
  <c r="AG197" i="3" s="1"/>
  <c r="AW104" i="3"/>
  <c r="BA95" i="2"/>
  <c r="BA19" i="4"/>
  <c r="BA60" i="2"/>
  <c r="AY159" i="2"/>
  <c r="BA159" i="2"/>
  <c r="AY107" i="4"/>
  <c r="BA107" i="4"/>
  <c r="BA166" i="2"/>
  <c r="AW166" i="2"/>
  <c r="AY166" i="2" s="1"/>
  <c r="AS169" i="2"/>
  <c r="AS196" i="2" s="1"/>
  <c r="AS18" i="3"/>
  <c r="AS33" i="3" s="1"/>
  <c r="Q198" i="2"/>
  <c r="AS80" i="4"/>
  <c r="AS141" i="4" s="1"/>
  <c r="BA145" i="4"/>
  <c r="BA156" i="4"/>
  <c r="BA120" i="4"/>
  <c r="AW120" i="4"/>
  <c r="AY120" i="4" s="1"/>
  <c r="BA70" i="2"/>
  <c r="BA116" i="4"/>
  <c r="AY46" i="4"/>
  <c r="AY51" i="4" s="1"/>
  <c r="AW51" i="4"/>
  <c r="Q143" i="4"/>
  <c r="Q179" i="4" s="1"/>
  <c r="Q220" i="4" s="1"/>
  <c r="AY101" i="2"/>
  <c r="BA98" i="4"/>
  <c r="AS51" i="4"/>
  <c r="BA46" i="4"/>
  <c r="BA51" i="4" s="1"/>
  <c r="C79" i="5" s="1"/>
  <c r="AM179" i="4"/>
  <c r="AM220" i="4" s="1"/>
  <c r="AW103" i="2"/>
  <c r="AY103" i="2" s="1"/>
  <c r="BA86" i="4"/>
  <c r="BA135" i="4"/>
  <c r="BA138" i="2"/>
  <c r="BA134" i="4"/>
  <c r="BA16" i="4"/>
  <c r="BA25" i="4" s="1"/>
  <c r="AY9" i="4"/>
  <c r="AW25" i="4"/>
  <c r="AW43" i="4" s="1"/>
  <c r="AY73" i="2"/>
  <c r="AW98" i="2"/>
  <c r="AY98" i="2" s="1"/>
  <c r="AS179" i="3"/>
  <c r="AW179" i="3" s="1"/>
  <c r="AY179" i="3" s="1"/>
  <c r="BA179" i="3" s="1"/>
  <c r="AY164" i="3"/>
  <c r="BA67" i="2"/>
  <c r="BA73" i="2"/>
  <c r="U197" i="3"/>
  <c r="U219" i="3" s="1"/>
  <c r="U222" i="3" s="1"/>
  <c r="AS192" i="3"/>
  <c r="AW192" i="3" s="1"/>
  <c r="AY192" i="3" s="1"/>
  <c r="BA192" i="3" s="1"/>
  <c r="BA42" i="2"/>
  <c r="BA44" i="2" s="1"/>
  <c r="C57" i="5" s="1"/>
  <c r="AW42" i="2"/>
  <c r="AY42" i="2" s="1"/>
  <c r="BA127" i="2"/>
  <c r="AW136" i="2"/>
  <c r="BA136" i="2" s="1"/>
  <c r="AY127" i="2"/>
  <c r="AS205" i="4"/>
  <c r="AS218" i="4" s="1"/>
  <c r="AY194" i="4"/>
  <c r="BA104" i="2"/>
  <c r="AC198" i="2"/>
  <c r="AW97" i="3"/>
  <c r="O106" i="3"/>
  <c r="AK197" i="3"/>
  <c r="AY67" i="3"/>
  <c r="BA67" i="3" s="1"/>
  <c r="AS159" i="3"/>
  <c r="AS36" i="2"/>
  <c r="AO197" i="3"/>
  <c r="BA78" i="2"/>
  <c r="BA102" i="2"/>
  <c r="BA62" i="2"/>
  <c r="AW119" i="4"/>
  <c r="AY119" i="4" s="1"/>
  <c r="BA119" i="4"/>
  <c r="BA83" i="2"/>
  <c r="AW44" i="2"/>
  <c r="AY39" i="2"/>
  <c r="AY44" i="2" s="1"/>
  <c r="AC220" i="4"/>
  <c r="AY174" i="2"/>
  <c r="AS184" i="2"/>
  <c r="BA47" i="4"/>
  <c r="BA111" i="4"/>
  <c r="AW111" i="4"/>
  <c r="AY111" i="4" s="1"/>
  <c r="BA155" i="4"/>
  <c r="BA77" i="4"/>
  <c r="BA50" i="2"/>
  <c r="BA17" i="4"/>
  <c r="BA57" i="4"/>
  <c r="AO220" i="4"/>
  <c r="BA163" i="4"/>
  <c r="AS94" i="3"/>
  <c r="AS106" i="3" s="1"/>
  <c r="AS109" i="3" s="1"/>
  <c r="AS152" i="3" s="1"/>
  <c r="BA145" i="2"/>
  <c r="AW145" i="2"/>
  <c r="AY145" i="2" s="1"/>
  <c r="O148" i="2"/>
  <c r="AW71" i="3"/>
  <c r="AS41" i="4"/>
  <c r="BA30" i="4"/>
  <c r="AY30" i="4"/>
  <c r="AY162" i="4"/>
  <c r="AY166" i="4" s="1"/>
  <c r="AW166" i="4"/>
  <c r="BA162" i="4"/>
  <c r="AW136" i="3"/>
  <c r="O139" i="3"/>
  <c r="BA69" i="2"/>
  <c r="AY69" i="2"/>
  <c r="AO119" i="2"/>
  <c r="AO161" i="2" s="1"/>
  <c r="AO198" i="2" s="1"/>
  <c r="AY155" i="3"/>
  <c r="BA155" i="3" s="1"/>
  <c r="AW159" i="3"/>
  <c r="AY23" i="2"/>
  <c r="BA56" i="2"/>
  <c r="AY56" i="2"/>
  <c r="AW214" i="4"/>
  <c r="AY48" i="2"/>
  <c r="AW70" i="2"/>
  <c r="AY70" i="2" s="1"/>
  <c r="O153" i="4"/>
  <c r="AW151" i="4"/>
  <c r="BA151" i="4" s="1"/>
  <c r="BA153" i="4" s="1"/>
  <c r="BA10" i="3"/>
  <c r="BA58" i="2"/>
  <c r="AY53" i="2"/>
  <c r="BA53" i="2"/>
  <c r="AW67" i="3"/>
  <c r="AY158" i="2"/>
  <c r="BA158" i="2"/>
  <c r="AW26" i="2"/>
  <c r="AY26" i="2" s="1"/>
  <c r="BA85" i="2"/>
  <c r="AW111" i="3"/>
  <c r="AS113" i="3"/>
  <c r="BA91" i="2"/>
  <c r="U220" i="4"/>
  <c r="BA65" i="2"/>
  <c r="O80" i="4"/>
  <c r="AW55" i="4"/>
  <c r="BA55" i="4"/>
  <c r="AU141" i="4"/>
  <c r="AU143" i="4" s="1"/>
  <c r="AU179" i="4" s="1"/>
  <c r="AU220" i="4" s="1"/>
  <c r="AY65" i="4"/>
  <c r="BA65" i="4"/>
  <c r="BA176" i="4"/>
  <c r="AW134" i="2"/>
  <c r="AY134" i="2" s="1"/>
  <c r="O41" i="4"/>
  <c r="O43" i="4" s="1"/>
  <c r="BA13" i="2"/>
  <c r="O44" i="2"/>
  <c r="BA23" i="4"/>
  <c r="AW155" i="4"/>
  <c r="AW125" i="4"/>
  <c r="BA125" i="4" s="1"/>
  <c r="BA132" i="4" s="1"/>
  <c r="BA87" i="4"/>
  <c r="AW87" i="4"/>
  <c r="BA184" i="4"/>
  <c r="BA189" i="4" s="1"/>
  <c r="C84" i="5" s="1"/>
  <c r="O121" i="4"/>
  <c r="O141" i="4" s="1"/>
  <c r="O143" i="4" l="1"/>
  <c r="O179" i="4" s="1"/>
  <c r="O220" i="4" s="1"/>
  <c r="AY214" i="4"/>
  <c r="BE30" i="4"/>
  <c r="AY41" i="4"/>
  <c r="BA41" i="4"/>
  <c r="C72" i="5"/>
  <c r="BA157" i="4"/>
  <c r="BA103" i="2"/>
  <c r="K207" i="2"/>
  <c r="K209" i="2" s="1"/>
  <c r="K200" i="2"/>
  <c r="AY169" i="2"/>
  <c r="AW80" i="4"/>
  <c r="AY55" i="4"/>
  <c r="AY80" i="4" s="1"/>
  <c r="BA26" i="2"/>
  <c r="BA34" i="2" s="1"/>
  <c r="AS119" i="2"/>
  <c r="AS161" i="2" s="1"/>
  <c r="AY93" i="4"/>
  <c r="AY121" i="4" s="1"/>
  <c r="AW121" i="4"/>
  <c r="AY33" i="3"/>
  <c r="BA33" i="3" s="1"/>
  <c r="C39" i="5" s="1"/>
  <c r="AW113" i="3"/>
  <c r="AY111" i="3"/>
  <c r="AY97" i="3"/>
  <c r="AW102" i="3"/>
  <c r="BE9" i="4"/>
  <c r="AY25" i="4"/>
  <c r="C80" i="5"/>
  <c r="BA147" i="4"/>
  <c r="BA80" i="4"/>
  <c r="AY34" i="2"/>
  <c r="AY120" i="3"/>
  <c r="BA117" i="3"/>
  <c r="BA120" i="3" s="1"/>
  <c r="BA134" i="2"/>
  <c r="AY71" i="3"/>
  <c r="AW94" i="3"/>
  <c r="AW106" i="3" s="1"/>
  <c r="AS198" i="2"/>
  <c r="BA214" i="4"/>
  <c r="AW132" i="4"/>
  <c r="AY125" i="4"/>
  <c r="AY132" i="4" s="1"/>
  <c r="AY159" i="3"/>
  <c r="BA159" i="3" s="1"/>
  <c r="C47" i="5" s="1"/>
  <c r="AW196" i="3"/>
  <c r="BA166" i="4"/>
  <c r="C89" i="5" s="1"/>
  <c r="AW184" i="2"/>
  <c r="AY184" i="2" s="1"/>
  <c r="BA184" i="2"/>
  <c r="C61" i="5" s="1"/>
  <c r="AW205" i="4"/>
  <c r="AY205" i="4" s="1"/>
  <c r="BA123" i="3"/>
  <c r="BA130" i="3" s="1"/>
  <c r="C44" i="5" s="1"/>
  <c r="AY130" i="3"/>
  <c r="AY27" i="4"/>
  <c r="BE27" i="4" s="1"/>
  <c r="BA27" i="4"/>
  <c r="C78" i="5" s="1"/>
  <c r="AY144" i="2"/>
  <c r="AY148" i="2" s="1"/>
  <c r="AW148" i="2"/>
  <c r="AW21" i="2"/>
  <c r="BA21" i="2" s="1"/>
  <c r="AY9" i="2"/>
  <c r="AY21" i="2" s="1"/>
  <c r="BA9" i="2"/>
  <c r="O119" i="2"/>
  <c r="AY151" i="4"/>
  <c r="AY153" i="4" s="1"/>
  <c r="AW153" i="4"/>
  <c r="AW157" i="4"/>
  <c r="AY155" i="4"/>
  <c r="AY157" i="4" s="1"/>
  <c r="BA148" i="2"/>
  <c r="C62" i="5" s="1"/>
  <c r="AY104" i="3"/>
  <c r="BA104" i="3" s="1"/>
  <c r="C73" i="5"/>
  <c r="AY141" i="4"/>
  <c r="AY136" i="3"/>
  <c r="AW139" i="3"/>
  <c r="AW34" i="2"/>
  <c r="AW36" i="2" s="1"/>
  <c r="AY36" i="2" s="1"/>
  <c r="AS196" i="3"/>
  <c r="AS197" i="3" s="1"/>
  <c r="O109" i="3"/>
  <c r="AY136" i="2"/>
  <c r="AW106" i="2"/>
  <c r="AS43" i="4"/>
  <c r="AS143" i="4" s="1"/>
  <c r="AS179" i="4" s="1"/>
  <c r="AS220" i="4" s="1"/>
  <c r="BA141" i="4"/>
  <c r="AW109" i="3" l="1"/>
  <c r="AY106" i="3"/>
  <c r="BA106" i="3" s="1"/>
  <c r="AS227" i="4"/>
  <c r="AY240" i="4" s="1"/>
  <c r="AY243" i="4" s="1"/>
  <c r="G13" i="5"/>
  <c r="AY139" i="3"/>
  <c r="BA136" i="3"/>
  <c r="BA139" i="3" s="1"/>
  <c r="BE141" i="4"/>
  <c r="O161" i="2"/>
  <c r="O198" i="2" s="1"/>
  <c r="BA71" i="3"/>
  <c r="BA94" i="3" s="1"/>
  <c r="AY94" i="3"/>
  <c r="BE25" i="4"/>
  <c r="AY43" i="4"/>
  <c r="BE43" i="4" s="1"/>
  <c r="BE51" i="4" s="1"/>
  <c r="AY196" i="3"/>
  <c r="BA196" i="3" s="1"/>
  <c r="O152" i="3"/>
  <c r="O197" i="3" s="1"/>
  <c r="AW218" i="4"/>
  <c r="AY218" i="4" s="1"/>
  <c r="AY106" i="2"/>
  <c r="AW117" i="2"/>
  <c r="BA106" i="2"/>
  <c r="C58" i="5" s="1"/>
  <c r="AS206" i="3"/>
  <c r="AY219" i="3" s="1"/>
  <c r="AY222" i="3" s="1"/>
  <c r="G9" i="5"/>
  <c r="AY102" i="3"/>
  <c r="BA97" i="3"/>
  <c r="BA102" i="3" s="1"/>
  <c r="AW141" i="4"/>
  <c r="AW143" i="4" s="1"/>
  <c r="BA111" i="3"/>
  <c r="AY113" i="3"/>
  <c r="BA43" i="4"/>
  <c r="BA143" i="4"/>
  <c r="BA179" i="4" s="1"/>
  <c r="C82" i="5"/>
  <c r="C90" i="5" s="1"/>
  <c r="BA205" i="4"/>
  <c r="C83" i="5" s="1"/>
  <c r="BA36" i="2"/>
  <c r="C56" i="5" s="1"/>
  <c r="C69" i="5" s="1"/>
  <c r="G11" i="5"/>
  <c r="Q220" i="2"/>
  <c r="AS207" i="2"/>
  <c r="AY220" i="2" s="1"/>
  <c r="AY223" i="2" s="1"/>
  <c r="O227" i="4"/>
  <c r="O229" i="4" s="1"/>
  <c r="O222" i="4"/>
  <c r="E13" i="5"/>
  <c r="AW196" i="2"/>
  <c r="G17" i="5" l="1"/>
  <c r="AY196" i="2"/>
  <c r="BA196" i="2"/>
  <c r="AY143" i="4"/>
  <c r="AW179" i="4"/>
  <c r="AW220" i="4" s="1"/>
  <c r="C41" i="5"/>
  <c r="BA113" i="3"/>
  <c r="C42" i="5"/>
  <c r="BA218" i="4"/>
  <c r="BA220" i="4" s="1"/>
  <c r="BA227" i="4" s="1"/>
  <c r="O207" i="2"/>
  <c r="O209" i="2" s="1"/>
  <c r="O200" i="2"/>
  <c r="E11" i="5"/>
  <c r="AY109" i="3"/>
  <c r="AW152" i="3"/>
  <c r="AW197" i="3" s="1"/>
  <c r="AW119" i="2"/>
  <c r="AY117" i="2"/>
  <c r="BA117" i="2"/>
  <c r="O206" i="3"/>
  <c r="O208" i="3" s="1"/>
  <c r="O199" i="3"/>
  <c r="E9" i="5"/>
  <c r="BE143" i="4" l="1"/>
  <c r="AY179" i="4"/>
  <c r="AY119" i="2"/>
  <c r="AY161" i="2" s="1"/>
  <c r="AW161" i="2"/>
  <c r="AW198" i="2" s="1"/>
  <c r="BA119" i="2"/>
  <c r="BA161" i="2" s="1"/>
  <c r="E17" i="5"/>
  <c r="E19" i="5" s="1"/>
  <c r="AY152" i="3"/>
  <c r="BA109" i="3"/>
  <c r="BA152" i="3" s="1"/>
  <c r="C54" i="5"/>
  <c r="C92" i="5" s="1"/>
  <c r="AY197" i="3"/>
  <c r="AW206" i="3"/>
  <c r="I9" i="5"/>
  <c r="I13" i="5"/>
  <c r="K13" i="5" s="1"/>
  <c r="AW227" i="4"/>
  <c r="AY220" i="4"/>
  <c r="O13" i="5" l="1"/>
  <c r="M13" i="5"/>
  <c r="K9" i="5"/>
  <c r="AY198" i="2"/>
  <c r="I11" i="5"/>
  <c r="K11" i="5" s="1"/>
  <c r="AW207" i="2"/>
  <c r="BA198" i="2"/>
  <c r="BA207" i="2" s="1"/>
  <c r="AY199" i="3"/>
  <c r="AY206" i="3"/>
  <c r="AY208" i="3" s="1"/>
  <c r="BA197" i="3"/>
  <c r="BA206" i="3" s="1"/>
  <c r="AY222" i="4"/>
  <c r="AY227" i="4"/>
  <c r="AY229" i="4" s="1"/>
  <c r="K17" i="5" l="1"/>
  <c r="O9" i="5"/>
  <c r="M9" i="5"/>
  <c r="O11" i="5"/>
  <c r="M11" i="5"/>
  <c r="AY200" i="2"/>
  <c r="AY207" i="2"/>
  <c r="AY209" i="2" s="1"/>
  <c r="I17" i="5"/>
  <c r="K19" i="5" l="1"/>
  <c r="O17" i="5"/>
  <c r="M17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AU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AW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2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AU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AU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2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AU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AW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3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<sst xmlns="http://schemas.openxmlformats.org/spreadsheetml/2006/main" count="1556" uniqueCount="553">
  <si>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</si>
  <si>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</si>
  <si>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</si>
  <si>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</si>
  <si>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</si>
  <si>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</si>
  <si>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</si>
  <si>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</si>
  <si>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</si>
  <si>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</si>
  <si>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</si>
  <si>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</si>
  <si>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</si>
  <si>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</si>
  <si>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</si>
  <si>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</si>
  <si>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</si>
  <si>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</si>
  <si>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</si>
  <si>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</si>
  <si>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</si>
  <si>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</si>
  <si>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</si>
  <si>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</si>
  <si>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</si>
  <si>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</si>
  <si>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</si>
  <si>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</si>
  <si>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</si>
  <si>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</si>
  <si>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</si>
  <si>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</si>
  <si>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</si>
  <si>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</si>
  <si>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</si>
  <si>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</si>
  <si>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</si>
  <si>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</si>
  <si>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</si>
  <si>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</si>
  <si>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</si>
  <si>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</si>
  <si>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</si>
  <si>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</si>
  <si>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</si>
  <si>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</si>
  <si>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</si>
  <si>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</si>
  <si>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</si>
  <si>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</si>
  <si>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</si>
  <si>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</si>
  <si>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</si>
  <si>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</si>
  <si>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</si>
  <si>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</si>
  <si>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</si>
  <si>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</si>
  <si>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</si>
  <si>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</si>
  <si>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</si>
  <si>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</si>
  <si>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</si>
  <si>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</si>
  <si>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</si>
  <si>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</si>
  <si>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</si>
  <si>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</si>
  <si>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</si>
  <si>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</si>
  <si>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</si>
  <si>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</si>
  <si>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</si>
  <si>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</si>
  <si>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</si>
  <si>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</si>
  <si>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</si>
  <si>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</si>
  <si>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</si>
  <si>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</si>
  <si>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</si>
  <si>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</si>
  <si>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</si>
  <si>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</si>
  <si>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</si>
  <si>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</si>
  <si>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</si>
  <si>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</si>
  <si>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</si>
  <si>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</si>
  <si>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</si>
  <si>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</si>
  <si>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</si>
  <si>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</si>
  <si>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</si>
  <si>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</si>
  <si>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</si>
  <si>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</si>
  <si>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</si>
  <si>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</si>
  <si>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</si>
  <si>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</si>
  <si>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</si>
  <si>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</si>
  <si>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</si>
  <si>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</si>
  <si>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</si>
  <si>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</si>
  <si>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</si>
  <si>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</si>
  <si>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</si>
  <si>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</si>
  <si>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</si>
  <si>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</si>
  <si>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</si>
  <si>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</si>
  <si>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</si>
  <si>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</si>
  <si>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</si>
  <si>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</si>
  <si>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</si>
  <si>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</si>
  <si>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</si>
  <si>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</si>
  <si>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</si>
  <si>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</si>
  <si>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</si>
  <si>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</si>
  <si>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</si>
  <si>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</si>
  <si>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</si>
  <si>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</si>
  <si>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</si>
  <si>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</si>
  <si>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</si>
  <si>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</si>
  <si>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</si>
  <si>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</si>
  <si>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</si>
  <si>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</si>
  <si>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</si>
  <si>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</si>
  <si>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</si>
  <si>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</si>
  <si>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</si>
  <si>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</si>
  <si>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</si>
  <si>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</si>
  <si>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</si>
  <si>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</si>
  <si>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</si>
  <si>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</si>
  <si>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</si>
  <si>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</si>
  <si>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</si>
  <si>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</si>
  <si>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</si>
  <si>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</si>
  <si>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</si>
  <si>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</si>
  <si>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</si>
  <si>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</si>
  <si>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</si>
  <si>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</si>
  <si>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</si>
  <si>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</si>
  <si>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</si>
  <si>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</si>
  <si>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</si>
  <si>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</si>
  <si>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</si>
  <si>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</si>
  <si>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</si>
  <si>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</si>
  <si>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</si>
  <si>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</si>
  <si>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</si>
  <si>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</si>
  <si>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</si>
  <si>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</si>
  <si>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</si>
  <si>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</si>
  <si>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</si>
  <si>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</si>
  <si>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</si>
  <si>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</si>
  <si>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</si>
  <si>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</si>
  <si>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</si>
  <si>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</si>
  <si>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</si>
  <si>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</si>
  <si>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</si>
  <si>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</si>
  <si>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</si>
  <si>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</si>
  <si>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</si>
  <si>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</si>
  <si>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</si>
  <si>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</si>
  <si>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</si>
  <si>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</si>
  <si>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</si>
  <si>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</si>
  <si>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</si>
  <si>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</si>
  <si>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</si>
  <si>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</si>
  <si>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</si>
  <si>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</si>
  <si>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</si>
  <si>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</si>
  <si>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</si>
  <si>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</si>
  <si>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</si>
  <si>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</si>
  <si>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</si>
  <si>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</si>
  <si>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</si>
  <si>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</si>
  <si>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</si>
  <si>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</si>
  <si>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</si>
  <si>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</si>
  <si>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</si>
  <si>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</si>
  <si>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</si>
  <si>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</si>
  <si>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</si>
  <si>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</si>
  <si>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</si>
  <si>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</si>
  <si>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</si>
  <si>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</si>
  <si>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</si>
  <si>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</si>
  <si>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</si>
  <si>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</si>
  <si>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</si>
  <si>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</si>
  <si>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</si>
  <si>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</si>
  <si>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</si>
  <si>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</si>
  <si>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</si>
  <si>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</si>
  <si>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</si>
  <si>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</si>
  <si>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</si>
  <si>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</si>
  <si>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</si>
  <si>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</si>
  <si>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</si>
  <si>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</si>
  <si>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</si>
  <si>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</si>
  <si>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</si>
  <si>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</si>
  <si>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</si>
  <si>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</si>
  <si>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</si>
  <si>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</si>
  <si>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</si>
  <si>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</si>
  <si>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</si>
  <si>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</si>
  <si>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</si>
  <si>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</si>
  <si>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</si>
  <si>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</si>
  <si>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</si>
  <si>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</si>
  <si>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</si>
  <si>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</si>
  <si>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</si>
  <si>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</si>
  <si>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</si>
  <si>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</si>
  <si>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</si>
  <si>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</si>
  <si>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</si>
  <si>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</si>
  <si>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</si>
  <si>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</si>
  <si>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</si>
  <si>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</si>
  <si>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</si>
  <si>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</si>
  <si>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</si>
  <si>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</si>
  <si>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</si>
  <si>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</si>
  <si>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</si>
  <si>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</si>
  <si>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</si>
  <si>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</si>
  <si>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</si>
  <si>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</si>
  <si>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</si>
  <si>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</si>
  <si>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</si>
  <si>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</si>
  <si>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</si>
  <si>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</si>
  <si>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</si>
  <si>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</si>
  <si>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</si>
  <si>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</si>
  <si>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</si>
  <si>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</si>
  <si>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</si>
  <si>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</si>
  <si>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</si>
  <si>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</si>
  <si>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FFREIGHT COMMISSION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</si>
  <si>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</si>
  <si>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</si>
  <si>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</si>
  <si>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</si>
  <si>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</si>
  <si>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</si>
  <si>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</si>
  <si>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</si>
  <si>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</si>
  <si>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</si>
  <si>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</si>
  <si>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</si>
  <si>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</si>
  <si>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</si>
  <si>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</si>
  <si>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</si>
  <si>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</si>
  <si>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</si>
  <si>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</si>
  <si>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</si>
  <si>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</si>
  <si>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</si>
  <si>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</si>
  <si>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</si>
  <si>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</si>
  <si>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</si>
  <si>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</si>
  <si>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</si>
  <si>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</si>
  <si>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</si>
  <si>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</si>
  <si>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</si>
  <si>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</si>
  <si>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</si>
  <si>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</si>
  <si>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</si>
  <si>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</si>
  <si>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</si>
  <si>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</si>
  <si>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</si>
  <si>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</si>
  <si>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</si>
  <si>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</si>
  <si>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</si>
  <si>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</si>
  <si>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</si>
  <si>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</si>
  <si>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</si>
  <si>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</si>
  <si>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</si>
  <si>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</si>
  <si>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</si>
  <si>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</si>
  <si>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</si>
  <si>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</si>
  <si>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</si>
  <si>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</si>
  <si>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</si>
  <si>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</si>
  <si>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</si>
  <si>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</si>
  <si>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</si>
  <si>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</si>
  <si>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</si>
  <si>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</si>
  <si>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</si>
  <si>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</si>
  <si>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</si>
  <si>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</si>
  <si>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</si>
  <si>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</si>
  <si>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</si>
  <si>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</si>
  <si>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</si>
  <si>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</si>
  <si>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</si>
  <si>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</si>
  <si>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</si>
  <si>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</si>
  <si>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</si>
  <si>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</si>
  <si>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</si>
  <si>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</si>
  <si>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</si>
  <si>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</si>
  <si>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</si>
  <si>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</si>
  <si>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</si>
  <si>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</si>
  <si>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</si>
  <si>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</si>
  <si>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</si>
  <si>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</si>
  <si>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</si>
  <si>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</si>
  <si>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</si>
  <si>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</si>
  <si>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</si>
  <si>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</si>
  <si>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</si>
  <si>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</si>
  <si>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</si>
  <si>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</si>
  <si>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</si>
  <si>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</si>
  <si>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</si>
  <si>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</si>
  <si>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</si>
  <si>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</si>
  <si>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</si>
  <si>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</si>
  <si>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</si>
  <si>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</si>
  <si>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</si>
  <si>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</si>
  <si>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</si>
  <si>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</si>
  <si>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</si>
  <si>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</si>
  <si>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</si>
  <si>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</si>
  <si>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</si>
  <si>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</si>
  <si>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</si>
  <si>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</si>
  <si>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</si>
  <si>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</si>
  <si>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</si>
  <si>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</si>
  <si>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</si>
  <si>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</si>
  <si>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</si>
  <si>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</si>
  <si>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</si>
  <si>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</si>
  <si>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</si>
  <si>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</si>
  <si>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</si>
  <si>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</si>
  <si>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</si>
  <si>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</si>
  <si>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</si>
  <si>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</si>
  <si>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</si>
  <si>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</si>
  <si>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</si>
  <si>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</si>
  <si>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</si>
  <si>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</si>
  <si>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</si>
  <si>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</si>
  <si>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</si>
  <si>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</si>
  <si>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</si>
  <si>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</si>
  <si>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</si>
  <si>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</si>
  <si>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</si>
  <si>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</si>
  <si>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</si>
  <si>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</si>
  <si>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</si>
  <si>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</si>
  <si>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</si>
  <si>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</si>
  <si>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</si>
  <si>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</si>
  <si>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</si>
  <si>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</si>
  <si>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</si>
  <si>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</si>
  <si>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</si>
  <si>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</si>
  <si>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</si>
  <si>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</si>
  <si>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</si>
  <si>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</si>
  <si>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NEW ALBANY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</si>
  <si>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</si>
  <si>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</si>
  <si>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</si>
  <si>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</si>
  <si>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</si>
  <si>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</si>
  <si>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</si>
  <si>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</si>
  <si>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</si>
  <si>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</si>
  <si>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</si>
  <si>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</si>
  <si>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</si>
  <si>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</si>
  <si>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</si>
  <si>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</si>
  <si>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</si>
  <si>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</si>
  <si>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</si>
  <si>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</si>
  <si>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</si>
  <si>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</si>
  <si>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</si>
  <si>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</si>
  <si>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</si>
  <si>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</si>
  <si>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</si>
  <si>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</si>
  <si>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</si>
  <si>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</si>
  <si>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</si>
  <si>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</si>
  <si>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</si>
  <si>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</si>
  <si>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</si>
  <si>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</si>
  <si>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</si>
  <si>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</si>
  <si>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</si>
  <si>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</si>
  <si>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</si>
  <si>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</si>
  <si>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</si>
  <si>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</si>
  <si>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</si>
  <si>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</si>
  <si>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</si>
  <si>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</si>
  <si>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</si>
  <si>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</si>
  <si>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</si>
  <si>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</si>
  <si>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</si>
  <si>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</si>
  <si>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</si>
  <si>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</si>
  <si>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>Revision # 56</t>
  </si>
  <si>
    <t>as of 12/10/99</t>
  </si>
  <si>
    <t xml:space="preserve">         (thru 11/99)</t>
  </si>
  <si>
    <t>Other  (RW Beck)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</si>
</sst>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8">
          <cell r="D28">
            <v>-1412567.8679850001</v>
          </cell>
          <cell r="F28">
            <v>-1714232.390955</v>
          </cell>
          <cell r="H28">
            <v>-1462905.5417733332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2.75" x14ac:dyDescent="0.2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 x14ac:dyDescent="0.25">
      <c r="A1" s="48" t="s">
        <v>320</v>
      </c>
    </row>
    <row r="2" spans="1:11" ht="15.75" x14ac:dyDescent="0.25">
      <c r="A2" s="48" t="s">
        <v>319</v>
      </c>
    </row>
    <row r="4" spans="1:11" x14ac:dyDescent="0.2">
      <c r="A4" s="41" t="s">
        <v>309</v>
      </c>
    </row>
    <row r="6" spans="1:11" x14ac:dyDescent="0.2">
      <c r="A6" t="s">
        <v>306</v>
      </c>
    </row>
    <row r="7" spans="1:11" x14ac:dyDescent="0.2">
      <c r="A7" t="s">
        <v>312</v>
      </c>
    </row>
    <row r="8" spans="1:11" x14ac:dyDescent="0.2">
      <c r="A8" t="s">
        <v>311</v>
      </c>
    </row>
    <row r="11" spans="1:11" x14ac:dyDescent="0.2">
      <c r="A11" s="41" t="s">
        <v>322</v>
      </c>
    </row>
    <row r="12" spans="1:11" x14ac:dyDescent="0.2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">
      <c r="A13" s="41"/>
    </row>
    <row r="14" spans="1:11" x14ac:dyDescent="0.2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">
      <c r="A16" t="s">
        <v>318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">
      <c r="E17" s="102"/>
      <c r="F17" s="86"/>
      <c r="G17" s="102"/>
      <c r="H17" s="86"/>
      <c r="I17" s="102"/>
      <c r="K17" s="103"/>
    </row>
    <row r="18" spans="1:11" x14ac:dyDescent="0.2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2.75" x14ac:dyDescent="0.2"/>
  <cols>
    <col min="4" max="4" width="10.42578125" customWidth="1"/>
    <col min="5" max="5" width="14.85546875" bestFit="1" customWidth="1"/>
    <col min="6" max="6" width="2.85546875" customWidth="1"/>
  </cols>
  <sheetData>
    <row r="1" spans="1:5" ht="18" x14ac:dyDescent="0.25">
      <c r="A1" s="94" t="s">
        <v>267</v>
      </c>
    </row>
    <row r="2" spans="1:5" ht="18" x14ac:dyDescent="0.25">
      <c r="A2" s="94" t="s">
        <v>279</v>
      </c>
    </row>
    <row r="5" spans="1:5" x14ac:dyDescent="0.2">
      <c r="A5" s="41" t="s">
        <v>280</v>
      </c>
    </row>
    <row r="6" spans="1:5" x14ac:dyDescent="0.2">
      <c r="A6" t="s">
        <v>282</v>
      </c>
      <c r="E6" s="49">
        <v>26785396</v>
      </c>
    </row>
    <row r="7" spans="1:5" x14ac:dyDescent="0.2">
      <c r="B7" t="s">
        <v>281</v>
      </c>
      <c r="E7" s="87">
        <f>32000000-E6</f>
        <v>5214604</v>
      </c>
    </row>
    <row r="8" spans="1:5" x14ac:dyDescent="0.2">
      <c r="E8" s="86">
        <f>SUM(E6:E7)</f>
        <v>32000000</v>
      </c>
    </row>
    <row r="10" spans="1:5" x14ac:dyDescent="0.2">
      <c r="A10" s="41" t="s">
        <v>283</v>
      </c>
    </row>
    <row r="11" spans="1:5" x14ac:dyDescent="0.2">
      <c r="B11" t="s">
        <v>295</v>
      </c>
      <c r="E11" s="91">
        <v>1347000</v>
      </c>
    </row>
    <row r="12" spans="1:5" x14ac:dyDescent="0.2">
      <c r="B12" t="s">
        <v>285</v>
      </c>
      <c r="E12" s="91">
        <v>500000</v>
      </c>
    </row>
    <row r="13" spans="1:5" x14ac:dyDescent="0.2">
      <c r="B13" t="s">
        <v>292</v>
      </c>
      <c r="E13" s="92">
        <f>E11*0.1</f>
        <v>134700</v>
      </c>
    </row>
    <row r="14" spans="1:5" x14ac:dyDescent="0.2">
      <c r="E14" s="91">
        <f>SUM(E11:E13)</f>
        <v>1981700</v>
      </c>
    </row>
    <row r="15" spans="1:5" x14ac:dyDescent="0.2">
      <c r="E15" s="75"/>
    </row>
    <row r="16" spans="1:5" x14ac:dyDescent="0.2">
      <c r="A16" s="41" t="s">
        <v>286</v>
      </c>
      <c r="E16" s="75"/>
    </row>
    <row r="17" spans="1:7" x14ac:dyDescent="0.2">
      <c r="B17" t="s">
        <v>287</v>
      </c>
      <c r="E17" s="91">
        <v>27502700</v>
      </c>
    </row>
    <row r="18" spans="1:7" x14ac:dyDescent="0.2">
      <c r="B18" t="s">
        <v>303</v>
      </c>
      <c r="E18" s="91">
        <f>3600000-E19</f>
        <v>2700000</v>
      </c>
    </row>
    <row r="19" spans="1:7" x14ac:dyDescent="0.2">
      <c r="B19" t="s">
        <v>304</v>
      </c>
      <c r="E19" s="91">
        <v>900000</v>
      </c>
    </row>
    <row r="20" spans="1:7" x14ac:dyDescent="0.2">
      <c r="B20" t="s">
        <v>288</v>
      </c>
      <c r="E20" s="95">
        <v>-700000</v>
      </c>
      <c r="G20" t="s">
        <v>298</v>
      </c>
    </row>
    <row r="21" spans="1:7" x14ac:dyDescent="0.2">
      <c r="B21" t="s">
        <v>293</v>
      </c>
      <c r="E21" s="91">
        <v>1307660</v>
      </c>
    </row>
    <row r="22" spans="1:7" x14ac:dyDescent="0.2">
      <c r="B22" t="s">
        <v>288</v>
      </c>
      <c r="E22" s="91">
        <v>-200500</v>
      </c>
      <c r="G22" t="s">
        <v>298</v>
      </c>
    </row>
    <row r="23" spans="1:7" x14ac:dyDescent="0.2">
      <c r="B23" t="s">
        <v>297</v>
      </c>
      <c r="E23" s="91">
        <f>254805*5</f>
        <v>1274025</v>
      </c>
    </row>
    <row r="24" spans="1:7" x14ac:dyDescent="0.2">
      <c r="B24" t="s">
        <v>288</v>
      </c>
      <c r="E24" s="91">
        <v>-100000</v>
      </c>
      <c r="G24" t="s">
        <v>298</v>
      </c>
    </row>
    <row r="25" spans="1:7" x14ac:dyDescent="0.2">
      <c r="B25" t="s">
        <v>296</v>
      </c>
      <c r="E25" s="92">
        <f>E23*0.07</f>
        <v>89181.750000000015</v>
      </c>
    </row>
    <row r="26" spans="1:7" x14ac:dyDescent="0.2">
      <c r="E26" s="93">
        <f>SUM(E17:E25)</f>
        <v>32773066.75</v>
      </c>
    </row>
    <row r="29" spans="1:7" x14ac:dyDescent="0.2">
      <c r="A29" s="41" t="s">
        <v>289</v>
      </c>
    </row>
    <row r="30" spans="1:7" x14ac:dyDescent="0.2">
      <c r="B30" s="88" t="s">
        <v>290</v>
      </c>
      <c r="E30" s="86">
        <f>27500000/4</f>
        <v>6875000</v>
      </c>
    </row>
    <row r="31" spans="1:7" x14ac:dyDescent="0.2">
      <c r="B31" t="s">
        <v>291</v>
      </c>
      <c r="E31" s="86">
        <f>2000000/4</f>
        <v>500000</v>
      </c>
    </row>
    <row r="32" spans="1:7" x14ac:dyDescent="0.2">
      <c r="B32" t="s">
        <v>284</v>
      </c>
      <c r="E32" s="87">
        <v>0</v>
      </c>
    </row>
    <row r="33" spans="1:7" x14ac:dyDescent="0.2">
      <c r="E33" s="39">
        <f>SUM(E30:E32)</f>
        <v>7375000</v>
      </c>
    </row>
    <row r="34" spans="1:7" x14ac:dyDescent="0.2">
      <c r="E34" s="39"/>
    </row>
    <row r="35" spans="1:7" x14ac:dyDescent="0.2">
      <c r="A35" s="41" t="s">
        <v>294</v>
      </c>
      <c r="E35" s="97">
        <v>0</v>
      </c>
      <c r="G35" t="s">
        <v>305</v>
      </c>
    </row>
    <row r="36" spans="1:7" ht="8.25" customHeight="1" x14ac:dyDescent="0.2">
      <c r="E36" s="61"/>
    </row>
    <row r="37" spans="1:7" x14ac:dyDescent="0.2">
      <c r="A37" s="41" t="s">
        <v>300</v>
      </c>
      <c r="E37" s="98">
        <f>E35+E33+E26+E14+E8</f>
        <v>74129766.75</v>
      </c>
    </row>
    <row r="39" spans="1:7" x14ac:dyDescent="0.2">
      <c r="A39" s="41" t="s">
        <v>299</v>
      </c>
      <c r="E39" s="99">
        <v>10870000</v>
      </c>
    </row>
    <row r="40" spans="1:7" ht="8.25" customHeight="1" x14ac:dyDescent="0.2"/>
    <row r="41" spans="1:7" ht="13.5" thickBot="1" x14ac:dyDescent="0.25">
      <c r="A41" s="41" t="s">
        <v>301</v>
      </c>
      <c r="E41" s="96">
        <f>E37+E39</f>
        <v>84999766.75</v>
      </c>
    </row>
    <row r="42" spans="1:7" ht="13.5" thickTop="1" x14ac:dyDescent="0.2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 x14ac:dyDescent="0.2"/>
  <cols>
    <col min="1" max="1" width="11.28515625" style="86" customWidth="1"/>
    <col min="2" max="2" width="5.5703125" style="86" customWidth="1"/>
    <col min="3" max="3" width="11.28515625" style="86" bestFit="1" customWidth="1"/>
    <col min="4" max="4" width="3.28515625" style="86" customWidth="1"/>
    <col min="5" max="5" width="10.28515625" style="86" bestFit="1" customWidth="1"/>
    <col min="6" max="6" width="2.7109375" style="86" customWidth="1"/>
    <col min="7" max="7" width="13.42578125" style="86" bestFit="1" customWidth="1"/>
    <col min="8" max="8" width="2.28515625" style="86" customWidth="1"/>
    <col min="9" max="16384" width="9.140625" style="86"/>
  </cols>
  <sheetData>
    <row r="1" spans="1:7" ht="18" x14ac:dyDescent="0.25">
      <c r="A1" s="85" t="s">
        <v>264</v>
      </c>
    </row>
    <row r="3" spans="1:7" x14ac:dyDescent="0.2">
      <c r="C3" s="10" t="s">
        <v>275</v>
      </c>
      <c r="E3" s="10" t="s">
        <v>270</v>
      </c>
    </row>
    <row r="4" spans="1:7" x14ac:dyDescent="0.2">
      <c r="C4" s="10" t="s">
        <v>276</v>
      </c>
      <c r="E4" s="10" t="s">
        <v>277</v>
      </c>
      <c r="G4" s="10" t="s">
        <v>321</v>
      </c>
    </row>
    <row r="5" spans="1:7" x14ac:dyDescent="0.2">
      <c r="C5" s="10"/>
    </row>
    <row r="6" spans="1:7" x14ac:dyDescent="0.2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">
      <c r="A7" s="15"/>
      <c r="G7" s="86">
        <f t="shared" ref="G7:G14" si="0">E7-C7</f>
        <v>0</v>
      </c>
    </row>
    <row r="8" spans="1:7" x14ac:dyDescent="0.2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">
      <c r="A9" s="15"/>
    </row>
    <row r="10" spans="1:7" x14ac:dyDescent="0.2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">
      <c r="A11" s="15"/>
    </row>
    <row r="12" spans="1:7" x14ac:dyDescent="0.2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2.75" x14ac:dyDescent="0.2"/>
  <cols>
    <col min="1" max="1" width="2" bestFit="1" customWidth="1"/>
    <col min="2" max="3" width="4.7109375" customWidth="1"/>
  </cols>
  <sheetData>
    <row r="1" spans="1:4" x14ac:dyDescent="0.2">
      <c r="B1" s="189" t="s">
        <v>349</v>
      </c>
    </row>
    <row r="3" spans="1:4" x14ac:dyDescent="0.2">
      <c r="A3">
        <v>1</v>
      </c>
      <c r="B3" t="s">
        <v>359</v>
      </c>
    </row>
    <row r="5" spans="1:4" x14ac:dyDescent="0.2">
      <c r="A5">
        <v>2</v>
      </c>
      <c r="B5" t="s">
        <v>350</v>
      </c>
    </row>
    <row r="6" spans="1:4" x14ac:dyDescent="0.2">
      <c r="C6" t="s">
        <v>351</v>
      </c>
    </row>
    <row r="8" spans="1:4" x14ac:dyDescent="0.2">
      <c r="A8">
        <v>3</v>
      </c>
      <c r="B8" t="s">
        <v>352</v>
      </c>
    </row>
    <row r="9" spans="1:4" x14ac:dyDescent="0.2">
      <c r="C9" t="s">
        <v>353</v>
      </c>
    </row>
    <row r="10" spans="1:4" x14ac:dyDescent="0.2">
      <c r="C10" t="s">
        <v>354</v>
      </c>
    </row>
    <row r="11" spans="1:4" x14ac:dyDescent="0.2">
      <c r="C11" t="s">
        <v>355</v>
      </c>
    </row>
    <row r="12" spans="1:4" x14ac:dyDescent="0.2">
      <c r="D12" t="s">
        <v>356</v>
      </c>
    </row>
    <row r="13" spans="1:4" x14ac:dyDescent="0.2">
      <c r="D13" t="s">
        <v>357</v>
      </c>
    </row>
    <row r="15" spans="1:4" x14ac:dyDescent="0.2">
      <c r="A15">
        <v>4</v>
      </c>
      <c r="B15" t="s">
        <v>350</v>
      </c>
    </row>
    <row r="16" spans="1:4" x14ac:dyDescent="0.2">
      <c r="C16" t="s">
        <v>358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view="pageBreakPreview" zoomScaleNormal="90" zoomScaleSheetLayoutView="100" workbookViewId="0">
      <selection activeCell="B95" sqref="B95"/>
    </sheetView>
  </sheetViews>
  <sheetFormatPr defaultRowHeight="12.75" x14ac:dyDescent="0.2"/>
  <cols>
    <col min="1" max="1" width="19" customWidth="1"/>
    <col min="2" max="2" width="6.28515625" customWidth="1"/>
    <col min="3" max="3" width="15" customWidth="1"/>
    <col min="4" max="4" width="2.42578125" customWidth="1"/>
    <col min="5" max="5" width="15.85546875" bestFit="1" customWidth="1"/>
    <col min="6" max="6" width="2.42578125" customWidth="1"/>
    <col min="7" max="7" width="14.5703125" bestFit="1" customWidth="1"/>
    <col min="8" max="8" width="2.42578125" customWidth="1"/>
    <col min="9" max="9" width="20.28515625" bestFit="1" customWidth="1"/>
    <col min="10" max="10" width="2.42578125" customWidth="1"/>
    <col min="11" max="11" width="17.140625" bestFit="1" customWidth="1"/>
    <col min="12" max="12" width="2.7109375" customWidth="1"/>
    <col min="13" max="13" width="10" customWidth="1"/>
    <col min="14" max="14" width="2.7109375" customWidth="1"/>
    <col min="15" max="15" width="19.28515625" customWidth="1"/>
    <col min="16" max="16" width="2.7109375" customWidth="1"/>
    <col min="17" max="17" width="9.28515625" customWidth="1"/>
  </cols>
  <sheetData>
    <row r="1" spans="1:31" ht="15.75" x14ac:dyDescent="0.25">
      <c r="A1" s="48" t="s">
        <v>344</v>
      </c>
    </row>
    <row r="2" spans="1:31" ht="15.75" x14ac:dyDescent="0.25">
      <c r="A2" s="48" t="s">
        <v>418</v>
      </c>
      <c r="G2" s="9"/>
      <c r="J2" s="41" t="s">
        <v>341</v>
      </c>
      <c r="O2" s="9">
        <f ca="1">NOW()</f>
        <v>41885.540662268519</v>
      </c>
    </row>
    <row r="3" spans="1:31" ht="15.75" x14ac:dyDescent="0.25">
      <c r="A3" s="48" t="s">
        <v>417</v>
      </c>
      <c r="J3" s="41" t="s">
        <v>342</v>
      </c>
      <c r="O3" s="379" t="s">
        <v>550</v>
      </c>
    </row>
    <row r="4" spans="1:31" ht="16.5" thickBot="1" x14ac:dyDescent="0.3">
      <c r="A4" s="382" t="s">
        <v>549</v>
      </c>
      <c r="I4" s="50"/>
      <c r="O4" s="130"/>
    </row>
    <row r="5" spans="1:31" ht="16.5" thickBot="1" x14ac:dyDescent="0.3">
      <c r="A5" s="48"/>
      <c r="G5" s="386" t="s">
        <v>339</v>
      </c>
      <c r="H5" s="387"/>
      <c r="I5" s="387"/>
      <c r="J5" s="387"/>
      <c r="K5" s="388"/>
      <c r="L5" s="48"/>
      <c r="M5" s="48"/>
    </row>
    <row r="6" spans="1:31" x14ac:dyDescent="0.2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345</v>
      </c>
      <c r="M6" s="51" t="s">
        <v>360</v>
      </c>
      <c r="O6" s="51" t="s">
        <v>191</v>
      </c>
    </row>
    <row r="7" spans="1:31" x14ac:dyDescent="0.2">
      <c r="A7" s="54" t="s">
        <v>195</v>
      </c>
      <c r="C7" s="54" t="s">
        <v>193</v>
      </c>
      <c r="E7" s="52" t="str">
        <f>+O3</f>
        <v>as of 12/10/99</v>
      </c>
      <c r="G7" s="198" t="str">
        <f>+O3</f>
        <v>as of 12/10/99</v>
      </c>
      <c r="H7" s="61"/>
      <c r="I7" s="104" t="str">
        <f>+O3</f>
        <v>as of 12/10/99</v>
      </c>
      <c r="J7" s="61"/>
      <c r="K7" s="199" t="str">
        <f>+O3</f>
        <v>as of 12/10/99</v>
      </c>
      <c r="M7" s="52" t="s">
        <v>362</v>
      </c>
      <c r="O7" s="52" t="s">
        <v>192</v>
      </c>
    </row>
    <row r="8" spans="1:31" ht="8.1" customHeight="1" x14ac:dyDescent="0.2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">
      <c r="A9" s="55" t="s">
        <v>188</v>
      </c>
      <c r="C9" s="55">
        <v>458</v>
      </c>
      <c r="D9" s="49"/>
      <c r="E9" s="56">
        <f>Brownsville!O197/1000</f>
        <v>123741.985472</v>
      </c>
      <c r="F9" s="49"/>
      <c r="G9" s="202">
        <f>Brownsville!AS197/1000</f>
        <v>125266.80153333333</v>
      </c>
      <c r="H9" s="61"/>
      <c r="I9" s="56">
        <f>+Brownsville!AW197/1000</f>
        <v>2972.876162</v>
      </c>
      <c r="J9" s="61"/>
      <c r="K9" s="203">
        <f>+I9+G9</f>
        <v>128239.67769533333</v>
      </c>
      <c r="M9" s="56">
        <f>+E9-K9</f>
        <v>-4497.6922233333316</v>
      </c>
      <c r="O9" s="58">
        <f>+G9/K9</f>
        <v>0.97681781321173589</v>
      </c>
    </row>
    <row r="10" spans="1:31" ht="8.1" customHeight="1" x14ac:dyDescent="0.2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">
      <c r="A11" s="55" t="s">
        <v>198</v>
      </c>
      <c r="C11" s="55">
        <v>442</v>
      </c>
      <c r="D11" s="49"/>
      <c r="E11" s="56">
        <f>Caledonia!O198/1000</f>
        <v>148897.992616</v>
      </c>
      <c r="F11" s="49"/>
      <c r="G11" s="202">
        <f>Caledonia!AS198/1000</f>
        <v>151635.2909633333</v>
      </c>
      <c r="H11" s="61"/>
      <c r="I11" s="56">
        <f>+Caledonia!AW198/1000</f>
        <v>3009.3679959999999</v>
      </c>
      <c r="J11" s="61"/>
      <c r="K11" s="203">
        <f>+I11+G11</f>
        <v>154644.65895933329</v>
      </c>
      <c r="M11" s="56">
        <f>+E11-K11</f>
        <v>-5746.6663433332869</v>
      </c>
      <c r="O11" s="58">
        <f>+G11/K11</f>
        <v>0.98054011036494082</v>
      </c>
    </row>
    <row r="12" spans="1:31" ht="8.1" customHeight="1" x14ac:dyDescent="0.2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">
      <c r="A13" s="55" t="s">
        <v>199</v>
      </c>
      <c r="C13" s="55">
        <v>360</v>
      </c>
      <c r="D13" s="49"/>
      <c r="E13" s="56">
        <f>NewAlbany!O220/1000</f>
        <v>128386.30014115444</v>
      </c>
      <c r="F13" s="49"/>
      <c r="G13" s="202">
        <f>NewAlbany!AS220/1000</f>
        <v>144071.4588433333</v>
      </c>
      <c r="H13" s="61"/>
      <c r="I13" s="56">
        <f>+NewAlbany!AW220/1000</f>
        <v>4185.7382839999946</v>
      </c>
      <c r="J13" s="61"/>
      <c r="K13" s="203">
        <f>+I13+G13</f>
        <v>148257.19712733329</v>
      </c>
      <c r="M13" s="56">
        <f>+E13-K13</f>
        <v>-19870.89698617885</v>
      </c>
      <c r="O13" s="58">
        <f>+G13/K13</f>
        <v>0.97176704831128702</v>
      </c>
      <c r="AE13" t="s">
        <v>385</v>
      </c>
    </row>
    <row r="14" spans="1:31" ht="7.5" customHeight="1" x14ac:dyDescent="0.2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">
      <c r="A15" s="55" t="s">
        <v>533</v>
      </c>
      <c r="C15" s="55"/>
      <c r="D15" s="49"/>
      <c r="E15" s="56"/>
      <c r="F15" s="49"/>
      <c r="G15" s="202">
        <f>(+Brownsville!AY205+Caledonia!AY206+NewAlbany!AY226)/1000</f>
        <v>-4589.7058007133337</v>
      </c>
      <c r="H15" s="61"/>
      <c r="I15" s="56">
        <v>0</v>
      </c>
      <c r="J15" s="61"/>
      <c r="K15" s="203">
        <f>+I15+G15</f>
        <v>-4589.7058007133337</v>
      </c>
      <c r="M15" s="56">
        <v>0</v>
      </c>
      <c r="O15" s="274" t="s">
        <v>534</v>
      </c>
    </row>
    <row r="16" spans="1:31" ht="12" customHeight="1" x14ac:dyDescent="0.2">
      <c r="A16" s="381" t="s">
        <v>551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416383.84553928662</v>
      </c>
      <c r="H17" s="66"/>
      <c r="I17" s="69">
        <f>SUM(I9:I13)</f>
        <v>10167.982441999993</v>
      </c>
      <c r="J17" s="61"/>
      <c r="K17" s="209">
        <f>SUM(K9:K13)+K15</f>
        <v>426551.82798128662</v>
      </c>
      <c r="L17" s="61"/>
      <c r="M17" s="69">
        <f>SUM(M8:M13)</f>
        <v>-30115.255552845469</v>
      </c>
      <c r="N17" s="61"/>
      <c r="O17" s="185">
        <f>(+G17-G15)/(K17-K15)</f>
        <v>0.97641613798418858</v>
      </c>
    </row>
    <row r="18" spans="1:15" x14ac:dyDescent="0.2">
      <c r="A18" s="243" t="s">
        <v>419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5" thickBot="1" x14ac:dyDescent="0.25">
      <c r="A19" s="62" t="s">
        <v>420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338.53319681054495</v>
      </c>
      <c r="L19" s="61"/>
      <c r="M19" s="63"/>
      <c r="N19" s="61"/>
      <c r="O19" s="70"/>
    </row>
    <row r="20" spans="1:15" s="75" customFormat="1" x14ac:dyDescent="0.2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5" thickBot="1" x14ac:dyDescent="0.25"/>
    <row r="22" spans="1:15" ht="13.5" thickBot="1" x14ac:dyDescent="0.25">
      <c r="A22" s="389" t="s">
        <v>493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">
      <c r="A24" s="106" t="s">
        <v>482</v>
      </c>
      <c r="B24" s="258" t="s">
        <v>204</v>
      </c>
      <c r="C24" t="s">
        <v>206</v>
      </c>
    </row>
    <row r="25" spans="1:15" x14ac:dyDescent="0.2">
      <c r="A25" s="260"/>
      <c r="B25" s="258" t="s">
        <v>203</v>
      </c>
      <c r="C25" t="s">
        <v>207</v>
      </c>
    </row>
    <row r="26" spans="1:15" x14ac:dyDescent="0.2">
      <c r="A26" s="106"/>
      <c r="B26" s="100"/>
      <c r="C26" t="s">
        <v>208</v>
      </c>
    </row>
    <row r="27" spans="1:15" x14ac:dyDescent="0.2">
      <c r="A27" s="260"/>
      <c r="B27" s="258" t="s">
        <v>323</v>
      </c>
      <c r="C27" t="s">
        <v>324</v>
      </c>
    </row>
    <row r="28" spans="1:15" x14ac:dyDescent="0.2">
      <c r="A28" s="261"/>
      <c r="B28" s="259" t="s">
        <v>373</v>
      </c>
      <c r="C28" s="75" t="s">
        <v>375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">
      <c r="A29" s="261"/>
      <c r="B29" s="259"/>
      <c r="C29" s="75" t="s">
        <v>376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">
      <c r="A30" s="261"/>
      <c r="B30" s="263">
        <v>36277</v>
      </c>
      <c r="C30" s="75" t="s">
        <v>496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">
      <c r="A31" s="262" t="s">
        <v>483</v>
      </c>
      <c r="B31" s="259" t="s">
        <v>480</v>
      </c>
      <c r="C31" s="75" t="s">
        <v>497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">
      <c r="A34" s="261"/>
      <c r="B34" s="258" t="s">
        <v>409</v>
      </c>
      <c r="C34" s="75" t="s">
        <v>410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">
      <c r="A35" s="106" t="s">
        <v>268</v>
      </c>
      <c r="B35" s="258" t="s">
        <v>373</v>
      </c>
      <c r="C35" s="75" t="s">
        <v>374</v>
      </c>
      <c r="D35" s="75"/>
      <c r="E35" s="75"/>
      <c r="F35" s="75"/>
      <c r="G35" s="75"/>
      <c r="H35" s="75"/>
      <c r="I35" s="75"/>
      <c r="J35" s="75"/>
      <c r="K35" s="75"/>
    </row>
    <row r="36" spans="1:15" ht="13.5" thickBot="1" x14ac:dyDescent="0.25"/>
    <row r="37" spans="1:15" ht="13.5" thickBot="1" x14ac:dyDescent="0.25">
      <c r="A37" s="389" t="s">
        <v>361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">
      <c r="A39" s="106" t="s">
        <v>337</v>
      </c>
      <c r="C39" s="49">
        <f>+Brownsville!BA33/1000</f>
        <v>-2073.1009400000125</v>
      </c>
      <c r="E39" t="s">
        <v>518</v>
      </c>
    </row>
    <row r="40" spans="1:15" x14ac:dyDescent="0.2">
      <c r="A40" s="71"/>
      <c r="C40" s="102">
        <f>+Brownsville!BA41/1000</f>
        <v>-147.67172000000002</v>
      </c>
      <c r="E40" t="s">
        <v>415</v>
      </c>
    </row>
    <row r="41" spans="1:15" x14ac:dyDescent="0.2">
      <c r="A41" s="191"/>
      <c r="C41" s="102">
        <f>+Brownsville!BA94/1000+Brownsville!BA67/1000+Brownsville!BA102/1000+Brownsville!BA104/1000</f>
        <v>-1069.0377000000015</v>
      </c>
      <c r="E41" t="s">
        <v>532</v>
      </c>
    </row>
    <row r="42" spans="1:15" x14ac:dyDescent="0.2">
      <c r="A42" s="191"/>
      <c r="C42" s="102">
        <f>(Brownsville!BA111+Brownsville!BA112)/1000</f>
        <v>-13.750400000000024</v>
      </c>
      <c r="E42" t="s">
        <v>494</v>
      </c>
    </row>
    <row r="43" spans="1:15" x14ac:dyDescent="0.2">
      <c r="A43" s="191"/>
      <c r="C43" s="102"/>
      <c r="E43" s="88" t="s">
        <v>495</v>
      </c>
    </row>
    <row r="44" spans="1:15" x14ac:dyDescent="0.2">
      <c r="A44" s="191"/>
      <c r="C44" s="86">
        <f>+Brownsville!BA130/1000+Brownsville!BA120/1000+Brownsville!BA179/1000+Brownsville!BA145/1000+Brownsville!BA192/1000+Brownsville!BA161/1000</f>
        <v>-1051.1119200000001</v>
      </c>
      <c r="E44" t="s">
        <v>511</v>
      </c>
    </row>
    <row r="45" spans="1:15" x14ac:dyDescent="0.2">
      <c r="A45" s="191"/>
      <c r="C45" s="86">
        <f>+Brownsville!BA138/1000</f>
        <v>-3.1374100000000036</v>
      </c>
      <c r="E45" t="s">
        <v>490</v>
      </c>
    </row>
    <row r="46" spans="1:15" x14ac:dyDescent="0.2">
      <c r="A46" s="191"/>
      <c r="C46" s="86">
        <f>+Brownsville!BA148/1000</f>
        <v>-1.7250000000000001</v>
      </c>
      <c r="E46" t="s">
        <v>502</v>
      </c>
    </row>
    <row r="47" spans="1:15" x14ac:dyDescent="0.2">
      <c r="A47" s="191"/>
      <c r="C47" s="86">
        <f>+Brownsville!BA159/1000</f>
        <v>-103.76972333333339</v>
      </c>
      <c r="E47" t="s">
        <v>411</v>
      </c>
    </row>
    <row r="48" spans="1:15" x14ac:dyDescent="0.2">
      <c r="A48" s="191"/>
      <c r="C48" s="86">
        <f>+Brownsville!BA194/1000</f>
        <v>771.94889000000001</v>
      </c>
      <c r="E48" t="s">
        <v>522</v>
      </c>
    </row>
    <row r="49" spans="1:5" x14ac:dyDescent="0.2">
      <c r="A49" s="191"/>
      <c r="C49" s="86">
        <f>+Brownsville!BA143/1000</f>
        <v>-4.3860000000000001</v>
      </c>
      <c r="E49" t="s">
        <v>498</v>
      </c>
    </row>
    <row r="50" spans="1:5" x14ac:dyDescent="0.2">
      <c r="A50" s="191"/>
      <c r="C50" s="86">
        <f>+Brownsville!BA149/1000</f>
        <v>-19.325300000000002</v>
      </c>
      <c r="E50" t="s">
        <v>508</v>
      </c>
    </row>
    <row r="51" spans="1:5" x14ac:dyDescent="0.2">
      <c r="A51" s="191"/>
      <c r="C51" s="86">
        <f>+Brownsville!BA103/1000</f>
        <v>-284</v>
      </c>
      <c r="E51" t="s">
        <v>546</v>
      </c>
    </row>
    <row r="52" spans="1:5" x14ac:dyDescent="0.2">
      <c r="A52" s="191"/>
      <c r="C52" s="86">
        <f>+Brownsville!BA115/1000</f>
        <v>-497.62681000000003</v>
      </c>
      <c r="E52" t="s">
        <v>281</v>
      </c>
    </row>
    <row r="53" spans="1:5" ht="5.25" customHeight="1" x14ac:dyDescent="0.2">
      <c r="A53" s="106"/>
      <c r="C53" s="86"/>
    </row>
    <row r="54" spans="1:5" x14ac:dyDescent="0.2">
      <c r="A54" s="106"/>
      <c r="C54" s="190">
        <f>SUM(C39:C53)-1</f>
        <v>-4497.6940333333487</v>
      </c>
    </row>
    <row r="55" spans="1:5" ht="6" customHeight="1" x14ac:dyDescent="0.2">
      <c r="C55" s="86"/>
    </row>
    <row r="56" spans="1:5" x14ac:dyDescent="0.2">
      <c r="A56" s="106" t="s">
        <v>338</v>
      </c>
      <c r="C56" s="49">
        <f>+Caledonia!BA36/1000</f>
        <v>-2416.8989199999955</v>
      </c>
      <c r="E56" t="s">
        <v>517</v>
      </c>
    </row>
    <row r="57" spans="1:5" x14ac:dyDescent="0.2">
      <c r="A57" s="71"/>
      <c r="C57" s="86">
        <f>Caledonia!BA44/1000</f>
        <v>-165.85420999999999</v>
      </c>
      <c r="E57" t="s">
        <v>415</v>
      </c>
    </row>
    <row r="58" spans="1:5" x14ac:dyDescent="0.2">
      <c r="A58" s="192"/>
      <c r="C58" s="102">
        <f>+Caledonia!BA98/1000+Caledonia!BA70/1000+Caledonia!BA106/1000+Caledonia!BA108/1000</f>
        <v>-3704.6391499999986</v>
      </c>
      <c r="E58" t="s">
        <v>531</v>
      </c>
    </row>
    <row r="59" spans="1:5" x14ac:dyDescent="0.2">
      <c r="A59" s="191"/>
      <c r="C59" s="86">
        <f>(Caledonia!BA121+Caledonia!BA122)/1000</f>
        <v>115.95956000000005</v>
      </c>
      <c r="E59" t="s">
        <v>494</v>
      </c>
    </row>
    <row r="60" spans="1:5" x14ac:dyDescent="0.2">
      <c r="A60" s="191"/>
      <c r="C60" s="86"/>
      <c r="E60" s="88" t="s">
        <v>495</v>
      </c>
    </row>
    <row r="61" spans="1:5" x14ac:dyDescent="0.2">
      <c r="A61" s="191"/>
      <c r="C61" s="86">
        <f>+Caledonia!BA138/1000+Caledonia!BA136/1000+Caledonia!BA192/1000+Caledonia!BA184/1000+Caledonia!BA154/1000+Caledonia!BA152/1000</f>
        <v>-668.78676999999993</v>
      </c>
      <c r="E61" t="s">
        <v>524</v>
      </c>
    </row>
    <row r="62" spans="1:5" x14ac:dyDescent="0.2">
      <c r="A62" s="191"/>
      <c r="C62" s="86">
        <f>+Caledonia!BA148/1000</f>
        <v>-125.11226000000019</v>
      </c>
      <c r="E62" t="s">
        <v>509</v>
      </c>
    </row>
    <row r="63" spans="1:5" x14ac:dyDescent="0.2">
      <c r="A63" s="191"/>
      <c r="C63" s="86">
        <f>+Caledonia!BA157/1000</f>
        <v>117.884</v>
      </c>
      <c r="E63" t="s">
        <v>502</v>
      </c>
    </row>
    <row r="64" spans="1:5" x14ac:dyDescent="0.2">
      <c r="A64" s="191"/>
      <c r="C64" s="86">
        <f>+Caledonia!BA150/1000</f>
        <v>805.31700000000001</v>
      </c>
      <c r="E64" t="s">
        <v>521</v>
      </c>
    </row>
    <row r="65" spans="1:11" x14ac:dyDescent="0.2">
      <c r="A65" s="191"/>
      <c r="C65" s="86">
        <f>+Caledonia!BA194/1000</f>
        <v>863.96392999999989</v>
      </c>
      <c r="E65" t="s">
        <v>522</v>
      </c>
    </row>
    <row r="66" spans="1:11" x14ac:dyDescent="0.2">
      <c r="A66" s="191"/>
      <c r="C66" s="86">
        <f>+Caledonia!BA112/1000</f>
        <v>-283</v>
      </c>
      <c r="E66" t="str">
        <f>+E51</f>
        <v>NEPCO Interest Charges</v>
      </c>
    </row>
    <row r="67" spans="1:11" x14ac:dyDescent="0.2">
      <c r="A67" s="191"/>
      <c r="C67" s="102">
        <f>Caledonia!BA169/1000</f>
        <v>-285.01971333333324</v>
      </c>
      <c r="E67" t="s">
        <v>411</v>
      </c>
    </row>
    <row r="68" spans="1:11" ht="5.25" customHeight="1" x14ac:dyDescent="0.2">
      <c r="A68" s="106"/>
      <c r="C68" s="102"/>
    </row>
    <row r="69" spans="1:11" x14ac:dyDescent="0.2">
      <c r="A69" s="106"/>
      <c r="C69" s="190">
        <f>SUM(C56:C68)-1</f>
        <v>-5747.1865333333271</v>
      </c>
    </row>
    <row r="70" spans="1:11" ht="6" customHeight="1" x14ac:dyDescent="0.2">
      <c r="C70" s="86"/>
    </row>
    <row r="71" spans="1:11" x14ac:dyDescent="0.2">
      <c r="A71" t="s">
        <v>200</v>
      </c>
      <c r="C71" s="49">
        <f>NewAlbany!BA10/1000</f>
        <v>100.67737</v>
      </c>
      <c r="E71" t="s">
        <v>464</v>
      </c>
    </row>
    <row r="72" spans="1:11" x14ac:dyDescent="0.2">
      <c r="C72" s="86">
        <f>+(NewAlbany!BA30+NewAlbany!BA34+NewAlbany!BA35+NewAlbany!BA36+NewAlbany!BA37+NewAlbany!BA38+NewAlbany!BA39+NewAlbany!BA40)/1000+NewAlbany!BA23/1000</f>
        <v>-1931.9509500000001</v>
      </c>
      <c r="E72" t="s">
        <v>540</v>
      </c>
    </row>
    <row r="73" spans="1:11" x14ac:dyDescent="0.2">
      <c r="A73" s="72"/>
      <c r="C73" s="86">
        <f>(NewAlbany!BA15+NewAlbany!BA28)/1000+NewAlbany!BA20/1000+NewAlbany!BA16/1000</f>
        <v>-2968.9786600000002</v>
      </c>
      <c r="E73" t="s">
        <v>432</v>
      </c>
    </row>
    <row r="74" spans="1:11" x14ac:dyDescent="0.2">
      <c r="A74" s="72"/>
      <c r="E74" t="s">
        <v>469</v>
      </c>
    </row>
    <row r="75" spans="1:11" x14ac:dyDescent="0.2">
      <c r="A75" s="72"/>
      <c r="C75" s="86">
        <f>+NewAlbany!BA33/1000</f>
        <v>-17.178959999999964</v>
      </c>
      <c r="E75" t="s">
        <v>503</v>
      </c>
    </row>
    <row r="76" spans="1:11" x14ac:dyDescent="0.2">
      <c r="A76" s="192"/>
      <c r="C76" s="102">
        <f>NewAlbany!BA22/1000</f>
        <v>-964.41296000000091</v>
      </c>
      <c r="E76" s="75" t="s">
        <v>468</v>
      </c>
      <c r="F76" s="75"/>
      <c r="G76" s="75"/>
      <c r="H76" s="75"/>
      <c r="I76" s="75"/>
      <c r="J76" s="75"/>
      <c r="K76" s="75"/>
    </row>
    <row r="77" spans="1:11" x14ac:dyDescent="0.2">
      <c r="A77" s="192"/>
      <c r="C77" s="102">
        <f>NewAlbany!BA24/1000</f>
        <v>-8506.6374800000012</v>
      </c>
      <c r="E77" s="75" t="s">
        <v>481</v>
      </c>
      <c r="F77" s="75"/>
      <c r="G77" s="75"/>
      <c r="H77" s="75"/>
      <c r="I77" s="75"/>
      <c r="J77" s="75"/>
      <c r="K77" s="75"/>
    </row>
    <row r="78" spans="1:11" x14ac:dyDescent="0.2">
      <c r="A78" s="72"/>
      <c r="C78" s="86">
        <f>NewAlbany!BA27/1000</f>
        <v>-2526.1565300000002</v>
      </c>
      <c r="E78" t="s">
        <v>431</v>
      </c>
    </row>
    <row r="79" spans="1:11" x14ac:dyDescent="0.2">
      <c r="A79" s="71"/>
      <c r="C79" s="102">
        <f>NewAlbany!BA51/1000</f>
        <v>-557.84799999999996</v>
      </c>
      <c r="E79" t="s">
        <v>400</v>
      </c>
    </row>
    <row r="80" spans="1:11" x14ac:dyDescent="0.2">
      <c r="A80" s="72"/>
      <c r="C80" s="86">
        <f>(NewAlbany!BA145+NewAlbany!BA146)/1000</f>
        <v>-93.608589999999964</v>
      </c>
      <c r="E80" t="s">
        <v>494</v>
      </c>
    </row>
    <row r="81" spans="1:17" x14ac:dyDescent="0.2">
      <c r="A81" s="72"/>
      <c r="C81" s="86"/>
      <c r="E81" s="88" t="s">
        <v>495</v>
      </c>
    </row>
    <row r="82" spans="1:17" x14ac:dyDescent="0.2">
      <c r="A82" s="72"/>
      <c r="C82" s="86">
        <f>+NewAlbany!BA141/1000-NewAlbany!BA137/1000</f>
        <v>-2158.5541699999999</v>
      </c>
      <c r="E82" t="s">
        <v>530</v>
      </c>
    </row>
    <row r="83" spans="1:17" x14ac:dyDescent="0.2">
      <c r="A83" s="71"/>
      <c r="C83" s="102">
        <f>(NewAlbany!BA155+NewAlbany!BA156)/1000+NewAlbany!BA153/1000+NewAlbany!BA214/1000+NewAlbany!BA205/1000+NewAlbany!BA172/1000+NewAlbany!BA170/1000</f>
        <v>-716.9249299999999</v>
      </c>
      <c r="E83" t="s">
        <v>525</v>
      </c>
    </row>
    <row r="84" spans="1:17" x14ac:dyDescent="0.2">
      <c r="A84" s="191"/>
      <c r="C84" s="102">
        <f>NewAlbany!BA189/1000</f>
        <v>-153.76970333333327</v>
      </c>
      <c r="E84" t="s">
        <v>364</v>
      </c>
    </row>
    <row r="85" spans="1:17" x14ac:dyDescent="0.2">
      <c r="A85" s="191"/>
      <c r="C85" s="102">
        <f>+NewAlbany!BA175/1000</f>
        <v>64.384</v>
      </c>
      <c r="E85" t="s">
        <v>502</v>
      </c>
    </row>
    <row r="86" spans="1:17" x14ac:dyDescent="0.2">
      <c r="A86" s="191"/>
      <c r="C86" s="102">
        <f>+NewAlbany!BA168/1000</f>
        <v>263</v>
      </c>
      <c r="E86" t="str">
        <f>+E64</f>
        <v xml:space="preserve">Sales tax savings </v>
      </c>
    </row>
    <row r="87" spans="1:17" x14ac:dyDescent="0.2">
      <c r="A87" s="191"/>
      <c r="C87" s="102">
        <f>+NewAlbany!BA216/1000</f>
        <v>624.98426000000006</v>
      </c>
      <c r="E87" t="s">
        <v>522</v>
      </c>
    </row>
    <row r="88" spans="1:17" x14ac:dyDescent="0.2">
      <c r="A88" s="191"/>
      <c r="C88" s="102">
        <f>+NewAlbany!BA137/1000</f>
        <v>-260</v>
      </c>
      <c r="E88" t="str">
        <f>+E66</f>
        <v>NEPCO Interest Charges</v>
      </c>
    </row>
    <row r="89" spans="1:17" x14ac:dyDescent="0.2">
      <c r="A89" s="191"/>
      <c r="C89" s="102">
        <f>+NewAlbany!BA166/1000</f>
        <v>-68.973239999999947</v>
      </c>
      <c r="E89" t="s">
        <v>490</v>
      </c>
    </row>
    <row r="90" spans="1:17" x14ac:dyDescent="0.2">
      <c r="A90" s="71"/>
      <c r="C90" s="190">
        <f>SUM(C71:C89)+1</f>
        <v>-19870.948543333336</v>
      </c>
    </row>
    <row r="91" spans="1:17" ht="6" customHeight="1" x14ac:dyDescent="0.2">
      <c r="A91" s="106"/>
      <c r="C91" s="49"/>
    </row>
    <row r="92" spans="1:17" ht="13.5" thickBot="1" x14ac:dyDescent="0.25">
      <c r="A92" s="106"/>
      <c r="C92" s="193">
        <f>+C90+C69+C54</f>
        <v>-30115.82911000001</v>
      </c>
    </row>
    <row r="93" spans="1:17" ht="13.5" thickTop="1" x14ac:dyDescent="0.2"/>
    <row r="95" spans="1:17" x14ac:dyDescent="0.2">
      <c r="A95" s="50" t="s">
        <v>363</v>
      </c>
      <c r="B95" s="6" t="s">
        <v>547</v>
      </c>
      <c r="C95" s="67"/>
      <c r="D95" s="61"/>
      <c r="E95" s="76"/>
      <c r="F95" s="61"/>
      <c r="G95" s="76"/>
      <c r="H95" s="61"/>
      <c r="I95" s="76"/>
      <c r="J95" s="77"/>
      <c r="K95" s="78"/>
      <c r="L95" s="61"/>
      <c r="M95" s="61"/>
      <c r="N95" s="61"/>
      <c r="O95" s="61"/>
      <c r="P95" s="61"/>
      <c r="Q95" s="79"/>
    </row>
    <row r="97" spans="1:3" x14ac:dyDescent="0.2">
      <c r="A97" s="184" t="str">
        <f ca="1">CELL("FILENAME")</f>
        <v>C:\Users\Felienne\Enron\EnronSpreadsheets\[benjamin_rogers__1010__TVA Wkly Anal - 121499.xls]Brownsville</v>
      </c>
      <c r="B97" s="41"/>
      <c r="C97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2"/>
  <sheetViews>
    <sheetView tabSelected="1" view="pageBreakPreview" zoomScale="75" zoomScaleNormal="75" workbookViewId="0">
      <pane xSplit="9" ySplit="6" topLeftCell="AR7" activePane="bottomRight" state="frozen"/>
      <selection activeCell="A16" sqref="A16"/>
      <selection pane="topRight" activeCell="A16" sqref="A16"/>
      <selection pane="bottomLeft" activeCell="A16" sqref="A16"/>
      <selection pane="bottomRight" activeCell="AU12" sqref="AU12"/>
    </sheetView>
  </sheetViews>
  <sheetFormatPr defaultRowHeight="12.75" x14ac:dyDescent="0.2"/>
  <cols>
    <col min="1" max="1" width="4.7109375" style="6" customWidth="1"/>
    <col min="2" max="2" width="41.85546875" style="6" bestFit="1" customWidth="1"/>
    <col min="3" max="3" width="7.7109375" style="6" hidden="1" customWidth="1"/>
    <col min="4" max="4" width="2.5703125" style="6" hidden="1" customWidth="1"/>
    <col min="5" max="5" width="16.85546875" style="6" hidden="1" customWidth="1"/>
    <col min="6" max="6" width="0.85546875" style="6" hidden="1" customWidth="1"/>
    <col min="7" max="7" width="17.140625" style="7" hidden="1" customWidth="1"/>
    <col min="8" max="8" width="2.5703125" style="6" hidden="1" customWidth="1"/>
    <col min="9" max="9" width="12.42578125" style="6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7.28515625" style="8" hidden="1" customWidth="1"/>
    <col min="16" max="16" width="2.5703125" style="6" customWidth="1"/>
    <col min="17" max="17" width="19.140625" style="131" hidden="1" customWidth="1"/>
    <col min="18" max="18" width="0.85546875" style="224" hidden="1" customWidth="1"/>
    <col min="19" max="19" width="19.140625" style="131" hidden="1" customWidth="1"/>
    <col min="20" max="20" width="0.85546875" style="224" hidden="1" customWidth="1"/>
    <col min="21" max="21" width="16" style="131" hidden="1" customWidth="1"/>
    <col min="22" max="22" width="0.85546875" style="8" hidden="1" customWidth="1"/>
    <col min="23" max="23" width="16" style="131" hidden="1" customWidth="1"/>
    <col min="24" max="24" width="0.85546875" style="131" hidden="1" customWidth="1"/>
    <col min="25" max="25" width="16" style="131" hidden="1" customWidth="1"/>
    <col min="26" max="26" width="0.85546875" style="131" hidden="1" customWidth="1"/>
    <col min="27" max="27" width="16" style="131" hidden="1" customWidth="1"/>
    <col min="28" max="28" width="0.85546875" style="131" hidden="1" customWidth="1"/>
    <col min="29" max="29" width="16" style="131" hidden="1" customWidth="1"/>
    <col min="30" max="30" width="0.85546875" style="131" hidden="1" customWidth="1"/>
    <col min="31" max="31" width="16" style="131" hidden="1" customWidth="1"/>
    <col min="32" max="32" width="1" style="131" customWidth="1"/>
    <col min="33" max="33" width="16" style="131" hidden="1" customWidth="1"/>
    <col min="34" max="34" width="1.140625" style="131" hidden="1" customWidth="1"/>
    <col min="35" max="35" width="16" style="131" hidden="1" customWidth="1"/>
    <col min="36" max="36" width="1.5703125" style="131" customWidth="1"/>
    <col min="37" max="37" width="18.5703125" style="131" customWidth="1"/>
    <col min="38" max="38" width="1.28515625" style="131" customWidth="1"/>
    <col min="39" max="39" width="20.140625" style="131" customWidth="1"/>
    <col min="40" max="40" width="1.42578125" style="131" customWidth="1"/>
    <col min="41" max="41" width="20.140625" style="131" customWidth="1"/>
    <col min="42" max="42" width="1.7109375" style="131" customWidth="1"/>
    <col min="43" max="43" width="20.140625" style="131" customWidth="1"/>
    <col min="44" max="44" width="1.28515625" style="131" customWidth="1"/>
    <col min="45" max="45" width="19.140625" style="8" customWidth="1"/>
    <col min="46" max="46" width="1" style="6" customWidth="1"/>
    <col min="47" max="47" width="23.85546875" style="131" customWidth="1"/>
    <col min="48" max="48" width="0.85546875" style="6" customWidth="1"/>
    <col min="49" max="49" width="24" style="8" customWidth="1"/>
    <col min="50" max="50" width="2.5703125" style="6" customWidth="1"/>
    <col min="51" max="51" width="21.5703125" style="8" customWidth="1"/>
    <col min="52" max="52" width="2.5703125" style="6" customWidth="1"/>
    <col min="53" max="53" width="18.7109375" style="8" customWidth="1"/>
    <col min="54" max="54" width="0.85546875" style="6" customWidth="1"/>
    <col min="55" max="55" width="64.85546875" style="6" customWidth="1"/>
    <col min="56" max="16384" width="9.140625" style="6"/>
  </cols>
  <sheetData>
    <row r="1" spans="1:55" s="36" customFormat="1" ht="15.75" x14ac:dyDescent="0.25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79"/>
      <c r="AT1" s="278"/>
      <c r="AU1" s="280"/>
      <c r="AV1" s="278"/>
      <c r="AW1" s="279"/>
      <c r="AX1" s="278"/>
      <c r="AY1" s="279"/>
      <c r="AZ1" s="278"/>
      <c r="BA1" s="279"/>
    </row>
    <row r="2" spans="1:55" s="36" customFormat="1" ht="15.75" x14ac:dyDescent="0.25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79"/>
      <c r="AT2" s="278"/>
      <c r="AU2" s="280"/>
      <c r="AV2" s="278"/>
      <c r="AW2" s="279"/>
      <c r="AX2" s="278"/>
      <c r="AY2" s="279"/>
      <c r="AZ2" s="278"/>
      <c r="BA2" s="279"/>
    </row>
    <row r="3" spans="1:55" s="36" customFormat="1" ht="15.75" x14ac:dyDescent="0.25">
      <c r="A3" s="282" t="s">
        <v>488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79"/>
      <c r="AT3" s="278"/>
      <c r="AU3" s="280"/>
      <c r="AV3" s="278"/>
      <c r="AW3" s="283">
        <f ca="1">NOW()</f>
        <v>41885.540662268519</v>
      </c>
      <c r="AX3" s="278"/>
      <c r="AY3" s="283"/>
      <c r="AZ3" s="278"/>
      <c r="BA3" s="283" t="str">
        <f>Summary!A4</f>
        <v>Revision # 56</v>
      </c>
    </row>
    <row r="4" spans="1:55" s="36" customFormat="1" ht="15.75" x14ac:dyDescent="0.25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339</v>
      </c>
      <c r="V4" s="374"/>
      <c r="W4" s="149" t="s">
        <v>339</v>
      </c>
      <c r="X4" s="375"/>
      <c r="Y4" s="149" t="s">
        <v>339</v>
      </c>
      <c r="Z4" s="375"/>
      <c r="AA4" s="149" t="s">
        <v>339</v>
      </c>
      <c r="AB4" s="375"/>
      <c r="AC4" s="149" t="s">
        <v>339</v>
      </c>
      <c r="AD4" s="375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R4" s="149"/>
      <c r="AS4" s="150"/>
      <c r="AT4" s="278"/>
      <c r="AU4" s="149" t="s">
        <v>346</v>
      </c>
      <c r="AV4" s="278"/>
      <c r="AW4" s="287"/>
      <c r="AX4" s="278"/>
      <c r="AY4" s="287"/>
      <c r="AZ4" s="278"/>
      <c r="BA4" s="287"/>
    </row>
    <row r="5" spans="1:55" s="36" customFormat="1" ht="15.75" x14ac:dyDescent="0.25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340</v>
      </c>
      <c r="V5" s="374"/>
      <c r="W5" s="149" t="s">
        <v>340</v>
      </c>
      <c r="X5" s="375"/>
      <c r="Y5" s="149" t="s">
        <v>340</v>
      </c>
      <c r="Z5" s="375"/>
      <c r="AA5" s="149" t="s">
        <v>340</v>
      </c>
      <c r="AB5" s="375"/>
      <c r="AC5" s="149" t="s">
        <v>340</v>
      </c>
      <c r="AD5" s="375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R5" s="149"/>
      <c r="AS5" s="150" t="s">
        <v>190</v>
      </c>
      <c r="AT5" s="146"/>
      <c r="AU5" s="149" t="s">
        <v>347</v>
      </c>
      <c r="AV5" s="146"/>
      <c r="AW5" s="150" t="s">
        <v>161</v>
      </c>
      <c r="AX5" s="146"/>
      <c r="AY5" s="150" t="s">
        <v>367</v>
      </c>
      <c r="AZ5" s="146"/>
      <c r="BA5" s="150"/>
    </row>
    <row r="6" spans="1:55" s="36" customFormat="1" ht="15.75" x14ac:dyDescent="0.25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541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5" t="s">
        <v>343</v>
      </c>
      <c r="AT6" s="146"/>
      <c r="AU6" s="153" t="s">
        <v>348</v>
      </c>
      <c r="AV6" s="146"/>
      <c r="AW6" s="155" t="s">
        <v>110</v>
      </c>
      <c r="AX6" s="146"/>
      <c r="AY6" s="155" t="s">
        <v>368</v>
      </c>
      <c r="AZ6" s="146"/>
      <c r="BA6" s="155" t="s">
        <v>111</v>
      </c>
      <c r="BC6" s="150" t="s">
        <v>5</v>
      </c>
    </row>
    <row r="7" spans="1:55" x14ac:dyDescent="0.2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542</v>
      </c>
      <c r="R7" s="297"/>
      <c r="S7" s="296" t="s">
        <v>542</v>
      </c>
      <c r="T7" s="297"/>
      <c r="U7" s="296" t="str">
        <f>+Summary!$O$3</f>
        <v>as of 12/10/99</v>
      </c>
      <c r="V7" s="295"/>
      <c r="W7" s="296" t="str">
        <f>+Summary!$O$3</f>
        <v>as of 12/10/99</v>
      </c>
      <c r="X7" s="298"/>
      <c r="Y7" s="296" t="str">
        <f>+Summary!$O$3</f>
        <v>as of 12/10/99</v>
      </c>
      <c r="Z7" s="298"/>
      <c r="AA7" s="296" t="str">
        <f>+Summary!$O$3</f>
        <v>as of 12/10/99</v>
      </c>
      <c r="AB7" s="298"/>
      <c r="AC7" s="296" t="str">
        <f>+Summary!$O$3</f>
        <v>as of 12/10/99</v>
      </c>
      <c r="AD7" s="298"/>
      <c r="AE7" s="296" t="str">
        <f>+Summary!$O$3</f>
        <v>as of 12/10/99</v>
      </c>
      <c r="AF7" s="296"/>
      <c r="AG7" s="296" t="str">
        <f>+Summary!$O$3</f>
        <v>as of 12/10/99</v>
      </c>
      <c r="AH7" s="296"/>
      <c r="AI7" s="296" t="str">
        <f>+Summary!$O$3</f>
        <v>as of 12/10/99</v>
      </c>
      <c r="AJ7" s="296"/>
      <c r="AK7" s="296" t="str">
        <f>+Summary!$O$3</f>
        <v>as of 12/10/99</v>
      </c>
      <c r="AL7" s="296"/>
      <c r="AM7" s="296" t="str">
        <f>+Summary!$O$3</f>
        <v>as of 12/10/99</v>
      </c>
      <c r="AN7" s="296"/>
      <c r="AO7" s="296" t="str">
        <f>+Summary!$O$3</f>
        <v>as of 12/10/99</v>
      </c>
      <c r="AP7" s="296"/>
      <c r="AQ7" s="296" t="str">
        <f>+Summary!$O$3</f>
        <v>as of 12/10/99</v>
      </c>
      <c r="AR7" s="296"/>
      <c r="AS7" s="299" t="str">
        <f>+Summary!$O$3</f>
        <v>as of 12/10/99</v>
      </c>
      <c r="AT7" s="294"/>
      <c r="AU7" s="296"/>
      <c r="AV7" s="294"/>
      <c r="AW7" s="299"/>
      <c r="AX7" s="294"/>
      <c r="AY7" s="299"/>
      <c r="AZ7" s="294"/>
      <c r="BA7" s="299"/>
    </row>
    <row r="8" spans="1:55" x14ac:dyDescent="0.2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9"/>
      <c r="AT8" s="294"/>
      <c r="AU8" s="296"/>
      <c r="AV8" s="294"/>
      <c r="AW8" s="299"/>
      <c r="AX8" s="294"/>
      <c r="AY8" s="299"/>
      <c r="AZ8" s="294"/>
      <c r="BA8" s="299"/>
    </row>
    <row r="9" spans="1:55" x14ac:dyDescent="0.2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5">
        <f t="shared" ref="AS9:AS17" si="0">SUM(P9:AR9)</f>
        <v>69333392.800000012</v>
      </c>
      <c r="AT9" s="294"/>
      <c r="AU9" s="298">
        <f>472250+60686</f>
        <v>532936</v>
      </c>
      <c r="AV9" s="294"/>
      <c r="AW9" s="303">
        <f t="shared" ref="AW9:AW17" si="1">IF(+O9-AS9+AU9&gt;0,O9-AS9+AU9,0)</f>
        <v>0</v>
      </c>
      <c r="AX9" s="294"/>
      <c r="AY9" s="304">
        <f>+AW9+AS9</f>
        <v>69333392.800000012</v>
      </c>
      <c r="AZ9" s="294"/>
      <c r="BA9" s="305">
        <f t="shared" ref="BA9:BA17" si="2">O9-AS9-AW9</f>
        <v>-535892.80000001192</v>
      </c>
      <c r="BC9" s="269"/>
    </row>
    <row r="10" spans="1:55" x14ac:dyDescent="0.2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3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5">
        <f t="shared" si="0"/>
        <v>1781013</v>
      </c>
      <c r="AT10" s="294"/>
      <c r="AU10" s="298"/>
      <c r="AV10" s="294"/>
      <c r="AW10" s="295">
        <f t="shared" si="1"/>
        <v>0</v>
      </c>
      <c r="AX10" s="294"/>
      <c r="AY10" s="295">
        <f t="shared" ref="AY10:AY30" si="4">+AW10+AS10</f>
        <v>1781013</v>
      </c>
      <c r="AZ10" s="294"/>
      <c r="BA10" s="305">
        <f t="shared" si="2"/>
        <v>-383513</v>
      </c>
    </row>
    <row r="11" spans="1:55" x14ac:dyDescent="0.2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3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5">
        <f t="shared" si="0"/>
        <v>0</v>
      </c>
      <c r="AT11" s="294"/>
      <c r="AU11" s="298">
        <v>-97872</v>
      </c>
      <c r="AV11" s="294"/>
      <c r="AW11" s="295">
        <f t="shared" si="1"/>
        <v>0</v>
      </c>
      <c r="AX11" s="294"/>
      <c r="AY11" s="295">
        <f t="shared" si="4"/>
        <v>0</v>
      </c>
      <c r="AZ11" s="294"/>
      <c r="BA11" s="305">
        <f t="shared" si="2"/>
        <v>97872</v>
      </c>
    </row>
    <row r="12" spans="1:55" x14ac:dyDescent="0.2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3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5">
        <f t="shared" si="0"/>
        <v>0</v>
      </c>
      <c r="AT12" s="294"/>
      <c r="AU12" s="298">
        <v>-33132</v>
      </c>
      <c r="AV12" s="294"/>
      <c r="AW12" s="295">
        <f t="shared" si="1"/>
        <v>0</v>
      </c>
      <c r="AX12" s="294"/>
      <c r="AY12" s="295">
        <f t="shared" si="4"/>
        <v>0</v>
      </c>
      <c r="AZ12" s="294"/>
      <c r="BA12" s="305">
        <f t="shared" si="2"/>
        <v>33132</v>
      </c>
    </row>
    <row r="13" spans="1:55" x14ac:dyDescent="0.2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3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5">
        <f t="shared" si="0"/>
        <v>0</v>
      </c>
      <c r="AT13" s="294"/>
      <c r="AU13" s="298">
        <v>-5504</v>
      </c>
      <c r="AV13" s="294"/>
      <c r="AW13" s="295">
        <f t="shared" si="1"/>
        <v>0</v>
      </c>
      <c r="AX13" s="294"/>
      <c r="AY13" s="295">
        <f t="shared" si="4"/>
        <v>0</v>
      </c>
      <c r="AZ13" s="294"/>
      <c r="BA13" s="305">
        <f t="shared" si="2"/>
        <v>5504</v>
      </c>
    </row>
    <row r="14" spans="1:55" x14ac:dyDescent="0.2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3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5">
        <f t="shared" si="0"/>
        <v>0</v>
      </c>
      <c r="AT14" s="294"/>
      <c r="AU14" s="298">
        <v>-85744</v>
      </c>
      <c r="AV14" s="294"/>
      <c r="AW14" s="295">
        <f t="shared" si="1"/>
        <v>0</v>
      </c>
      <c r="AX14" s="294"/>
      <c r="AY14" s="295">
        <f t="shared" si="4"/>
        <v>0</v>
      </c>
      <c r="AZ14" s="294"/>
      <c r="BA14" s="305">
        <f t="shared" si="2"/>
        <v>85744</v>
      </c>
    </row>
    <row r="15" spans="1:55" x14ac:dyDescent="0.2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3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5">
        <f t="shared" si="0"/>
        <v>0</v>
      </c>
      <c r="AT15" s="294"/>
      <c r="AU15" s="298">
        <v>-40000</v>
      </c>
      <c r="AV15" s="294"/>
      <c r="AW15" s="295">
        <f t="shared" si="1"/>
        <v>0</v>
      </c>
      <c r="AX15" s="294"/>
      <c r="AY15" s="295">
        <f t="shared" si="4"/>
        <v>0</v>
      </c>
      <c r="AZ15" s="294"/>
      <c r="BA15" s="305">
        <f t="shared" si="2"/>
        <v>40000</v>
      </c>
    </row>
    <row r="16" spans="1:55" x14ac:dyDescent="0.2">
      <c r="A16" s="300"/>
      <c r="B16" s="31" t="s">
        <v>548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5">
        <f t="shared" si="0"/>
        <v>0</v>
      </c>
      <c r="AT16" s="294"/>
      <c r="AU16" s="298">
        <v>1500000</v>
      </c>
      <c r="AV16" s="294"/>
      <c r="AW16" s="295">
        <f t="shared" si="1"/>
        <v>1500000</v>
      </c>
      <c r="AX16" s="294"/>
      <c r="AY16" s="295">
        <f t="shared" si="4"/>
        <v>1500000</v>
      </c>
      <c r="AZ16" s="294"/>
      <c r="BA16" s="305">
        <f t="shared" si="2"/>
        <v>-1500000</v>
      </c>
    </row>
    <row r="17" spans="1:55" x14ac:dyDescent="0.2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3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9">
        <f t="shared" si="0"/>
        <v>0</v>
      </c>
      <c r="AT17" s="294"/>
      <c r="AU17" s="307">
        <v>-210000</v>
      </c>
      <c r="AV17" s="294"/>
      <c r="AW17" s="309">
        <f t="shared" si="1"/>
        <v>0</v>
      </c>
      <c r="AX17" s="294"/>
      <c r="AY17" s="309">
        <f t="shared" si="4"/>
        <v>0</v>
      </c>
      <c r="AZ17" s="294"/>
      <c r="BA17" s="310">
        <f t="shared" si="2"/>
        <v>210000</v>
      </c>
    </row>
    <row r="18" spans="1:55" x14ac:dyDescent="0.2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0</v>
      </c>
      <c r="AP18" s="296"/>
      <c r="AQ18" s="296">
        <f>SUM(AQ9:AQ17)</f>
        <v>0</v>
      </c>
      <c r="AR18" s="296"/>
      <c r="AS18" s="299">
        <f>SUM(AS9:AS17)</f>
        <v>71114405.800000012</v>
      </c>
      <c r="AT18" s="294"/>
      <c r="AU18" s="296">
        <f>SUM(AU9:AU17)</f>
        <v>1560684</v>
      </c>
      <c r="AV18" s="294"/>
      <c r="AW18" s="299">
        <f>SUM(AW9:AW17)</f>
        <v>1500000</v>
      </c>
      <c r="AX18" s="294"/>
      <c r="AY18" s="299">
        <f>SUM(AY9:AY17)</f>
        <v>72614405.800000012</v>
      </c>
      <c r="AZ18" s="294"/>
      <c r="BA18" s="305">
        <f>SUM(BA9:BA17)</f>
        <v>-1947153.8000000119</v>
      </c>
    </row>
    <row r="19" spans="1:55" x14ac:dyDescent="0.2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9"/>
      <c r="AT19" s="294"/>
      <c r="AU19" s="296"/>
      <c r="AV19" s="294"/>
      <c r="AW19" s="299"/>
      <c r="AX19" s="294"/>
      <c r="AY19" s="299"/>
      <c r="AZ19" s="294"/>
      <c r="BA19" s="305"/>
    </row>
    <row r="20" spans="1:55" x14ac:dyDescent="0.2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3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5">
        <f t="shared" ref="AS20:AS30" si="5">SUM(P20:AR20)</f>
        <v>5300000</v>
      </c>
      <c r="AT20" s="294"/>
      <c r="AU20" s="298"/>
      <c r="AV20" s="294"/>
      <c r="AW20" s="295">
        <f>5300000-AS20</f>
        <v>0</v>
      </c>
      <c r="AX20" s="294"/>
      <c r="AY20" s="305">
        <f t="shared" si="4"/>
        <v>5300000</v>
      </c>
      <c r="AZ20" s="294"/>
      <c r="BA20" s="305">
        <f t="shared" ref="BA20:BA30" si="6">O20-AS20-AW20</f>
        <v>0</v>
      </c>
      <c r="BC20" s="131"/>
    </row>
    <row r="21" spans="1:55" x14ac:dyDescent="0.2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3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5">
        <f t="shared" si="5"/>
        <v>165430.5</v>
      </c>
      <c r="AT21" s="294"/>
      <c r="AU21" s="298">
        <v>0</v>
      </c>
      <c r="AV21" s="294"/>
      <c r="AW21" s="295">
        <f>165430-AS21</f>
        <v>-0.5</v>
      </c>
      <c r="AX21" s="294"/>
      <c r="AY21" s="295">
        <f t="shared" si="4"/>
        <v>165430</v>
      </c>
      <c r="AZ21" s="294"/>
      <c r="BA21" s="305">
        <f t="shared" si="6"/>
        <v>-2950</v>
      </c>
    </row>
    <row r="22" spans="1:55" x14ac:dyDescent="0.2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3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5">
        <f t="shared" si="5"/>
        <v>58177.14</v>
      </c>
      <c r="AT22" s="294"/>
      <c r="AU22" s="298">
        <v>0</v>
      </c>
      <c r="AV22" s="294"/>
      <c r="AW22" s="295">
        <v>0</v>
      </c>
      <c r="AX22" s="294"/>
      <c r="AY22" s="295">
        <f t="shared" si="4"/>
        <v>58177.14</v>
      </c>
      <c r="AZ22" s="294"/>
      <c r="BA22" s="305">
        <f t="shared" si="6"/>
        <v>1602.8600000000006</v>
      </c>
    </row>
    <row r="23" spans="1:55" x14ac:dyDescent="0.2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3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5">
        <f t="shared" si="5"/>
        <v>2968940.46</v>
      </c>
      <c r="AT23" s="294"/>
      <c r="AU23" s="298">
        <v>0</v>
      </c>
      <c r="AV23" s="294"/>
      <c r="AW23" s="295">
        <f>1678940+1290000-AS23</f>
        <v>-0.4599999999627471</v>
      </c>
      <c r="AX23" s="294"/>
      <c r="AY23" s="295">
        <f t="shared" si="4"/>
        <v>2968940</v>
      </c>
      <c r="AZ23" s="294"/>
      <c r="BA23" s="305">
        <f t="shared" si="6"/>
        <v>0</v>
      </c>
    </row>
    <row r="24" spans="1:55" x14ac:dyDescent="0.2">
      <c r="A24" s="300"/>
      <c r="B24" s="31" t="s">
        <v>515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3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5">
        <f t="shared" si="5"/>
        <v>0</v>
      </c>
      <c r="AT24" s="294"/>
      <c r="AU24" s="298">
        <v>0</v>
      </c>
      <c r="AV24" s="294"/>
      <c r="AW24" s="295">
        <v>0</v>
      </c>
      <c r="AX24" s="294"/>
      <c r="AY24" s="295">
        <f t="shared" si="4"/>
        <v>0</v>
      </c>
      <c r="AZ24" s="294"/>
      <c r="BA24" s="305">
        <f t="shared" si="6"/>
        <v>0</v>
      </c>
    </row>
    <row r="25" spans="1:55" x14ac:dyDescent="0.2">
      <c r="A25" s="300"/>
      <c r="B25" s="31" t="s">
        <v>514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3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5">
        <f t="shared" si="5"/>
        <v>387100</v>
      </c>
      <c r="AT25" s="294"/>
      <c r="AU25" s="298">
        <v>0</v>
      </c>
      <c r="AV25" s="294"/>
      <c r="AW25" s="295">
        <f>387100-AS25</f>
        <v>0</v>
      </c>
      <c r="AX25" s="294"/>
      <c r="AY25" s="295">
        <f t="shared" si="4"/>
        <v>387100</v>
      </c>
      <c r="AZ25" s="294"/>
      <c r="BA25" s="305">
        <f t="shared" si="6"/>
        <v>-387100</v>
      </c>
    </row>
    <row r="26" spans="1:55" x14ac:dyDescent="0.2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3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5">
        <f t="shared" si="5"/>
        <v>0</v>
      </c>
      <c r="AT26" s="294"/>
      <c r="AU26" s="298">
        <v>0</v>
      </c>
      <c r="AV26" s="294"/>
      <c r="AW26" s="295">
        <v>0</v>
      </c>
      <c r="AX26" s="294"/>
      <c r="AY26" s="295">
        <f t="shared" si="4"/>
        <v>0</v>
      </c>
      <c r="AZ26" s="294"/>
      <c r="BA26" s="305">
        <f t="shared" si="6"/>
        <v>25000</v>
      </c>
    </row>
    <row r="27" spans="1:55" x14ac:dyDescent="0.2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3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5">
        <f t="shared" si="5"/>
        <v>0</v>
      </c>
      <c r="AT27" s="294"/>
      <c r="AU27" s="298">
        <v>0</v>
      </c>
      <c r="AV27" s="294"/>
      <c r="AW27" s="295">
        <f>-AS27</f>
        <v>0</v>
      </c>
      <c r="AX27" s="294"/>
      <c r="AY27" s="295">
        <f t="shared" si="4"/>
        <v>0</v>
      </c>
      <c r="AZ27" s="294"/>
      <c r="BA27" s="305">
        <f t="shared" si="6"/>
        <v>107600</v>
      </c>
    </row>
    <row r="28" spans="1:55" x14ac:dyDescent="0.2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3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5">
        <f t="shared" si="5"/>
        <v>0</v>
      </c>
      <c r="AT28" s="294"/>
      <c r="AU28" s="298">
        <v>0</v>
      </c>
      <c r="AV28" s="294"/>
      <c r="AW28" s="295">
        <f>-AS28</f>
        <v>0</v>
      </c>
      <c r="AX28" s="294"/>
      <c r="AY28" s="295">
        <f t="shared" si="4"/>
        <v>0</v>
      </c>
      <c r="AZ28" s="294"/>
      <c r="BA28" s="305">
        <f t="shared" si="6"/>
        <v>105500</v>
      </c>
    </row>
    <row r="29" spans="1:55" x14ac:dyDescent="0.2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3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5">
        <f t="shared" si="5"/>
        <v>0</v>
      </c>
      <c r="AT29" s="294"/>
      <c r="AU29" s="298">
        <v>0</v>
      </c>
      <c r="AV29" s="294"/>
      <c r="AW29" s="295">
        <v>0</v>
      </c>
      <c r="AX29" s="294"/>
      <c r="AY29" s="295">
        <f t="shared" si="4"/>
        <v>0</v>
      </c>
      <c r="AZ29" s="294"/>
      <c r="BA29" s="305">
        <f t="shared" si="6"/>
        <v>10000</v>
      </c>
    </row>
    <row r="30" spans="1:55" x14ac:dyDescent="0.2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3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9">
        <f t="shared" si="5"/>
        <v>5600</v>
      </c>
      <c r="AT30" s="294"/>
      <c r="AU30" s="307">
        <v>0</v>
      </c>
      <c r="AV30" s="294"/>
      <c r="AW30" s="309">
        <f>5600-AS30</f>
        <v>0</v>
      </c>
      <c r="AX30" s="294"/>
      <c r="AY30" s="309">
        <f t="shared" si="4"/>
        <v>5600</v>
      </c>
      <c r="AZ30" s="294"/>
      <c r="BA30" s="310">
        <f t="shared" si="6"/>
        <v>14400</v>
      </c>
    </row>
    <row r="31" spans="1:55" x14ac:dyDescent="0.2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3">
        <f>SUM(AS20:AS30)</f>
        <v>8885248.0999999996</v>
      </c>
      <c r="AT31" s="294"/>
      <c r="AU31" s="314">
        <f>SUM(AU20:AU30)</f>
        <v>0</v>
      </c>
      <c r="AV31" s="294"/>
      <c r="AW31" s="315">
        <f>SUM(AW20:AW30)</f>
        <v>-0.9599999999627471</v>
      </c>
      <c r="AX31" s="294"/>
      <c r="AY31" s="299">
        <f>SUM(AY20:AY30)</f>
        <v>8885247.1400000006</v>
      </c>
      <c r="AZ31" s="294"/>
      <c r="BA31" s="316">
        <f>+O31-AY31</f>
        <v>-125947.1400000006</v>
      </c>
    </row>
    <row r="32" spans="1:55" x14ac:dyDescent="0.2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3"/>
      <c r="AT32" s="294"/>
      <c r="AU32" s="314"/>
      <c r="AV32" s="294"/>
      <c r="AW32" s="313"/>
      <c r="AX32" s="294"/>
      <c r="AY32" s="313"/>
      <c r="AZ32" s="294"/>
      <c r="BA32" s="316"/>
    </row>
    <row r="33" spans="1:55" ht="13.5" thickBot="1" x14ac:dyDescent="0.25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0</v>
      </c>
      <c r="AP33" s="314"/>
      <c r="AQ33" s="320">
        <f>AQ31+AQ18</f>
        <v>0</v>
      </c>
      <c r="AR33" s="314"/>
      <c r="AS33" s="318">
        <f>AS31+AS18</f>
        <v>79999653.900000006</v>
      </c>
      <c r="AT33" s="294"/>
      <c r="AU33" s="320">
        <f>AU31+AU18</f>
        <v>1560684</v>
      </c>
      <c r="AV33" s="294"/>
      <c r="AW33" s="318">
        <f>+AW31+AW18</f>
        <v>1499999.04</v>
      </c>
      <c r="AX33" s="294"/>
      <c r="AY33" s="318">
        <f>+AY31+AY18</f>
        <v>81499652.940000013</v>
      </c>
      <c r="AZ33" s="294"/>
      <c r="BA33" s="321">
        <f>+O33-AY33</f>
        <v>-2073100.9400000125</v>
      </c>
    </row>
    <row r="34" spans="1:55" ht="13.5" thickTop="1" x14ac:dyDescent="0.2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5"/>
      <c r="AT34" s="294"/>
      <c r="AU34" s="298"/>
      <c r="AV34" s="294"/>
      <c r="AW34" s="295"/>
      <c r="AX34" s="294"/>
      <c r="AY34" s="295"/>
      <c r="AZ34" s="294"/>
      <c r="BA34" s="295"/>
    </row>
    <row r="35" spans="1:55" x14ac:dyDescent="0.2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5"/>
      <c r="AT35" s="294"/>
      <c r="AU35" s="298"/>
      <c r="AV35" s="294"/>
      <c r="AW35" s="295"/>
      <c r="AX35" s="294"/>
      <c r="AY35" s="295"/>
      <c r="AZ35" s="294"/>
      <c r="BA35" s="295"/>
    </row>
    <row r="36" spans="1:55" x14ac:dyDescent="0.2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295">
        <f>SUM(P36:AR36)</f>
        <v>481461.80999999994</v>
      </c>
      <c r="AT36" s="294"/>
      <c r="AU36" s="298">
        <f>452687-397500-600+20874+600+8571+849</f>
        <v>85481</v>
      </c>
      <c r="AV36" s="294"/>
      <c r="AW36" s="295">
        <f>IF(+O36-AS36+AU36&gt;0,O36-AS36+AU36,0)</f>
        <v>1519.1900000000605</v>
      </c>
      <c r="AX36" s="294"/>
      <c r="AY36" s="304">
        <f>+AW36+AS36</f>
        <v>482981</v>
      </c>
      <c r="AZ36" s="294"/>
      <c r="BA36" s="305">
        <f>O36-AS36-AW36</f>
        <v>-85481</v>
      </c>
      <c r="BC36" s="131"/>
    </row>
    <row r="37" spans="1:55" x14ac:dyDescent="0.2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295">
        <f>SUM(P37:AR37)</f>
        <v>0</v>
      </c>
      <c r="AT37" s="294"/>
      <c r="AU37" s="298">
        <v>-12200</v>
      </c>
      <c r="AV37" s="294"/>
      <c r="AW37" s="295">
        <f>IF(+O37-AS37+AU37&gt;0,O37-AS37+AU37,0)</f>
        <v>0</v>
      </c>
      <c r="AX37" s="294"/>
      <c r="AY37" s="295">
        <f>+AW37+AS37</f>
        <v>0</v>
      </c>
      <c r="AZ37" s="294"/>
      <c r="BA37" s="305">
        <f>O37-AS37-AW37</f>
        <v>12200</v>
      </c>
    </row>
    <row r="38" spans="1:55" x14ac:dyDescent="0.2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295">
        <f>SUM(P38:AR38)</f>
        <v>22198.240000000002</v>
      </c>
      <c r="AT38" s="294"/>
      <c r="AU38" s="298">
        <f>47300-24500-25102</f>
        <v>-2302</v>
      </c>
      <c r="AV38" s="294"/>
      <c r="AW38" s="295">
        <f>IF(+O38-AS38+AU38&gt;0,O38-AS38+AU38,0)</f>
        <v>0</v>
      </c>
      <c r="AX38" s="294"/>
      <c r="AY38" s="295">
        <f>+AW38+AS38</f>
        <v>22198.240000000002</v>
      </c>
      <c r="AZ38" s="294"/>
      <c r="BA38" s="305">
        <f>O38-AS38-AW38</f>
        <v>2301.7599999999984</v>
      </c>
    </row>
    <row r="39" spans="1:55" x14ac:dyDescent="0.2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295">
        <f>SUM(P39:AR39)</f>
        <v>156850.48000000001</v>
      </c>
      <c r="AT39" s="294"/>
      <c r="AU39" s="308">
        <f>142000-115300</f>
        <v>26700</v>
      </c>
      <c r="AV39" s="294"/>
      <c r="AW39" s="295">
        <f>IF(+O39-AS39+AU39&gt;0,O39-AS39+AU39,0)</f>
        <v>0</v>
      </c>
      <c r="AX39" s="294"/>
      <c r="AY39" s="295">
        <f>+AW39+AS39</f>
        <v>156850.48000000001</v>
      </c>
      <c r="AZ39" s="294"/>
      <c r="BA39" s="305">
        <f>O39-AS39-AW39</f>
        <v>-41550.48000000001</v>
      </c>
    </row>
    <row r="40" spans="1:55" x14ac:dyDescent="0.2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295">
        <f>SUM(P40:AR40)</f>
        <v>72692.81</v>
      </c>
      <c r="AT40" s="294"/>
      <c r="AU40" s="308">
        <f>72693-37551</f>
        <v>35142</v>
      </c>
      <c r="AV40" s="294"/>
      <c r="AW40" s="295">
        <f>IF(+O40-AS40+AU40&gt;0,O40-AS40+AU40,0)</f>
        <v>0.19000000000232831</v>
      </c>
      <c r="AX40" s="294"/>
      <c r="AY40" s="295">
        <f>+AW40+AS40</f>
        <v>72693</v>
      </c>
      <c r="AZ40" s="294"/>
      <c r="BA40" s="305">
        <f>O40-AS40-AW40</f>
        <v>-35142</v>
      </c>
    </row>
    <row r="41" spans="1:55" x14ac:dyDescent="0.2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9">
        <f>SUM(AS36:AS40)</f>
        <v>733203.33999999985</v>
      </c>
      <c r="AT41" s="294"/>
      <c r="AU41" s="328">
        <f>SUM(AU36:AU40)</f>
        <v>132821</v>
      </c>
      <c r="AV41" s="294"/>
      <c r="AW41" s="329">
        <f>SUM(AW36:AW40)</f>
        <v>1519.3800000000629</v>
      </c>
      <c r="AX41" s="294"/>
      <c r="AY41" s="329">
        <f>SUM(AY36:AY40)</f>
        <v>734722.72</v>
      </c>
      <c r="AZ41" s="294"/>
      <c r="BA41" s="328">
        <f>SUM(BA36:BA40)</f>
        <v>-147671.72000000003</v>
      </c>
    </row>
    <row r="42" spans="1:55" x14ac:dyDescent="0.2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5"/>
      <c r="AT42" s="294"/>
      <c r="AU42" s="298"/>
      <c r="AV42" s="294"/>
      <c r="AW42" s="295"/>
      <c r="AX42" s="294"/>
      <c r="AY42" s="295"/>
      <c r="AZ42" s="294"/>
      <c r="BA42" s="295"/>
    </row>
    <row r="43" spans="1:55" x14ac:dyDescent="0.2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5"/>
      <c r="AT43" s="294"/>
      <c r="AU43" s="298"/>
      <c r="AV43" s="294"/>
      <c r="AW43" s="295"/>
      <c r="AX43" s="294"/>
      <c r="AY43" s="295"/>
      <c r="AZ43" s="294"/>
      <c r="BA43" s="295"/>
    </row>
    <row r="44" spans="1:55" x14ac:dyDescent="0.2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5"/>
      <c r="AT44" s="294"/>
      <c r="AU44" s="298"/>
      <c r="AV44" s="294"/>
      <c r="AW44" s="295"/>
      <c r="AX44" s="294"/>
      <c r="AY44" s="295"/>
      <c r="AZ44" s="294"/>
      <c r="BA44" s="295"/>
    </row>
    <row r="45" spans="1:55" x14ac:dyDescent="0.2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5">
        <f t="shared" ref="AS45:AS66" si="8">SUM(P45:AR45)</f>
        <v>0.14000000001396984</v>
      </c>
      <c r="AT45" s="294"/>
      <c r="AU45" s="298">
        <f>160227-53528+6891+247-167365</f>
        <v>-53528</v>
      </c>
      <c r="AV45" s="294"/>
      <c r="AW45" s="295">
        <f>IF(+O45-AS45+AU45&gt;0,O45-AS45+AU45,0)</f>
        <v>0</v>
      </c>
      <c r="AX45" s="294"/>
      <c r="AY45" s="295">
        <f t="shared" ref="AY45:AY66" si="9">+AW45+AS45</f>
        <v>0.14000000001396984</v>
      </c>
      <c r="AZ45" s="294"/>
      <c r="BA45" s="295">
        <f t="shared" ref="BA45:BA67" si="10">+O45-AY45</f>
        <v>53527.859999999986</v>
      </c>
    </row>
    <row r="46" spans="1:55" x14ac:dyDescent="0.2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5">
        <f t="shared" si="8"/>
        <v>0.25</v>
      </c>
      <c r="AT46" s="294"/>
      <c r="AU46" s="298">
        <f>460192-1228835+7968-468160</f>
        <v>-1228835</v>
      </c>
      <c r="AV46" s="294"/>
      <c r="AW46" s="295">
        <f>IF(+O46-AS46+AU46&gt;0,O46-AS46+AU46,0)</f>
        <v>0</v>
      </c>
      <c r="AX46" s="294"/>
      <c r="AY46" s="330">
        <f t="shared" si="9"/>
        <v>0.25</v>
      </c>
      <c r="AZ46" s="294"/>
      <c r="BA46" s="295">
        <f t="shared" si="10"/>
        <v>1228834.75</v>
      </c>
      <c r="BC46" s="157"/>
    </row>
    <row r="47" spans="1:55" x14ac:dyDescent="0.2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5">
        <f t="shared" si="8"/>
        <v>0</v>
      </c>
      <c r="AT47" s="294"/>
      <c r="AU47" s="298">
        <f>1104+1154-20616</f>
        <v>-18358</v>
      </c>
      <c r="AV47" s="294"/>
      <c r="AW47" s="295">
        <f>IF(+O47-AS47+AU47&gt;0,O47-AS47+AU47,0)</f>
        <v>0</v>
      </c>
      <c r="AX47" s="294"/>
      <c r="AY47" s="295">
        <f t="shared" si="9"/>
        <v>0</v>
      </c>
      <c r="AZ47" s="294"/>
      <c r="BA47" s="295">
        <f t="shared" si="10"/>
        <v>18358</v>
      </c>
    </row>
    <row r="48" spans="1:55" x14ac:dyDescent="0.2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5">
        <f t="shared" si="8"/>
        <v>-0.26000000000931323</v>
      </c>
      <c r="AT48" s="294"/>
      <c r="AU48" s="298">
        <f>249100-337106+942+676-250718</f>
        <v>-337106</v>
      </c>
      <c r="AV48" s="294"/>
      <c r="AW48" s="295">
        <f>O48-AS48+AU48</f>
        <v>0.26000000000931323</v>
      </c>
      <c r="AX48" s="294"/>
      <c r="AY48" s="295">
        <f t="shared" si="9"/>
        <v>0</v>
      </c>
      <c r="AZ48" s="294"/>
      <c r="BA48" s="295">
        <f t="shared" si="10"/>
        <v>337106</v>
      </c>
    </row>
    <row r="49" spans="1:53" x14ac:dyDescent="0.2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5">
        <f t="shared" si="8"/>
        <v>0</v>
      </c>
      <c r="AT49" s="294"/>
      <c r="AU49" s="298">
        <f>-95368</f>
        <v>-95368</v>
      </c>
      <c r="AV49" s="294"/>
      <c r="AW49" s="295">
        <f t="shared" ref="AW49:AW66" si="11">IF(+O49-AS49+AU49&gt;0,O49-AS49+AU49,0)</f>
        <v>0</v>
      </c>
      <c r="AX49" s="294"/>
      <c r="AY49" s="298">
        <f t="shared" si="9"/>
        <v>0</v>
      </c>
      <c r="AZ49" s="294"/>
      <c r="BA49" s="295">
        <f t="shared" si="10"/>
        <v>95368</v>
      </c>
    </row>
    <row r="50" spans="1:53" x14ac:dyDescent="0.2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5">
        <f t="shared" si="8"/>
        <v>0.42999999999301508</v>
      </c>
      <c r="AT50" s="294"/>
      <c r="AU50" s="298">
        <f>73732-2765+6881+4743-85356</f>
        <v>-2765</v>
      </c>
      <c r="AV50" s="294"/>
      <c r="AW50" s="295">
        <f t="shared" si="11"/>
        <v>0</v>
      </c>
      <c r="AX50" s="294"/>
      <c r="AY50" s="330">
        <f t="shared" si="9"/>
        <v>0.42999999999301508</v>
      </c>
      <c r="AZ50" s="294"/>
      <c r="BA50" s="295">
        <f t="shared" si="10"/>
        <v>2764.570000000007</v>
      </c>
    </row>
    <row r="51" spans="1:53" x14ac:dyDescent="0.2">
      <c r="A51" s="112"/>
      <c r="B51" s="31" t="s">
        <v>478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5">
        <f>SUM(P51:AR51)</f>
        <v>-0.34000000000003183</v>
      </c>
      <c r="AT51" s="294"/>
      <c r="AU51" s="298">
        <f>920+2896+500+156-428-4044</f>
        <v>0</v>
      </c>
      <c r="AV51" s="294"/>
      <c r="AW51" s="295">
        <f t="shared" si="11"/>
        <v>0.34000000000003183</v>
      </c>
      <c r="AX51" s="294"/>
      <c r="AY51" s="295">
        <f>+AW51+AS51</f>
        <v>0</v>
      </c>
      <c r="AZ51" s="294"/>
      <c r="BA51" s="295">
        <f t="shared" si="10"/>
        <v>0</v>
      </c>
    </row>
    <row r="52" spans="1:53" x14ac:dyDescent="0.2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5">
        <f t="shared" si="8"/>
        <v>0</v>
      </c>
      <c r="AT52" s="294"/>
      <c r="AU52" s="298">
        <f>-13696-10000-165133</f>
        <v>-188829</v>
      </c>
      <c r="AV52" s="294"/>
      <c r="AW52" s="295">
        <f t="shared" si="11"/>
        <v>0</v>
      </c>
      <c r="AX52" s="294"/>
      <c r="AY52" s="305">
        <f t="shared" si="9"/>
        <v>0</v>
      </c>
      <c r="AZ52" s="294"/>
      <c r="BA52" s="295">
        <f t="shared" si="10"/>
        <v>188829</v>
      </c>
    </row>
    <row r="53" spans="1:53" x14ac:dyDescent="0.2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5">
        <f t="shared" si="8"/>
        <v>0</v>
      </c>
      <c r="AT53" s="294"/>
      <c r="AU53" s="298">
        <f>38712-44266-38712</f>
        <v>-44266</v>
      </c>
      <c r="AV53" s="294"/>
      <c r="AW53" s="295">
        <f t="shared" si="11"/>
        <v>0</v>
      </c>
      <c r="AX53" s="294"/>
      <c r="AY53" s="295">
        <f t="shared" si="9"/>
        <v>0</v>
      </c>
      <c r="AZ53" s="294"/>
      <c r="BA53" s="295">
        <f t="shared" si="10"/>
        <v>44266</v>
      </c>
    </row>
    <row r="54" spans="1:53" x14ac:dyDescent="0.2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5">
        <f t="shared" si="8"/>
        <v>0</v>
      </c>
      <c r="AT54" s="294"/>
      <c r="AU54" s="298">
        <f>16002-63897+115+64-16181</f>
        <v>-63897</v>
      </c>
      <c r="AV54" s="294"/>
      <c r="AW54" s="295">
        <f t="shared" si="11"/>
        <v>0</v>
      </c>
      <c r="AX54" s="294"/>
      <c r="AY54" s="295">
        <f t="shared" si="9"/>
        <v>0</v>
      </c>
      <c r="AZ54" s="294"/>
      <c r="BA54" s="295">
        <f t="shared" si="10"/>
        <v>63897</v>
      </c>
    </row>
    <row r="55" spans="1:53" x14ac:dyDescent="0.2">
      <c r="A55" s="112"/>
      <c r="B55" s="31" t="s">
        <v>380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5">
        <f t="shared" si="8"/>
        <v>0.42000000000007276</v>
      </c>
      <c r="AT55" s="294"/>
      <c r="AU55" s="298">
        <f>3672+5970+647-71558</f>
        <v>-61269</v>
      </c>
      <c r="AV55" s="294"/>
      <c r="AW55" s="295">
        <f t="shared" si="11"/>
        <v>0</v>
      </c>
      <c r="AX55" s="294"/>
      <c r="AY55" s="295">
        <f t="shared" si="9"/>
        <v>0.42000000000007276</v>
      </c>
      <c r="AZ55" s="294"/>
      <c r="BA55" s="295">
        <f t="shared" si="10"/>
        <v>61268.58</v>
      </c>
    </row>
    <row r="56" spans="1:53" x14ac:dyDescent="0.2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5">
        <f t="shared" si="8"/>
        <v>-0.25</v>
      </c>
      <c r="AT56" s="294"/>
      <c r="AU56" s="298">
        <f>238467-424721-12000-25000-3375+494-198586</f>
        <v>-424721</v>
      </c>
      <c r="AV56" s="294"/>
      <c r="AW56" s="295">
        <f t="shared" si="11"/>
        <v>0.25</v>
      </c>
      <c r="AX56" s="294"/>
      <c r="AY56" s="295">
        <f t="shared" si="9"/>
        <v>0</v>
      </c>
      <c r="AZ56" s="294"/>
      <c r="BA56" s="295">
        <f t="shared" si="10"/>
        <v>424721</v>
      </c>
    </row>
    <row r="57" spans="1:53" x14ac:dyDescent="0.2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5">
        <f t="shared" si="8"/>
        <v>6.0000000001309672E-2</v>
      </c>
      <c r="AT57" s="294"/>
      <c r="AU57" s="298">
        <f>-21954+771-44507</f>
        <v>-65690</v>
      </c>
      <c r="AV57" s="294"/>
      <c r="AW57" s="295">
        <f t="shared" si="11"/>
        <v>0</v>
      </c>
      <c r="AX57" s="294"/>
      <c r="AY57" s="295">
        <f t="shared" si="9"/>
        <v>6.0000000001309672E-2</v>
      </c>
      <c r="AZ57" s="294"/>
      <c r="BA57" s="295">
        <f t="shared" si="10"/>
        <v>65689.94</v>
      </c>
    </row>
    <row r="58" spans="1:53" x14ac:dyDescent="0.2">
      <c r="A58" s="112"/>
      <c r="B58" s="31" t="s">
        <v>412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5">
        <f t="shared" si="8"/>
        <v>0.20000000018626451</v>
      </c>
      <c r="AT58" s="294"/>
      <c r="AU58" s="298">
        <f>3625675-3447600+70597-3696272</f>
        <v>-3447600</v>
      </c>
      <c r="AV58" s="294"/>
      <c r="AW58" s="295">
        <f t="shared" si="11"/>
        <v>0</v>
      </c>
      <c r="AX58" s="294"/>
      <c r="AY58" s="295">
        <f t="shared" si="9"/>
        <v>0.20000000018626451</v>
      </c>
      <c r="AZ58" s="294"/>
      <c r="BA58" s="295">
        <f t="shared" si="10"/>
        <v>3447599.8</v>
      </c>
    </row>
    <row r="59" spans="1:53" x14ac:dyDescent="0.2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5">
        <f t="shared" si="8"/>
        <v>-0.41000000000349246</v>
      </c>
      <c r="AT59" s="294"/>
      <c r="AU59" s="298">
        <f>218613-137799-3077+5000-220536</f>
        <v>-137799</v>
      </c>
      <c r="AV59" s="294"/>
      <c r="AW59" s="295">
        <f t="shared" si="11"/>
        <v>0.41000000000349246</v>
      </c>
      <c r="AX59" s="294"/>
      <c r="AY59" s="295">
        <f t="shared" si="9"/>
        <v>0</v>
      </c>
      <c r="AZ59" s="294"/>
      <c r="BA59" s="295">
        <f t="shared" si="10"/>
        <v>137799</v>
      </c>
    </row>
    <row r="60" spans="1:53" x14ac:dyDescent="0.2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5">
        <f t="shared" si="8"/>
        <v>0</v>
      </c>
      <c r="AT60" s="294"/>
      <c r="AU60" s="298">
        <v>-8023</v>
      </c>
      <c r="AV60" s="294"/>
      <c r="AW60" s="295">
        <f t="shared" si="11"/>
        <v>0</v>
      </c>
      <c r="AX60" s="294"/>
      <c r="AY60" s="295">
        <f t="shared" si="9"/>
        <v>0</v>
      </c>
      <c r="AZ60" s="294"/>
      <c r="BA60" s="295">
        <f t="shared" si="10"/>
        <v>8023</v>
      </c>
    </row>
    <row r="61" spans="1:53" x14ac:dyDescent="0.2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5">
        <f t="shared" si="8"/>
        <v>0.26999999998952262</v>
      </c>
      <c r="AT61" s="294"/>
      <c r="AU61" s="298">
        <f>29420-16989+187642+1029+530-218621</f>
        <v>-16989</v>
      </c>
      <c r="AV61" s="294"/>
      <c r="AW61" s="295">
        <f t="shared" si="11"/>
        <v>0</v>
      </c>
      <c r="AX61" s="294"/>
      <c r="AY61" s="295">
        <f t="shared" si="9"/>
        <v>0.26999999998952262</v>
      </c>
      <c r="AZ61" s="294"/>
      <c r="BA61" s="295">
        <f t="shared" si="10"/>
        <v>16988.73000000001</v>
      </c>
    </row>
    <row r="62" spans="1:53" x14ac:dyDescent="0.2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5">
        <f t="shared" si="8"/>
        <v>0.22000000000116415</v>
      </c>
      <c r="AT62" s="294"/>
      <c r="AU62" s="298">
        <f>-222153-18659-54152-254036</f>
        <v>-549000</v>
      </c>
      <c r="AV62" s="294"/>
      <c r="AW62" s="295">
        <f t="shared" si="11"/>
        <v>0</v>
      </c>
      <c r="AX62" s="294"/>
      <c r="AY62" s="295">
        <f t="shared" si="9"/>
        <v>0.22000000000116415</v>
      </c>
      <c r="AZ62" s="294"/>
      <c r="BA62" s="295">
        <f t="shared" si="10"/>
        <v>548999.78</v>
      </c>
    </row>
    <row r="63" spans="1:53" x14ac:dyDescent="0.2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5">
        <f t="shared" si="8"/>
        <v>0.40000000000145519</v>
      </c>
      <c r="AT63" s="294"/>
      <c r="AU63" s="298">
        <f>60192-134000-36192+8624+4217-369841</f>
        <v>-467000</v>
      </c>
      <c r="AV63" s="294"/>
      <c r="AW63" s="295">
        <f t="shared" si="11"/>
        <v>0</v>
      </c>
      <c r="AX63" s="294"/>
      <c r="AY63" s="295">
        <f>+AW63+AS63</f>
        <v>0.40000000000145519</v>
      </c>
      <c r="AZ63" s="294"/>
      <c r="BA63" s="295">
        <f t="shared" si="10"/>
        <v>133999.6</v>
      </c>
    </row>
    <row r="64" spans="1:53" x14ac:dyDescent="0.2">
      <c r="A64" s="112"/>
      <c r="B64" s="31" t="s">
        <v>401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5">
        <f>SUM(P64:AR64)</f>
        <v>0</v>
      </c>
      <c r="AT64" s="294"/>
      <c r="AU64" s="298">
        <f>121500-121500</f>
        <v>0</v>
      </c>
      <c r="AV64" s="294"/>
      <c r="AW64" s="295">
        <f t="shared" si="11"/>
        <v>0</v>
      </c>
      <c r="AX64" s="294"/>
      <c r="AY64" s="305">
        <f>+AW64+AS64</f>
        <v>0</v>
      </c>
      <c r="AZ64" s="294"/>
      <c r="BA64" s="295">
        <f t="shared" si="10"/>
        <v>0</v>
      </c>
    </row>
    <row r="65" spans="1:53" x14ac:dyDescent="0.2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5">
        <f>SUM(P65:AR65)</f>
        <v>0.3000000000174623</v>
      </c>
      <c r="AT65" s="294"/>
      <c r="AU65" s="298">
        <f>494932-389130-157245-69998+66676-334365</f>
        <v>-389130</v>
      </c>
      <c r="AV65" s="294"/>
      <c r="AW65" s="295">
        <f t="shared" si="11"/>
        <v>0</v>
      </c>
      <c r="AX65" s="294"/>
      <c r="AY65" s="295">
        <f t="shared" si="9"/>
        <v>0.3000000000174623</v>
      </c>
      <c r="AZ65" s="294"/>
      <c r="BA65" s="295">
        <f t="shared" si="10"/>
        <v>389129.69999999995</v>
      </c>
    </row>
    <row r="66" spans="1:53" x14ac:dyDescent="0.2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5">
        <f t="shared" si="8"/>
        <v>0</v>
      </c>
      <c r="AT66" s="294"/>
      <c r="AU66" s="298">
        <v>-23596</v>
      </c>
      <c r="AV66" s="294"/>
      <c r="AW66" s="295">
        <f t="shared" si="11"/>
        <v>0</v>
      </c>
      <c r="AX66" s="294"/>
      <c r="AY66" s="305">
        <f t="shared" si="9"/>
        <v>0</v>
      </c>
      <c r="AZ66" s="294"/>
      <c r="BA66" s="295">
        <f t="shared" si="10"/>
        <v>23596</v>
      </c>
    </row>
    <row r="67" spans="1:53" x14ac:dyDescent="0.2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9">
        <f>SUM(AS45:AS66)</f>
        <v>1.4300000001913986</v>
      </c>
      <c r="AT67" s="294"/>
      <c r="AU67" s="328">
        <f>SUM(AU45:AU66)</f>
        <v>-7623769</v>
      </c>
      <c r="AV67" s="294"/>
      <c r="AW67" s="328">
        <f>SUM(AW45:AW66)</f>
        <v>1.2600000000128375</v>
      </c>
      <c r="AX67" s="294"/>
      <c r="AY67" s="328">
        <f>SUM(AY45:AY66)</f>
        <v>2.6900000002042361</v>
      </c>
      <c r="AZ67" s="294"/>
      <c r="BA67" s="328">
        <f t="shared" si="10"/>
        <v>7290766.3099999996</v>
      </c>
    </row>
    <row r="68" spans="1:53" x14ac:dyDescent="0.2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5"/>
      <c r="AT68" s="294"/>
      <c r="AU68" s="298"/>
      <c r="AV68" s="294"/>
      <c r="AW68" s="295"/>
      <c r="AX68" s="294"/>
      <c r="AY68" s="295"/>
      <c r="AZ68" s="294"/>
      <c r="BA68" s="295"/>
    </row>
    <row r="69" spans="1:53" x14ac:dyDescent="0.2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5"/>
      <c r="AT69" s="294"/>
      <c r="AU69" s="298"/>
      <c r="AV69" s="294"/>
      <c r="AW69" s="295"/>
      <c r="AX69" s="294"/>
      <c r="AY69" s="295"/>
      <c r="AZ69" s="294"/>
      <c r="BA69" s="295"/>
    </row>
    <row r="70" spans="1:53" x14ac:dyDescent="0.2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5">
        <f t="shared" ref="AS70:AS78" si="13">SUM(P70:AR70)</f>
        <v>188285</v>
      </c>
      <c r="AT70" s="294"/>
      <c r="AU70" s="298">
        <f>191106-215657+1585-4405-1</f>
        <v>-27372</v>
      </c>
      <c r="AV70" s="294"/>
      <c r="AW70" s="295">
        <f>+O70-AS70+AU70</f>
        <v>0</v>
      </c>
      <c r="AX70" s="294"/>
      <c r="AY70" s="332">
        <f t="shared" ref="AY70:AY93" si="14">+AW70+AS70</f>
        <v>188285</v>
      </c>
      <c r="AZ70" s="333"/>
      <c r="BA70" s="295">
        <f t="shared" ref="BA70:BA93" si="15">+O70-AY70</f>
        <v>27372</v>
      </c>
    </row>
    <row r="71" spans="1:53" x14ac:dyDescent="0.2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5">
        <f t="shared" si="13"/>
        <v>587072</v>
      </c>
      <c r="AT71" s="294"/>
      <c r="AU71" s="298">
        <f>941599-728097+3994-182896-11700-80000-68967-14958</f>
        <v>-141025</v>
      </c>
      <c r="AV71" s="294"/>
      <c r="AW71" s="295">
        <f t="shared" ref="AW71:AW93" si="16">IF(+O71-AS71+AU71&gt;0,O71-AS71+AU71,0)</f>
        <v>0</v>
      </c>
      <c r="AX71" s="294"/>
      <c r="AY71" s="332">
        <f t="shared" si="14"/>
        <v>587072</v>
      </c>
      <c r="AZ71" s="333"/>
      <c r="BA71" s="295">
        <f t="shared" si="15"/>
        <v>141025</v>
      </c>
    </row>
    <row r="72" spans="1:53" x14ac:dyDescent="0.2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5">
        <f t="shared" si="13"/>
        <v>664284</v>
      </c>
      <c r="AT72" s="294"/>
      <c r="AU72" s="298">
        <f>576387-294193+78026-21233+35797+8524+32773</f>
        <v>416081</v>
      </c>
      <c r="AV72" s="294"/>
      <c r="AW72" s="295">
        <f t="shared" si="16"/>
        <v>0</v>
      </c>
      <c r="AX72" s="294"/>
      <c r="AY72" s="295">
        <f t="shared" si="14"/>
        <v>664284</v>
      </c>
      <c r="AZ72" s="294"/>
      <c r="BA72" s="295">
        <f t="shared" si="15"/>
        <v>-448117</v>
      </c>
    </row>
    <row r="73" spans="1:53" x14ac:dyDescent="0.2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5">
        <f t="shared" si="13"/>
        <v>413241</v>
      </c>
      <c r="AT73" s="294"/>
      <c r="AU73" s="298">
        <f>465834-365324-32814-15423+2234-6829+110</f>
        <v>47788</v>
      </c>
      <c r="AV73" s="294"/>
      <c r="AW73" s="295">
        <f t="shared" si="16"/>
        <v>0</v>
      </c>
      <c r="AX73" s="294"/>
      <c r="AY73" s="305">
        <f t="shared" si="14"/>
        <v>413241</v>
      </c>
      <c r="AZ73" s="294"/>
      <c r="BA73" s="295">
        <f t="shared" si="15"/>
        <v>-47917</v>
      </c>
    </row>
    <row r="74" spans="1:53" x14ac:dyDescent="0.2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5">
        <f t="shared" si="13"/>
        <v>1170056</v>
      </c>
      <c r="AT74" s="294"/>
      <c r="AU74" s="298">
        <f>1156402-1364088+6490-21647+5350+18290-1842</f>
        <v>-201045</v>
      </c>
      <c r="AV74" s="294"/>
      <c r="AW74" s="305">
        <f>IF(+O74-AS74+AU74&gt;0,O74-AS74+AU74,0)</f>
        <v>0</v>
      </c>
      <c r="AX74" s="294"/>
      <c r="AY74" s="295">
        <f t="shared" si="14"/>
        <v>1170056</v>
      </c>
      <c r="AZ74" s="294"/>
      <c r="BA74" s="295">
        <f t="shared" si="15"/>
        <v>194032</v>
      </c>
    </row>
    <row r="75" spans="1:53" x14ac:dyDescent="0.2">
      <c r="A75" s="312"/>
      <c r="B75" s="31" t="s">
        <v>388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5">
        <f t="shared" si="13"/>
        <v>43137</v>
      </c>
      <c r="AT75" s="294"/>
      <c r="AU75" s="298">
        <f>1900+3400-13020-25015</f>
        <v>-32735</v>
      </c>
      <c r="AV75" s="294"/>
      <c r="AW75" s="295">
        <f t="shared" si="16"/>
        <v>0</v>
      </c>
      <c r="AX75" s="294"/>
      <c r="AY75" s="332">
        <f t="shared" si="14"/>
        <v>43137</v>
      </c>
      <c r="AZ75" s="294"/>
      <c r="BA75" s="295">
        <f t="shared" si="15"/>
        <v>32735</v>
      </c>
    </row>
    <row r="76" spans="1:53" x14ac:dyDescent="0.2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5">
        <f t="shared" si="13"/>
        <v>98863</v>
      </c>
      <c r="AT76" s="294"/>
      <c r="AU76" s="298">
        <f>77010-50931-1781+19184+505</f>
        <v>43987</v>
      </c>
      <c r="AV76" s="294"/>
      <c r="AW76" s="295">
        <f t="shared" si="16"/>
        <v>0</v>
      </c>
      <c r="AX76" s="294"/>
      <c r="AY76" s="334">
        <f t="shared" si="14"/>
        <v>98863</v>
      </c>
      <c r="AZ76" s="335"/>
      <c r="BA76" s="295">
        <f t="shared" si="15"/>
        <v>-47932</v>
      </c>
    </row>
    <row r="77" spans="1:53" x14ac:dyDescent="0.2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5">
        <f t="shared" si="13"/>
        <v>48831</v>
      </c>
      <c r="AT77" s="294"/>
      <c r="AU77" s="298">
        <f>48154-19817+102+575</f>
        <v>29014</v>
      </c>
      <c r="AV77" s="294"/>
      <c r="AW77" s="295">
        <f t="shared" si="16"/>
        <v>0</v>
      </c>
      <c r="AX77" s="294"/>
      <c r="AY77" s="332">
        <f t="shared" si="14"/>
        <v>48831</v>
      </c>
      <c r="AZ77" s="294"/>
      <c r="BA77" s="295">
        <f t="shared" si="15"/>
        <v>-29014</v>
      </c>
    </row>
    <row r="78" spans="1:53" x14ac:dyDescent="0.2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5">
        <f t="shared" si="13"/>
        <v>333940</v>
      </c>
      <c r="AT78" s="294"/>
      <c r="AU78" s="298">
        <f>323912-262088+5985+6945-2902</f>
        <v>71852</v>
      </c>
      <c r="AV78" s="294"/>
      <c r="AW78" s="295">
        <f t="shared" si="16"/>
        <v>0</v>
      </c>
      <c r="AX78" s="294"/>
      <c r="AY78" s="332">
        <f t="shared" si="14"/>
        <v>333940</v>
      </c>
      <c r="AZ78" s="294"/>
      <c r="BA78" s="295">
        <f t="shared" si="15"/>
        <v>-71852</v>
      </c>
    </row>
    <row r="79" spans="1:53" x14ac:dyDescent="0.2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5"/>
      <c r="AT79" s="294"/>
      <c r="AU79" s="298">
        <v>0</v>
      </c>
      <c r="AV79" s="294"/>
      <c r="AW79" s="295">
        <f t="shared" si="16"/>
        <v>0</v>
      </c>
      <c r="AX79" s="294"/>
      <c r="AY79" s="332">
        <f t="shared" si="14"/>
        <v>0</v>
      </c>
      <c r="AZ79" s="294"/>
      <c r="BA79" s="295">
        <f t="shared" si="15"/>
        <v>0</v>
      </c>
    </row>
    <row r="80" spans="1:53" x14ac:dyDescent="0.2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5">
        <f>SUM(P80:AR80)</f>
        <v>447473.58</v>
      </c>
      <c r="AT80" s="294"/>
      <c r="AU80" s="298">
        <f>254350-187673+26013+4723+866+940+167365+463-9111+1865</f>
        <v>259801</v>
      </c>
      <c r="AV80" s="294"/>
      <c r="AW80" s="295">
        <f t="shared" si="16"/>
        <v>0.41999999998370185</v>
      </c>
      <c r="AX80" s="294"/>
      <c r="AY80" s="336">
        <f t="shared" si="14"/>
        <v>447474</v>
      </c>
      <c r="AZ80" s="335"/>
      <c r="BA80" s="295">
        <f t="shared" si="15"/>
        <v>-259801</v>
      </c>
    </row>
    <row r="81" spans="1:55" x14ac:dyDescent="0.2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5">
        <f>SUM(P81:AR81)</f>
        <v>0</v>
      </c>
      <c r="AT81" s="294"/>
      <c r="AU81" s="298">
        <f>4500+7000+4000-15500</f>
        <v>0</v>
      </c>
      <c r="AV81" s="294"/>
      <c r="AW81" s="295">
        <f t="shared" si="16"/>
        <v>0</v>
      </c>
      <c r="AX81" s="294"/>
      <c r="AY81" s="332">
        <f t="shared" si="14"/>
        <v>0</v>
      </c>
      <c r="AZ81" s="294"/>
      <c r="BA81" s="295">
        <f t="shared" si="15"/>
        <v>0</v>
      </c>
    </row>
    <row r="82" spans="1:55" x14ac:dyDescent="0.2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5">
        <f>SUM(P82:AR82)</f>
        <v>300460</v>
      </c>
      <c r="AT82" s="294"/>
      <c r="AU82" s="298">
        <f>264308-148167-5008+42719-1700-53</f>
        <v>152099</v>
      </c>
      <c r="AV82" s="294"/>
      <c r="AW82" s="295">
        <f t="shared" si="16"/>
        <v>0</v>
      </c>
      <c r="AX82" s="294"/>
      <c r="AY82" s="332">
        <f t="shared" si="14"/>
        <v>300460</v>
      </c>
      <c r="AZ82" s="294"/>
      <c r="BA82" s="295">
        <f t="shared" si="15"/>
        <v>-152293</v>
      </c>
    </row>
    <row r="83" spans="1:55" x14ac:dyDescent="0.2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5"/>
      <c r="AT83" s="294"/>
      <c r="AU83" s="298">
        <v>0</v>
      </c>
      <c r="AV83" s="294"/>
      <c r="AW83" s="295">
        <f t="shared" si="16"/>
        <v>0</v>
      </c>
      <c r="AX83" s="294"/>
      <c r="AY83" s="332">
        <f t="shared" si="14"/>
        <v>0</v>
      </c>
      <c r="AZ83" s="294"/>
      <c r="BA83" s="295">
        <f t="shared" si="15"/>
        <v>0</v>
      </c>
    </row>
    <row r="84" spans="1:55" x14ac:dyDescent="0.2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5">
        <f t="shared" ref="AS84:AS93" si="17">SUM(P84:AR84)</f>
        <v>2413821.5000000005</v>
      </c>
      <c r="AT84" s="294"/>
      <c r="AU84" s="298">
        <f>538290-516773+79110+19604-3216+7934+468160-20616+250718+85356+4044+165133+38712+16181+1+76+268+965-1375</f>
        <v>1132572</v>
      </c>
      <c r="AV84" s="294"/>
      <c r="AW84" s="305">
        <f>IF(+O84-AS84+AU84&gt;0,O84-AS84+AU84,0)</f>
        <v>0</v>
      </c>
      <c r="AX84" s="294"/>
      <c r="AY84" s="334">
        <f t="shared" si="14"/>
        <v>2413821.5000000005</v>
      </c>
      <c r="AZ84" s="335"/>
      <c r="BA84" s="295">
        <f t="shared" si="15"/>
        <v>-1897048.5000000005</v>
      </c>
    </row>
    <row r="85" spans="1:55" x14ac:dyDescent="0.2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5">
        <f t="shared" si="17"/>
        <v>0</v>
      </c>
      <c r="AT85" s="294"/>
      <c r="AU85" s="298">
        <f>-33473+32000+5496-16186-107399</f>
        <v>-119562</v>
      </c>
      <c r="AV85" s="294"/>
      <c r="AW85" s="295">
        <f t="shared" si="16"/>
        <v>0</v>
      </c>
      <c r="AX85" s="294"/>
      <c r="AY85" s="336">
        <f t="shared" si="14"/>
        <v>0</v>
      </c>
      <c r="AZ85" s="294"/>
      <c r="BA85" s="295">
        <f t="shared" si="15"/>
        <v>119562</v>
      </c>
    </row>
    <row r="86" spans="1:55" x14ac:dyDescent="0.2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5">
        <f t="shared" si="17"/>
        <v>1056708</v>
      </c>
      <c r="AT86" s="294"/>
      <c r="AU86" s="298">
        <f>673192-546363+170783+33483+43023+136227</f>
        <v>510345</v>
      </c>
      <c r="AV86" s="294"/>
      <c r="AW86" s="295">
        <f t="shared" si="16"/>
        <v>0</v>
      </c>
      <c r="AX86" s="294"/>
      <c r="AY86" s="336">
        <f t="shared" si="14"/>
        <v>1056708</v>
      </c>
      <c r="AZ86" s="294"/>
      <c r="BA86" s="295">
        <f t="shared" si="15"/>
        <v>-510345</v>
      </c>
    </row>
    <row r="87" spans="1:55" x14ac:dyDescent="0.2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5">
        <f t="shared" si="17"/>
        <v>415156.16000000003</v>
      </c>
      <c r="AT87" s="294"/>
      <c r="AU87" s="298">
        <f>-5507+57245-3993-21374+71558+198586+44507+19020-20-139275+4440</f>
        <v>225187</v>
      </c>
      <c r="AV87" s="294"/>
      <c r="AW87" s="295">
        <f t="shared" si="16"/>
        <v>0</v>
      </c>
      <c r="AX87" s="294"/>
      <c r="AY87" s="336">
        <f t="shared" si="14"/>
        <v>415156.16000000003</v>
      </c>
      <c r="AZ87" s="335"/>
      <c r="BA87" s="295">
        <f t="shared" si="15"/>
        <v>-225187.16000000003</v>
      </c>
    </row>
    <row r="88" spans="1:55" x14ac:dyDescent="0.2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5">
        <f t="shared" si="17"/>
        <v>327913.2</v>
      </c>
      <c r="AT88" s="294"/>
      <c r="AU88" s="298">
        <f>406493-447894-30809-34000+28995-71075</f>
        <v>-148290</v>
      </c>
      <c r="AV88" s="294"/>
      <c r="AW88" s="295">
        <f t="shared" si="16"/>
        <v>0</v>
      </c>
      <c r="AX88" s="294"/>
      <c r="AY88" s="334">
        <f t="shared" si="14"/>
        <v>327913.2</v>
      </c>
      <c r="AZ88" s="294"/>
      <c r="BA88" s="295">
        <f t="shared" si="15"/>
        <v>119980.79999999999</v>
      </c>
    </row>
    <row r="89" spans="1:55" x14ac:dyDescent="0.2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5">
        <f t="shared" si="17"/>
        <v>263488</v>
      </c>
      <c r="AT89" s="294"/>
      <c r="AU89" s="298">
        <f>167000-40000-23670-8000+7500</f>
        <v>102830</v>
      </c>
      <c r="AV89" s="294"/>
      <c r="AW89" s="295">
        <f t="shared" si="16"/>
        <v>0</v>
      </c>
      <c r="AX89" s="294"/>
      <c r="AY89" s="332">
        <f t="shared" si="14"/>
        <v>263488</v>
      </c>
      <c r="AZ89" s="294"/>
      <c r="BA89" s="295">
        <f t="shared" si="15"/>
        <v>-102830</v>
      </c>
    </row>
    <row r="90" spans="1:55" x14ac:dyDescent="0.2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5">
        <f t="shared" si="17"/>
        <v>3929571.67</v>
      </c>
      <c r="AT90" s="294"/>
      <c r="AU90" s="298">
        <f>180090-184852+3173+455+3696372-100-18</f>
        <v>3695120</v>
      </c>
      <c r="AV90" s="294"/>
      <c r="AW90" s="305">
        <f>IF(+O90-AS90+AU90&gt;0,O90-AS90+AU90,0)</f>
        <v>0</v>
      </c>
      <c r="AX90" s="294"/>
      <c r="AY90" s="336">
        <f t="shared" si="14"/>
        <v>3929571.67</v>
      </c>
      <c r="AZ90" s="335"/>
      <c r="BA90" s="295">
        <f t="shared" si="15"/>
        <v>-3744719.67</v>
      </c>
    </row>
    <row r="91" spans="1:55" x14ac:dyDescent="0.2">
      <c r="A91" s="312"/>
      <c r="B91" s="31" t="s">
        <v>507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5">
        <f t="shared" si="17"/>
        <v>3485114.99</v>
      </c>
      <c r="AT91" s="294"/>
      <c r="AU91" s="298">
        <f>2012139-2065720-92000+54858+42061+123096+971+59988+3081-100000+138344+26421+96919+220536+218621+254036+36841+334365+10000-5000-4089+4089-892+94+20900</f>
        <v>1389659</v>
      </c>
      <c r="AV91" s="294"/>
      <c r="AW91" s="305">
        <f>IF(+O91-AS91+AU91&gt;0,O91-AS91+AU91,0)</f>
        <v>0</v>
      </c>
      <c r="AX91" s="294"/>
      <c r="AY91" s="336">
        <f t="shared" si="14"/>
        <v>3485114.99</v>
      </c>
      <c r="AZ91" s="335"/>
      <c r="BA91" s="295">
        <f t="shared" si="15"/>
        <v>-1419394.9900000002</v>
      </c>
      <c r="BC91" s="157" t="s">
        <v>501</v>
      </c>
    </row>
    <row r="92" spans="1:55" x14ac:dyDescent="0.2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5">
        <f t="shared" si="17"/>
        <v>6379557.8999999994</v>
      </c>
      <c r="AT92" s="294"/>
      <c r="AU92" s="298">
        <f>7742040-7202626-274000+1184+48511-14251-1130849+6922</f>
        <v>-823069</v>
      </c>
      <c r="AV92" s="294"/>
      <c r="AW92" s="295">
        <f t="shared" si="16"/>
        <v>0</v>
      </c>
      <c r="AX92" s="294"/>
      <c r="AY92" s="295">
        <f t="shared" si="14"/>
        <v>6379557.8999999994</v>
      </c>
      <c r="AZ92" s="294"/>
      <c r="BA92" s="295">
        <f t="shared" si="15"/>
        <v>823068.10000000056</v>
      </c>
    </row>
    <row r="93" spans="1:55" x14ac:dyDescent="0.2">
      <c r="A93" s="312"/>
      <c r="B93" s="31" t="s">
        <v>535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5">
        <f t="shared" si="17"/>
        <v>127919.9</v>
      </c>
      <c r="AT93" s="294"/>
      <c r="AU93" s="298">
        <v>0</v>
      </c>
      <c r="AV93" s="294"/>
      <c r="AW93" s="295">
        <f t="shared" si="16"/>
        <v>0</v>
      </c>
      <c r="AX93" s="294"/>
      <c r="AY93" s="295">
        <f t="shared" si="14"/>
        <v>127919.9</v>
      </c>
      <c r="AZ93" s="294"/>
      <c r="BA93" s="295">
        <f t="shared" si="15"/>
        <v>-127919.9</v>
      </c>
    </row>
    <row r="94" spans="1:55" x14ac:dyDescent="0.2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8">SUM(U70:U93)</f>
        <v>1189900</v>
      </c>
      <c r="V94" s="328"/>
      <c r="W94" s="328">
        <f t="shared" si="18"/>
        <v>461116</v>
      </c>
      <c r="X94" s="328"/>
      <c r="Y94" s="328">
        <f t="shared" si="18"/>
        <v>1594323</v>
      </c>
      <c r="Z94" s="328"/>
      <c r="AA94" s="328">
        <f t="shared" si="18"/>
        <v>965743.78</v>
      </c>
      <c r="AB94" s="328"/>
      <c r="AC94" s="328">
        <f t="shared" si="18"/>
        <v>2922488.1100000003</v>
      </c>
      <c r="AD94" s="328"/>
      <c r="AE94" s="328">
        <f t="shared" si="18"/>
        <v>3187609.7299999995</v>
      </c>
      <c r="AF94" s="328"/>
      <c r="AG94" s="328">
        <f t="shared" si="18"/>
        <v>9379773.2799999993</v>
      </c>
      <c r="AH94" s="328"/>
      <c r="AI94" s="328">
        <f t="shared" si="18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9">
        <f>SUM(AS70:AS93)</f>
        <v>22694893.899999999</v>
      </c>
      <c r="AT94" s="294"/>
      <c r="AU94" s="328">
        <f>SUM(AU70:AU93)</f>
        <v>6583237</v>
      </c>
      <c r="AV94" s="294"/>
      <c r="AW94" s="329">
        <f>SUM(AW70:AW93)</f>
        <v>0.41999999998370185</v>
      </c>
      <c r="AX94" s="294"/>
      <c r="AY94" s="329">
        <f>SUM(AY70:AY93)</f>
        <v>22694894.319999997</v>
      </c>
      <c r="AZ94" s="294"/>
      <c r="BA94" s="328">
        <f>SUM(BA70:BA93)</f>
        <v>-7626596.3200000012</v>
      </c>
    </row>
    <row r="95" spans="1:55" x14ac:dyDescent="0.2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5"/>
      <c r="AT95" s="294"/>
      <c r="AU95" s="298"/>
      <c r="AV95" s="294"/>
      <c r="AW95" s="295"/>
      <c r="AX95" s="294"/>
      <c r="AY95" s="295"/>
      <c r="AZ95" s="294"/>
      <c r="BA95" s="295"/>
    </row>
    <row r="96" spans="1:55" x14ac:dyDescent="0.2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5"/>
      <c r="AT96" s="294"/>
      <c r="AU96" s="298"/>
      <c r="AV96" s="294"/>
      <c r="AW96" s="295"/>
      <c r="AX96" s="294"/>
      <c r="AY96" s="295"/>
      <c r="AZ96" s="294"/>
      <c r="BA96" s="295"/>
    </row>
    <row r="97" spans="1:54" x14ac:dyDescent="0.2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/>
      <c r="AR97" s="298"/>
      <c r="AS97" s="295">
        <f>SUM(P97:AR97)</f>
        <v>341146.69</v>
      </c>
      <c r="AT97" s="294"/>
      <c r="AU97" s="298">
        <f>320853-561095+95622-7568-7492-19784-21665-18819-213000</f>
        <v>-432948</v>
      </c>
      <c r="AV97" s="294"/>
      <c r="AW97" s="305">
        <f>IF(+O97-AS97+AU97&gt;0,O97-AS97+AU97,0)+822996</f>
        <v>822996</v>
      </c>
      <c r="AX97" s="294"/>
      <c r="AY97" s="295">
        <f t="shared" ref="AY97:AY106" si="19">+AW97+AS97</f>
        <v>1164142.69</v>
      </c>
      <c r="AZ97" s="294"/>
      <c r="BA97" s="295">
        <f>+O97-AY97</f>
        <v>-603047.68999999994</v>
      </c>
    </row>
    <row r="98" spans="1:54" x14ac:dyDescent="0.2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5">
        <f>SUM(P98:AR98)</f>
        <v>85579</v>
      </c>
      <c r="AT98" s="294"/>
      <c r="AU98" s="298">
        <f>66389-69206+9238+10739+5845+27093-33725</f>
        <v>16373</v>
      </c>
      <c r="AV98" s="294"/>
      <c r="AW98" s="295">
        <f>IF(+O98-AS98+AU98&gt;0,O98-AS98+AU98,0)</f>
        <v>0</v>
      </c>
      <c r="AX98" s="294"/>
      <c r="AY98" s="295">
        <f t="shared" si="19"/>
        <v>85579</v>
      </c>
      <c r="AZ98" s="294"/>
      <c r="BA98" s="295">
        <f>+O98-AY98</f>
        <v>-16373</v>
      </c>
    </row>
    <row r="99" spans="1:54" x14ac:dyDescent="0.2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5">
        <f>SUM(P99:AR99)</f>
        <v>1138990</v>
      </c>
      <c r="AT99" s="294"/>
      <c r="AU99" s="298">
        <f>895158-887183+28245+56579+90195+64738+29700-39923+14298</f>
        <v>251807</v>
      </c>
      <c r="AV99" s="294"/>
      <c r="AW99" s="295">
        <f>IF(+O99-AS99+AU99&gt;0,O99-AS99+AU99,0)</f>
        <v>0</v>
      </c>
      <c r="AX99" s="294"/>
      <c r="AY99" s="295">
        <f t="shared" si="19"/>
        <v>1138990</v>
      </c>
      <c r="AZ99" s="294"/>
      <c r="BA99" s="295">
        <f>+O99-AY99</f>
        <v>-251807</v>
      </c>
    </row>
    <row r="100" spans="1:54" x14ac:dyDescent="0.2">
      <c r="A100" s="112"/>
      <c r="B100" s="31" t="s">
        <v>526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5">
        <f>SUM(P100:AR100)</f>
        <v>5323049</v>
      </c>
      <c r="AT100" s="294"/>
      <c r="AU100" s="298">
        <f>3037385-3827456+361966+68081-76645+99613+294303-172526+32783+20320-6208-986035</f>
        <v>-1154419</v>
      </c>
      <c r="AV100" s="294"/>
      <c r="AW100" s="295">
        <f>IF(+O100-AS100+AU100&gt;0,O100-AS100+AU100,0)</f>
        <v>0</v>
      </c>
      <c r="AX100" s="294"/>
      <c r="AY100" s="295">
        <f t="shared" si="19"/>
        <v>5323049</v>
      </c>
      <c r="AZ100" s="294"/>
      <c r="BA100" s="295">
        <f>+O100-AY100</f>
        <v>1154419</v>
      </c>
    </row>
    <row r="101" spans="1:54" x14ac:dyDescent="0.2">
      <c r="A101" s="112"/>
      <c r="B101" s="31" t="s">
        <v>527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5">
        <f>SUM(P101:AR101)</f>
        <v>2149066</v>
      </c>
      <c r="AT101" s="294"/>
      <c r="AU101" s="298">
        <f>747249-815943+39078-2-20884+794766+399529-11342+9723-42261</f>
        <v>1099913</v>
      </c>
      <c r="AV101" s="294"/>
      <c r="AW101" s="305">
        <f>IF(+O101-AS101+AU101&gt;0,O101-AS101+AU101,0)</f>
        <v>0</v>
      </c>
      <c r="AX101" s="294"/>
      <c r="AY101" s="338">
        <f t="shared" si="19"/>
        <v>2149066</v>
      </c>
      <c r="AZ101" s="335"/>
      <c r="BA101" s="295">
        <f>+O101-AY101</f>
        <v>-1333123</v>
      </c>
    </row>
    <row r="102" spans="1:54" x14ac:dyDescent="0.2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0</v>
      </c>
      <c r="AR102" s="341"/>
      <c r="AS102" s="342">
        <f>SUM(AS97:AS101)</f>
        <v>9037830.6899999995</v>
      </c>
      <c r="AT102" s="294"/>
      <c r="AU102" s="340">
        <f>SUM(AU97:AU101)</f>
        <v>-219274</v>
      </c>
      <c r="AV102" s="294"/>
      <c r="AW102" s="342">
        <f>SUM(AW97:AW101)</f>
        <v>822996</v>
      </c>
      <c r="AX102" s="294"/>
      <c r="AY102" s="327">
        <f>SUM(AY97:AY101)</f>
        <v>9860826.6899999995</v>
      </c>
      <c r="AZ102" s="294"/>
      <c r="BA102" s="340">
        <f>SUM(BA97:BA101)</f>
        <v>-1049931.69</v>
      </c>
    </row>
    <row r="103" spans="1:54" x14ac:dyDescent="0.2">
      <c r="A103" s="385" t="s">
        <v>545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9">
        <v>0</v>
      </c>
      <c r="AT103" s="294"/>
      <c r="AU103" s="355">
        <v>284000</v>
      </c>
      <c r="AV103" s="294"/>
      <c r="AW103" s="355">
        <v>284000</v>
      </c>
      <c r="AX103" s="294"/>
      <c r="AY103" s="299">
        <f t="shared" si="19"/>
        <v>284000</v>
      </c>
      <c r="AZ103" s="294"/>
      <c r="BA103" s="295">
        <f>+O103-AY103</f>
        <v>-284000</v>
      </c>
    </row>
    <row r="104" spans="1:54" x14ac:dyDescent="0.2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/>
      <c r="AR104" s="296"/>
      <c r="AS104" s="295">
        <f>SUM(P104:AR104)</f>
        <v>409775.52000000008</v>
      </c>
      <c r="AT104" s="294"/>
      <c r="AU104" s="296">
        <f>4238</f>
        <v>4238</v>
      </c>
      <c r="AV104" s="294"/>
      <c r="AW104" s="305">
        <f>IF(+O104-AS104+AU104&gt;0,O104-AS104+AU104,0)-320962</f>
        <v>0.47999999992316589</v>
      </c>
      <c r="AX104" s="294"/>
      <c r="AY104" s="295">
        <f t="shared" si="19"/>
        <v>409776</v>
      </c>
      <c r="AZ104" s="294"/>
      <c r="BA104" s="295">
        <f>+O104-AY104</f>
        <v>316724</v>
      </c>
    </row>
    <row r="105" spans="1:54" x14ac:dyDescent="0.2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5"/>
      <c r="AT105" s="294"/>
      <c r="AU105" s="298"/>
      <c r="AV105" s="294"/>
      <c r="AW105" s="295"/>
      <c r="AX105" s="294"/>
      <c r="AY105" s="295"/>
      <c r="AZ105" s="294"/>
      <c r="BA105" s="295"/>
    </row>
    <row r="106" spans="1:54" x14ac:dyDescent="0.2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</f>
        <v>0</v>
      </c>
      <c r="AR106" s="296"/>
      <c r="AS106" s="299">
        <f>AS104+AS102+AS94+AS67</f>
        <v>32142501.539999999</v>
      </c>
      <c r="AT106" s="294"/>
      <c r="AU106" s="296">
        <f>AU104+AU102+AU94+AU67</f>
        <v>-1255568</v>
      </c>
      <c r="AV106" s="294"/>
      <c r="AW106" s="299">
        <f>AW104+AW102+AW94+AW67+AW103</f>
        <v>1106998.1599999999</v>
      </c>
      <c r="AX106" s="294"/>
      <c r="AY106" s="299">
        <f t="shared" si="19"/>
        <v>33249499.699999999</v>
      </c>
      <c r="AZ106" s="294"/>
      <c r="BA106" s="296">
        <f>+O106-AY106</f>
        <v>-1353037.6999999993</v>
      </c>
    </row>
    <row r="107" spans="1:54" x14ac:dyDescent="0.2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9"/>
      <c r="AT107" s="294"/>
      <c r="AU107" s="296"/>
      <c r="AV107" s="294"/>
      <c r="AW107" s="299"/>
      <c r="AX107" s="294"/>
      <c r="AY107" s="299"/>
      <c r="AZ107" s="294"/>
      <c r="BA107" s="299"/>
    </row>
    <row r="108" spans="1:54" x14ac:dyDescent="0.2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9"/>
      <c r="AT108" s="294"/>
      <c r="AU108" s="296"/>
      <c r="AV108" s="294"/>
      <c r="AW108" s="299"/>
      <c r="AX108" s="294"/>
      <c r="AY108" s="299"/>
      <c r="AZ108" s="294"/>
      <c r="BA108" s="299"/>
    </row>
    <row r="109" spans="1:54" x14ac:dyDescent="0.2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329838.57</v>
      </c>
      <c r="AP109" s="348"/>
      <c r="AQ109" s="348">
        <f>AQ106+AQ41+AQ33</f>
        <v>7051.9</v>
      </c>
      <c r="AR109" s="348"/>
      <c r="AS109" s="347">
        <f>AS106+AS41+AS33</f>
        <v>112875358.78</v>
      </c>
      <c r="AT109" s="347"/>
      <c r="AU109" s="348">
        <f>AU106+AU41+AU33</f>
        <v>437937</v>
      </c>
      <c r="AV109" s="347"/>
      <c r="AW109" s="347">
        <f>AW106+AW41</f>
        <v>1108517.54</v>
      </c>
      <c r="AX109" s="346"/>
      <c r="AY109" s="347">
        <f t="shared" ref="AY109:AY132" si="20">+AW109+AS109</f>
        <v>113983876.32000001</v>
      </c>
      <c r="AZ109" s="346"/>
      <c r="BA109" s="348">
        <f>+O109-AY109</f>
        <v>-2073811.3200000077</v>
      </c>
      <c r="BB109" s="23"/>
    </row>
    <row r="110" spans="1:54" s="27" customFormat="1" x14ac:dyDescent="0.2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52"/>
      <c r="AT110" s="294"/>
      <c r="AU110" s="339"/>
      <c r="AV110" s="294"/>
      <c r="AW110" s="352"/>
      <c r="AX110" s="351"/>
      <c r="AY110" s="352"/>
      <c r="AZ110" s="351"/>
      <c r="BA110" s="352"/>
    </row>
    <row r="111" spans="1:54" s="27" customFormat="1" x14ac:dyDescent="0.2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v>74417</v>
      </c>
      <c r="AB111" s="323"/>
      <c r="AC111" s="339">
        <v>173681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295">
        <f>SUM(P111:AR111)</f>
        <v>698289.4</v>
      </c>
      <c r="AT111" s="294"/>
      <c r="AU111" s="339">
        <f>706219-659539+83333.33-99897-1</f>
        <v>30115.33</v>
      </c>
      <c r="AV111" s="294"/>
      <c r="AW111" s="295">
        <f>IF(+O111-AS111+AU111&gt;0,O111-AS111+AU111,0)</f>
        <v>0</v>
      </c>
      <c r="AX111" s="351"/>
      <c r="AY111" s="352">
        <f t="shared" si="20"/>
        <v>698289.4</v>
      </c>
      <c r="AZ111" s="351"/>
      <c r="BA111" s="352">
        <f>+O111-AY111</f>
        <v>-38750.400000000023</v>
      </c>
    </row>
    <row r="112" spans="1:54" s="27" customFormat="1" x14ac:dyDescent="0.2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295">
        <f>SUM(P112:AR112)</f>
        <v>0</v>
      </c>
      <c r="AT112" s="294"/>
      <c r="AU112" s="339">
        <v>-25000</v>
      </c>
      <c r="AV112" s="294"/>
      <c r="AW112" s="295">
        <f>IF(+O112-AS112+AU112&gt;0,O112-AS112+AU112,0)</f>
        <v>0</v>
      </c>
      <c r="AX112" s="351"/>
      <c r="AY112" s="295">
        <f t="shared" si="20"/>
        <v>0</v>
      </c>
      <c r="AZ112" s="351"/>
      <c r="BA112" s="352">
        <f>+O112-AY112</f>
        <v>25000</v>
      </c>
    </row>
    <row r="113" spans="1:55" s="27" customFormat="1" x14ac:dyDescent="0.2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74417</v>
      </c>
      <c r="AB113" s="323"/>
      <c r="AC113" s="342">
        <f>SUM(AC111:AC112)</f>
        <v>173681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698289.4</v>
      </c>
      <c r="AT113" s="294"/>
      <c r="AU113" s="342">
        <f>SUM(AU111:AU112)</f>
        <v>5115.3300000000017</v>
      </c>
      <c r="AV113" s="294"/>
      <c r="AW113" s="342">
        <f>SUM(AW111:AW112)</f>
        <v>0</v>
      </c>
      <c r="AX113" s="351"/>
      <c r="AY113" s="342">
        <f>SUM(AY111:AY112)</f>
        <v>698289.4</v>
      </c>
      <c r="AZ113" s="351"/>
      <c r="BA113" s="342">
        <f>SUM(BA111:BA112)</f>
        <v>-13750.400000000023</v>
      </c>
    </row>
    <row r="114" spans="1:55" s="27" customFormat="1" x14ac:dyDescent="0.2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52"/>
      <c r="AT114" s="294"/>
      <c r="AU114" s="339"/>
      <c r="AV114" s="294"/>
      <c r="AW114" s="352"/>
      <c r="AX114" s="351"/>
      <c r="AY114" s="352"/>
      <c r="AZ114" s="351"/>
      <c r="BA114" s="352"/>
    </row>
    <row r="115" spans="1:55" s="27" customFormat="1" x14ac:dyDescent="0.2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295">
        <f>SUM(P115:AR115)</f>
        <v>1317746.81</v>
      </c>
      <c r="AT115" s="294"/>
      <c r="AU115" s="339"/>
      <c r="AV115" s="294"/>
      <c r="AW115" s="295">
        <f>IF(+O115-AS115+AU115&gt;0,O115-AS115+AU115,0)</f>
        <v>0</v>
      </c>
      <c r="AX115" s="351"/>
      <c r="AY115" s="299">
        <f t="shared" si="20"/>
        <v>1317746.81</v>
      </c>
      <c r="AZ115" s="351"/>
      <c r="BA115" s="295">
        <f>+O115-AY115</f>
        <v>-497626.81000000006</v>
      </c>
    </row>
    <row r="116" spans="1:55" x14ac:dyDescent="0.2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5"/>
      <c r="AT116" s="294"/>
      <c r="AU116" s="298"/>
      <c r="AV116" s="294"/>
      <c r="AW116" s="295"/>
      <c r="AX116" s="294"/>
      <c r="AY116" s="295"/>
      <c r="AZ116" s="294"/>
      <c r="BA116" s="295"/>
    </row>
    <row r="117" spans="1:55" x14ac:dyDescent="0.2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5">
        <f>SUM(P117:AR117)</f>
        <v>450240.33</v>
      </c>
      <c r="AT117" s="294"/>
      <c r="AU117" s="298"/>
      <c r="AV117" s="294"/>
      <c r="AW117" s="295">
        <f>IF(+O117-AS117+AU117&gt;0,O117-AS117+AU117,0)</f>
        <v>0</v>
      </c>
      <c r="AX117" s="294"/>
      <c r="AY117" s="295">
        <f t="shared" si="20"/>
        <v>450240.33</v>
      </c>
      <c r="AZ117" s="294"/>
      <c r="BA117" s="295">
        <f>+O117-AY117</f>
        <v>-3333.3300000000163</v>
      </c>
      <c r="BC117" s="6" t="s">
        <v>174</v>
      </c>
    </row>
    <row r="118" spans="1:55" x14ac:dyDescent="0.2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5">
        <f>SUM(P118:AR118)</f>
        <v>7700</v>
      </c>
      <c r="AT118" s="294"/>
      <c r="AU118" s="298"/>
      <c r="AV118" s="294"/>
      <c r="AW118" s="295">
        <f>IF(+O118-AS118+AU118&gt;0,O118-AS118+AU118,0)</f>
        <v>0</v>
      </c>
      <c r="AX118" s="294"/>
      <c r="AY118" s="295">
        <f t="shared" si="20"/>
        <v>7700</v>
      </c>
      <c r="AZ118" s="294"/>
      <c r="BA118" s="295">
        <f>+O118-AY118</f>
        <v>0</v>
      </c>
    </row>
    <row r="119" spans="1:55" x14ac:dyDescent="0.2">
      <c r="A119" s="112"/>
      <c r="B119" s="322" t="s">
        <v>331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5">
        <f>SUM(P119:AR119)</f>
        <v>3500</v>
      </c>
      <c r="AT119" s="294"/>
      <c r="AU119" s="298"/>
      <c r="AV119" s="294"/>
      <c r="AW119" s="295">
        <f>IF(+O119-AS119+AU119&gt;0,O119-AS119+AU119,0)</f>
        <v>0</v>
      </c>
      <c r="AX119" s="294"/>
      <c r="AY119" s="295">
        <f t="shared" si="20"/>
        <v>3500</v>
      </c>
      <c r="AZ119" s="294"/>
      <c r="BA119" s="295">
        <f>+O119-AY119</f>
        <v>-3500</v>
      </c>
    </row>
    <row r="120" spans="1:55" x14ac:dyDescent="0.2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461440.33</v>
      </c>
      <c r="AT120" s="294"/>
      <c r="AU120" s="329">
        <f>SUM(AU117:AU119)</f>
        <v>0</v>
      </c>
      <c r="AV120" s="294"/>
      <c r="AW120" s="329">
        <f>SUM(AW117:AW119)</f>
        <v>0</v>
      </c>
      <c r="AX120" s="294"/>
      <c r="AY120" s="329">
        <f>SUM(AY117:AY119)</f>
        <v>461440.33</v>
      </c>
      <c r="AZ120" s="294"/>
      <c r="BA120" s="329">
        <f>SUM(BA117:BA119)</f>
        <v>-6833.3300000000163</v>
      </c>
    </row>
    <row r="121" spans="1:55" x14ac:dyDescent="0.2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5"/>
      <c r="AT121" s="294"/>
      <c r="AU121" s="298"/>
      <c r="AV121" s="294"/>
      <c r="AW121" s="295"/>
      <c r="AX121" s="294"/>
      <c r="AY121" s="295"/>
      <c r="AZ121" s="294"/>
      <c r="BA121" s="295"/>
    </row>
    <row r="122" spans="1:55" x14ac:dyDescent="0.2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5"/>
      <c r="AT122" s="294"/>
      <c r="AU122" s="298"/>
      <c r="AV122" s="294"/>
      <c r="AW122" s="295"/>
      <c r="AX122" s="294"/>
      <c r="AY122" s="295">
        <f t="shared" si="20"/>
        <v>0</v>
      </c>
      <c r="AZ122" s="294"/>
      <c r="BA122" s="295"/>
    </row>
    <row r="123" spans="1:55" x14ac:dyDescent="0.2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5">
        <f t="shared" ref="AS123:AS129" si="21">SUM(P123:AR123)</f>
        <v>294330.18</v>
      </c>
      <c r="AT123" s="294"/>
      <c r="AU123" s="298"/>
      <c r="AV123" s="294"/>
      <c r="AW123" s="295"/>
      <c r="AX123" s="294"/>
      <c r="AY123" s="295">
        <f t="shared" si="20"/>
        <v>294330.18</v>
      </c>
      <c r="AZ123" s="294"/>
      <c r="BA123" s="295">
        <f t="shared" ref="BA123:BA129" si="22">+O123-AY123</f>
        <v>-294330.18</v>
      </c>
    </row>
    <row r="124" spans="1:55" x14ac:dyDescent="0.2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5">
        <f t="shared" si="21"/>
        <v>2100</v>
      </c>
      <c r="AT124" s="294"/>
      <c r="AU124" s="298"/>
      <c r="AV124" s="294"/>
      <c r="AW124" s="295"/>
      <c r="AX124" s="294"/>
      <c r="AY124" s="295">
        <f t="shared" si="20"/>
        <v>2100</v>
      </c>
      <c r="AZ124" s="294"/>
      <c r="BA124" s="295">
        <f t="shared" si="22"/>
        <v>-2100</v>
      </c>
    </row>
    <row r="125" spans="1:55" x14ac:dyDescent="0.2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5">
        <f t="shared" si="21"/>
        <v>4200</v>
      </c>
      <c r="AT125" s="294"/>
      <c r="AU125" s="298"/>
      <c r="AV125" s="294"/>
      <c r="AW125" s="295"/>
      <c r="AX125" s="294"/>
      <c r="AY125" s="295">
        <f t="shared" si="20"/>
        <v>4200</v>
      </c>
      <c r="AZ125" s="294"/>
      <c r="BA125" s="295">
        <f t="shared" si="22"/>
        <v>-4200</v>
      </c>
    </row>
    <row r="126" spans="1:55" x14ac:dyDescent="0.2">
      <c r="A126" s="112"/>
      <c r="B126" s="322" t="s">
        <v>326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5">
        <f t="shared" si="21"/>
        <v>41000</v>
      </c>
      <c r="AT126" s="294"/>
      <c r="AU126" s="298"/>
      <c r="AV126" s="294"/>
      <c r="AW126" s="295"/>
      <c r="AX126" s="294"/>
      <c r="AY126" s="295">
        <f t="shared" si="20"/>
        <v>41000</v>
      </c>
      <c r="AZ126" s="294"/>
      <c r="BA126" s="295">
        <f t="shared" si="22"/>
        <v>-41000</v>
      </c>
    </row>
    <row r="127" spans="1:55" x14ac:dyDescent="0.2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5">
        <f t="shared" si="21"/>
        <v>398</v>
      </c>
      <c r="AT127" s="294"/>
      <c r="AU127" s="298"/>
      <c r="AV127" s="294"/>
      <c r="AW127" s="295"/>
      <c r="AX127" s="294"/>
      <c r="AY127" s="295">
        <f t="shared" si="20"/>
        <v>398</v>
      </c>
      <c r="AZ127" s="294"/>
      <c r="BA127" s="295">
        <f t="shared" si="22"/>
        <v>-398</v>
      </c>
    </row>
    <row r="128" spans="1:55" x14ac:dyDescent="0.2">
      <c r="A128" s="312"/>
      <c r="B128" s="31" t="s">
        <v>491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5">
        <f t="shared" si="21"/>
        <v>485983</v>
      </c>
      <c r="AT128" s="294"/>
      <c r="AU128" s="298"/>
      <c r="AV128" s="294"/>
      <c r="AW128" s="295"/>
      <c r="AX128" s="294"/>
      <c r="AY128" s="295">
        <f t="shared" si="20"/>
        <v>485983</v>
      </c>
      <c r="AZ128" s="294"/>
      <c r="BA128" s="295">
        <f t="shared" si="22"/>
        <v>-485983</v>
      </c>
    </row>
    <row r="129" spans="1:53" x14ac:dyDescent="0.2">
      <c r="A129" s="312"/>
      <c r="B129" s="31" t="s">
        <v>544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5">
        <f t="shared" si="21"/>
        <v>37358.1</v>
      </c>
      <c r="AT129" s="294"/>
      <c r="AU129" s="296"/>
      <c r="AV129" s="294"/>
      <c r="AW129" s="299"/>
      <c r="AX129" s="294"/>
      <c r="AY129" s="295">
        <f t="shared" si="20"/>
        <v>37358.1</v>
      </c>
      <c r="AZ129" s="294"/>
      <c r="BA129" s="295">
        <f t="shared" si="22"/>
        <v>229641.9</v>
      </c>
    </row>
    <row r="130" spans="1:53" s="8" customFormat="1" x14ac:dyDescent="0.2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865369.27999999991</v>
      </c>
      <c r="AT130" s="295"/>
      <c r="AU130" s="329">
        <f>SUM(AU122:AU129)</f>
        <v>0</v>
      </c>
      <c r="AV130" s="295"/>
      <c r="AW130" s="329">
        <f>SUM(AW122:AW129)</f>
        <v>0</v>
      </c>
      <c r="AX130" s="295"/>
      <c r="AY130" s="329">
        <f>SUM(AY122:AY129)</f>
        <v>865369.27999999991</v>
      </c>
      <c r="AZ130" s="295"/>
      <c r="BA130" s="329">
        <f>SUM(BA122:BA129)</f>
        <v>-598369.27999999991</v>
      </c>
    </row>
    <row r="131" spans="1:53" x14ac:dyDescent="0.2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5"/>
      <c r="AT131" s="294"/>
      <c r="AU131" s="298"/>
      <c r="AV131" s="294"/>
      <c r="AW131" s="295"/>
      <c r="AX131" s="294"/>
      <c r="AY131" s="295"/>
      <c r="AZ131" s="294"/>
      <c r="BA131" s="295"/>
    </row>
    <row r="132" spans="1:53" x14ac:dyDescent="0.2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5">
        <f>SUM(P132:AR132)</f>
        <v>0</v>
      </c>
      <c r="AT132" s="294"/>
      <c r="AU132" s="298"/>
      <c r="AV132" s="294"/>
      <c r="AW132" s="295">
        <f>IF(+O132-AS132+AU132&gt;0,O132-AS132+AU132,0)</f>
        <v>0</v>
      </c>
      <c r="AX132" s="294"/>
      <c r="AY132" s="295">
        <f t="shared" si="20"/>
        <v>0</v>
      </c>
      <c r="AZ132" s="294"/>
      <c r="BA132" s="295">
        <f>+O132-AY132</f>
        <v>0</v>
      </c>
    </row>
    <row r="133" spans="1:53" x14ac:dyDescent="0.2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5"/>
      <c r="AT133" s="294"/>
      <c r="AU133" s="298"/>
      <c r="AV133" s="294"/>
      <c r="AW133" s="295"/>
      <c r="AX133" s="294"/>
      <c r="AY133" s="295"/>
      <c r="AZ133" s="294"/>
      <c r="BA133" s="295"/>
    </row>
    <row r="134" spans="1:53" x14ac:dyDescent="0.2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5"/>
      <c r="AT134" s="294"/>
      <c r="AU134" s="298"/>
      <c r="AV134" s="294"/>
      <c r="AW134" s="295"/>
      <c r="AX134" s="294"/>
      <c r="AY134" s="295"/>
      <c r="AZ134" s="294"/>
      <c r="BA134" s="295"/>
    </row>
    <row r="135" spans="1:53" x14ac:dyDescent="0.2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5">
        <f>SUM(P135:AR135)</f>
        <v>1544815.13</v>
      </c>
      <c r="AT135" s="294"/>
      <c r="AU135" s="298"/>
      <c r="AV135" s="294"/>
      <c r="AW135" s="295">
        <f>IF(+O135-AS135+AU135&gt;0,O135-AS135+AU135,0)</f>
        <v>0</v>
      </c>
      <c r="AX135" s="294"/>
      <c r="AY135" s="295">
        <f t="shared" ref="AY135:AY161" si="23">+AW135+AS135</f>
        <v>1544815.13</v>
      </c>
      <c r="AZ135" s="294"/>
      <c r="BA135" s="295">
        <f>+O135-AY135</f>
        <v>-998.12999999988824</v>
      </c>
    </row>
    <row r="136" spans="1:53" x14ac:dyDescent="0.2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295">
        <f>SUM(P136:AR136)</f>
        <v>195116.42</v>
      </c>
      <c r="AT136" s="294"/>
      <c r="AU136" s="298"/>
      <c r="AV136" s="294"/>
      <c r="AW136" s="295">
        <f>IF(+O136-AS136+AU136&gt;0,O136-AS136+AU136,0)</f>
        <v>138348.052</v>
      </c>
      <c r="AX136" s="294"/>
      <c r="AY136" s="295">
        <f t="shared" si="23"/>
        <v>333464.47200000001</v>
      </c>
      <c r="AZ136" s="294"/>
      <c r="BA136" s="295">
        <f>+O136-AY136</f>
        <v>0</v>
      </c>
    </row>
    <row r="137" spans="1:53" x14ac:dyDescent="0.2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5">
        <f>SUM(P137:AR137)</f>
        <v>11826.01</v>
      </c>
      <c r="AT137" s="294"/>
      <c r="AU137" s="298"/>
      <c r="AV137" s="294"/>
      <c r="AW137" s="295">
        <f>IF(+O137-AS137+AU137&gt;0,O137-AS137+AU137,0)</f>
        <v>23325.989999999998</v>
      </c>
      <c r="AX137" s="294"/>
      <c r="AY137" s="295">
        <f t="shared" si="23"/>
        <v>35152</v>
      </c>
      <c r="AZ137" s="294"/>
      <c r="BA137" s="295">
        <f>+O137-AY137</f>
        <v>0</v>
      </c>
    </row>
    <row r="138" spans="1:53" x14ac:dyDescent="0.2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5">
        <f>SUM(P138:AR138)</f>
        <v>59057.41</v>
      </c>
      <c r="AT138" s="294"/>
      <c r="AU138" s="298"/>
      <c r="AV138" s="294"/>
      <c r="AW138" s="295">
        <f>IF(+O138-AS138+AU138&gt;0,O138-AS138+AU138,0)</f>
        <v>0</v>
      </c>
      <c r="AX138" s="294"/>
      <c r="AY138" s="295">
        <f t="shared" si="23"/>
        <v>59057.41</v>
      </c>
      <c r="AZ138" s="294"/>
      <c r="BA138" s="295">
        <f>+O138-AY138</f>
        <v>-3137.4100000000035</v>
      </c>
    </row>
    <row r="139" spans="1:53" x14ac:dyDescent="0.2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1810814.9699999997</v>
      </c>
      <c r="AT139" s="294"/>
      <c r="AU139" s="329">
        <f>SUM(AU135:AU138)</f>
        <v>0</v>
      </c>
      <c r="AV139" s="294"/>
      <c r="AW139" s="329">
        <f>SUM(AW135:AW138)</f>
        <v>161674.04199999999</v>
      </c>
      <c r="AX139" s="294"/>
      <c r="AY139" s="329">
        <f>SUM(AY135:AY138)</f>
        <v>1972489.0119999999</v>
      </c>
      <c r="AZ139" s="294"/>
      <c r="BA139" s="329">
        <f>SUM(BA135:BA138)</f>
        <v>-4135.5399999998917</v>
      </c>
    </row>
    <row r="140" spans="1:53" x14ac:dyDescent="0.2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5"/>
      <c r="AT140" s="294"/>
      <c r="AU140" s="298"/>
      <c r="AV140" s="294"/>
      <c r="AW140" s="295"/>
      <c r="AX140" s="294"/>
      <c r="AY140" s="295"/>
      <c r="AZ140" s="294"/>
      <c r="BA140" s="295"/>
    </row>
    <row r="141" spans="1:53" x14ac:dyDescent="0.2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5">
        <f>SUM(P141:AR141)</f>
        <v>33265.090000000004</v>
      </c>
      <c r="AT141" s="294"/>
      <c r="AU141" s="298"/>
      <c r="AV141" s="294"/>
      <c r="AW141" s="295">
        <f>IF(+O141-AS141+AU141&gt;0,O141-AS141+AU141,0)</f>
        <v>192683.91</v>
      </c>
      <c r="AX141" s="294"/>
      <c r="AY141" s="295">
        <f t="shared" si="23"/>
        <v>225949</v>
      </c>
      <c r="AZ141" s="294"/>
      <c r="BA141" s="295">
        <f>+O141-AY141</f>
        <v>0</v>
      </c>
    </row>
    <row r="142" spans="1:53" x14ac:dyDescent="0.2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5"/>
      <c r="AT142" s="294"/>
      <c r="AU142" s="298"/>
      <c r="AV142" s="294"/>
      <c r="AW142" s="295"/>
      <c r="AX142" s="294"/>
      <c r="AY142" s="295"/>
      <c r="AZ142" s="294"/>
      <c r="BA142" s="295"/>
    </row>
    <row r="143" spans="1:53" x14ac:dyDescent="0.2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5">
        <f>SUM(P143:AR143)</f>
        <v>154347</v>
      </c>
      <c r="AT143" s="294"/>
      <c r="AU143" s="298">
        <v>4386</v>
      </c>
      <c r="AV143" s="294"/>
      <c r="AW143" s="295">
        <f>IF(+O143-AS143+AU143&gt;0,O143-AS143+AU143,0)</f>
        <v>10001</v>
      </c>
      <c r="AX143" s="294"/>
      <c r="AY143" s="295">
        <f t="shared" si="23"/>
        <v>164348</v>
      </c>
      <c r="AZ143" s="294"/>
      <c r="BA143" s="295">
        <f>+O143-AY143</f>
        <v>-4386</v>
      </c>
    </row>
    <row r="144" spans="1:53" x14ac:dyDescent="0.2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5"/>
      <c r="AT144" s="294"/>
      <c r="AU144" s="298"/>
      <c r="AV144" s="294"/>
      <c r="AW144" s="295"/>
      <c r="AX144" s="294"/>
      <c r="AY144" s="295"/>
      <c r="AZ144" s="294"/>
      <c r="BA144" s="295"/>
    </row>
    <row r="145" spans="1:55" x14ac:dyDescent="0.2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5">
        <f>SUM(P145:AR145)</f>
        <v>35060.42</v>
      </c>
      <c r="AT145" s="294"/>
      <c r="AU145" s="298">
        <v>-20000</v>
      </c>
      <c r="AV145" s="294"/>
      <c r="AW145" s="295">
        <v>0</v>
      </c>
      <c r="AX145" s="294"/>
      <c r="AY145" s="295">
        <f t="shared" si="23"/>
        <v>35060.42</v>
      </c>
      <c r="AZ145" s="294"/>
      <c r="BA145" s="295">
        <f>+O145-AY145</f>
        <v>78272.58</v>
      </c>
    </row>
    <row r="146" spans="1:55" x14ac:dyDescent="0.2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5"/>
      <c r="AT146" s="294"/>
      <c r="AU146" s="298"/>
      <c r="AV146" s="294"/>
      <c r="AW146" s="295"/>
      <c r="AX146" s="294"/>
      <c r="AY146" s="295"/>
      <c r="AZ146" s="294"/>
      <c r="BA146" s="295"/>
    </row>
    <row r="147" spans="1:55" x14ac:dyDescent="0.2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295">
        <f>SUM(P147:AR147)</f>
        <v>4408046.37</v>
      </c>
      <c r="AT147" s="294"/>
      <c r="AU147" s="308">
        <v>0</v>
      </c>
      <c r="AV147" s="294"/>
      <c r="AW147" s="295">
        <f>IF(+O147-AS147+AU147&gt;0,O147-AS147+AU147,0)</f>
        <v>0.62999999988824129</v>
      </c>
      <c r="AX147" s="294"/>
      <c r="AY147" s="295">
        <f t="shared" si="23"/>
        <v>4408047</v>
      </c>
      <c r="AZ147" s="294"/>
      <c r="BA147" s="295">
        <f>+O147-AY147</f>
        <v>0</v>
      </c>
    </row>
    <row r="148" spans="1:55" x14ac:dyDescent="0.2">
      <c r="A148" s="112"/>
      <c r="B148" s="322" t="s">
        <v>486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295">
        <f>SUM(P148:AR148)</f>
        <v>-123964</v>
      </c>
      <c r="AT148" s="294"/>
      <c r="AU148" s="308"/>
      <c r="AV148" s="294"/>
      <c r="AW148" s="295">
        <v>0</v>
      </c>
      <c r="AX148" s="294"/>
      <c r="AY148" s="295">
        <f t="shared" si="23"/>
        <v>-123964</v>
      </c>
      <c r="AZ148" s="294"/>
      <c r="BA148" s="295">
        <f>+O148-AY148</f>
        <v>-1725</v>
      </c>
    </row>
    <row r="149" spans="1:55" x14ac:dyDescent="0.2">
      <c r="A149" s="112" t="s">
        <v>484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295">
        <f>SUM(P149:AR149)</f>
        <v>23205.300000000003</v>
      </c>
      <c r="AT149" s="294"/>
      <c r="AU149" s="308"/>
      <c r="AV149" s="294"/>
      <c r="AW149" s="295">
        <f>IF(+O149-AS149+AU149&gt;0,O149-AS149+AU149,0)</f>
        <v>0</v>
      </c>
      <c r="AX149" s="294"/>
      <c r="AY149" s="295">
        <f>+AW149+AS149</f>
        <v>23205.300000000003</v>
      </c>
      <c r="AZ149" s="294"/>
      <c r="BA149" s="295">
        <f>+O149-AY149</f>
        <v>-19325.300000000003</v>
      </c>
    </row>
    <row r="150" spans="1:55" x14ac:dyDescent="0.2">
      <c r="A150" s="112" t="s">
        <v>485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295">
        <f>SUM(P150:AR150)</f>
        <v>-15667.939999999999</v>
      </c>
      <c r="AT150" s="294"/>
      <c r="AU150" s="308">
        <v>0</v>
      </c>
      <c r="AV150" s="294"/>
      <c r="AW150" s="295">
        <f>IF(+O150-AS150+AU150&gt;0,O150-AS150+AU150,0)</f>
        <v>0</v>
      </c>
      <c r="AX150" s="294"/>
      <c r="AY150" s="295">
        <f>+AW150+AS150</f>
        <v>-15667.939999999999</v>
      </c>
      <c r="AZ150" s="294"/>
      <c r="BA150" s="295">
        <f>+O150-AY150</f>
        <v>-6.0000000001309672E-2</v>
      </c>
    </row>
    <row r="151" spans="1:55" x14ac:dyDescent="0.2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295"/>
      <c r="AT151" s="294"/>
      <c r="AU151" s="308"/>
      <c r="AV151" s="294"/>
      <c r="AW151" s="295"/>
      <c r="AX151" s="294"/>
      <c r="AY151" s="295"/>
      <c r="AZ151" s="294"/>
      <c r="BA151" s="295"/>
    </row>
    <row r="152" spans="1:55" x14ac:dyDescent="0.2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4248614.21</v>
      </c>
      <c r="AB152" s="329">
        <f>SUM(AB111:AB150)+AB109-AB139-AB130-AB120-AB113</f>
        <v>0</v>
      </c>
      <c r="AC152" s="329">
        <f>SUM(AC111:AC150)+AC109-AC139-AC130-AC120-AC113</f>
        <v>6347897.3200000003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464218.35999999993</v>
      </c>
      <c r="AP152" s="313"/>
      <c r="AQ152" s="329">
        <f>SUM(AQ111:AQ150)+AQ109-AQ139-AQ130-AQ120-AQ113</f>
        <v>22647.13</v>
      </c>
      <c r="AR152" s="314"/>
      <c r="AS152" s="329">
        <f>SUM(AS111:AS150)+AS109-AS139-AS130-AS120-AS113</f>
        <v>122543311.81</v>
      </c>
      <c r="AT152" s="294"/>
      <c r="AU152" s="329">
        <f>SUM(AU111:AU147)+AU109-AU139-AU130-AU120-AU113</f>
        <v>427438.33</v>
      </c>
      <c r="AV152" s="294"/>
      <c r="AW152" s="329">
        <f>SUM(AW111:AW150)+AW109-AW139-AW130-AW120-AW113</f>
        <v>1472877.122</v>
      </c>
      <c r="AX152" s="294"/>
      <c r="AY152" s="329">
        <f>SUM(AY111:AY150)+AY109-AY139-AY130-AY120-AY113</f>
        <v>124016188.93200001</v>
      </c>
      <c r="AZ152" s="294"/>
      <c r="BA152" s="329">
        <f>SUM(BA111:BA150)+BA109-BA139-BA130-BA120-BA113</f>
        <v>-3141690.4600000074</v>
      </c>
    </row>
    <row r="153" spans="1:55" x14ac:dyDescent="0.2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9"/>
      <c r="AT153" s="294"/>
      <c r="AU153" s="296"/>
      <c r="AV153" s="294"/>
      <c r="AW153" s="299"/>
      <c r="AX153" s="294"/>
      <c r="AY153" s="299"/>
      <c r="AZ153" s="294"/>
      <c r="BA153" s="299"/>
    </row>
    <row r="154" spans="1:55" x14ac:dyDescent="0.2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/>
      <c r="AR154" s="296"/>
      <c r="AS154" s="295">
        <f>SUM(P154:AR154)</f>
        <v>839583.34</v>
      </c>
      <c r="AT154" s="294"/>
      <c r="AU154" s="296">
        <v>-243750</v>
      </c>
      <c r="AV154" s="294"/>
      <c r="AW154" s="295">
        <f>IF(+O154-AS154+AU154&gt;0,O154-AS154+AU154,0)</f>
        <v>0</v>
      </c>
      <c r="AX154" s="294"/>
      <c r="AY154" s="295">
        <f t="shared" si="23"/>
        <v>839583.34</v>
      </c>
      <c r="AZ154" s="294"/>
      <c r="BA154" s="295">
        <f t="shared" ref="BA154:BA159" si="24">+O154-AY154</f>
        <v>160416.66000000003</v>
      </c>
    </row>
    <row r="155" spans="1:55" x14ac:dyDescent="0.2">
      <c r="A155" s="112"/>
      <c r="B155" s="322" t="s">
        <v>332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5">
        <f>SUM(P155:AR155)</f>
        <v>55979.166666666664</v>
      </c>
      <c r="AT155" s="294"/>
      <c r="AU155" s="298"/>
      <c r="AV155" s="294"/>
      <c r="AW155" s="295">
        <f>IF(+O155-AS155+AU155&gt;0,O155-AS155+AU155,0)</f>
        <v>0</v>
      </c>
      <c r="AX155" s="299"/>
      <c r="AY155" s="295">
        <f t="shared" si="23"/>
        <v>55979.166666666664</v>
      </c>
      <c r="AZ155" s="299"/>
      <c r="BA155" s="295">
        <f t="shared" si="24"/>
        <v>-55979.166666666664</v>
      </c>
      <c r="BB155" s="15"/>
      <c r="BC155" s="15"/>
    </row>
    <row r="156" spans="1:55" x14ac:dyDescent="0.2">
      <c r="A156" s="112"/>
      <c r="B156" s="322" t="s">
        <v>333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5">
        <f>SUM(P156:AR156)</f>
        <v>85866.66333333333</v>
      </c>
      <c r="AT156" s="294"/>
      <c r="AU156" s="298">
        <v>352817</v>
      </c>
      <c r="AV156" s="294"/>
      <c r="AW156" s="295">
        <v>0</v>
      </c>
      <c r="AX156" s="299"/>
      <c r="AY156" s="295">
        <f t="shared" si="23"/>
        <v>85866.66333333333</v>
      </c>
      <c r="AZ156" s="299"/>
      <c r="BA156" s="295">
        <f t="shared" si="24"/>
        <v>-85866.66333333333</v>
      </c>
      <c r="BB156" s="15"/>
      <c r="BC156" s="15"/>
    </row>
    <row r="157" spans="1:55" x14ac:dyDescent="0.2">
      <c r="A157" s="112"/>
      <c r="B157" s="322" t="s">
        <v>334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5">
        <f>SUM(P157:AR157)</f>
        <v>3333.3333333333335</v>
      </c>
      <c r="AT157" s="294"/>
      <c r="AU157" s="298"/>
      <c r="AV157" s="294"/>
      <c r="AW157" s="295">
        <f>IF(+O157-AS157+AU157&gt;0,O157-AS157+AU157,0)</f>
        <v>0</v>
      </c>
      <c r="AX157" s="299"/>
      <c r="AY157" s="295">
        <f t="shared" si="23"/>
        <v>3333.3333333333335</v>
      </c>
      <c r="AZ157" s="299"/>
      <c r="BA157" s="295">
        <f t="shared" si="24"/>
        <v>-3333.3333333333335</v>
      </c>
      <c r="BB157" s="15"/>
      <c r="BC157" s="15"/>
    </row>
    <row r="158" spans="1:55" x14ac:dyDescent="0.2">
      <c r="A158" s="112"/>
      <c r="B158" s="322" t="s">
        <v>370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5">
        <f>SUM(P158:AR158)</f>
        <v>119007.22</v>
      </c>
      <c r="AT158" s="294"/>
      <c r="AU158" s="298">
        <f>25000+4207+4788</f>
        <v>33995</v>
      </c>
      <c r="AV158" s="294"/>
      <c r="AW158" s="295">
        <v>0</v>
      </c>
      <c r="AX158" s="299"/>
      <c r="AY158" s="295">
        <f t="shared" si="23"/>
        <v>119007.22</v>
      </c>
      <c r="AZ158" s="299"/>
      <c r="BA158" s="295">
        <f t="shared" si="24"/>
        <v>-119007.22</v>
      </c>
      <c r="BB158" s="15"/>
      <c r="BC158" s="15"/>
    </row>
    <row r="159" spans="1:55" x14ac:dyDescent="0.2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107679.56</v>
      </c>
      <c r="AR159" s="308"/>
      <c r="AS159" s="360">
        <f>SUBTOTAL(9,AS154:AS158)</f>
        <v>1103769.7233333334</v>
      </c>
      <c r="AT159" s="294"/>
      <c r="AU159" s="361">
        <f>SUBTOTAL(9,AU154:AU158)</f>
        <v>143062</v>
      </c>
      <c r="AV159" s="294"/>
      <c r="AW159" s="360">
        <f>SUBTOTAL(9,AW154:AW158)</f>
        <v>0</v>
      </c>
      <c r="AX159" s="299"/>
      <c r="AY159" s="360">
        <f t="shared" si="23"/>
        <v>1103769.7233333334</v>
      </c>
      <c r="AZ159" s="299"/>
      <c r="BA159" s="360">
        <f t="shared" si="24"/>
        <v>-103769.72333333339</v>
      </c>
      <c r="BB159" s="15"/>
      <c r="BC159" s="15"/>
    </row>
    <row r="160" spans="1:55" x14ac:dyDescent="0.2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5"/>
      <c r="AT160" s="294"/>
      <c r="AU160" s="298"/>
      <c r="AV160" s="294"/>
      <c r="AW160" s="295"/>
      <c r="AX160" s="294"/>
      <c r="AY160" s="295"/>
      <c r="AZ160" s="294"/>
      <c r="BA160" s="295"/>
    </row>
    <row r="161" spans="1:55" x14ac:dyDescent="0.2">
      <c r="A161" s="112" t="s">
        <v>328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5">
        <f>SUM(P161:AR161)</f>
        <v>69937</v>
      </c>
      <c r="AT161" s="294"/>
      <c r="AU161" s="296"/>
      <c r="AV161" s="294"/>
      <c r="AW161" s="295">
        <f>IF(+O161-AS161+AU161&gt;0,O161-AS161+AU161,0)</f>
        <v>0</v>
      </c>
      <c r="AX161" s="294"/>
      <c r="AY161" s="295">
        <f t="shared" si="23"/>
        <v>69937</v>
      </c>
      <c r="AZ161" s="294"/>
      <c r="BA161" s="295">
        <f>+O161-AY161</f>
        <v>-2450</v>
      </c>
    </row>
    <row r="162" spans="1:55" x14ac:dyDescent="0.2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5"/>
      <c r="AT162" s="294"/>
      <c r="AU162" s="298"/>
      <c r="AV162" s="294"/>
      <c r="AW162" s="295"/>
      <c r="AX162" s="295"/>
      <c r="AY162" s="295"/>
      <c r="AZ162" s="295"/>
      <c r="BA162" s="295"/>
      <c r="BB162" s="8"/>
      <c r="BC162" s="8"/>
    </row>
    <row r="163" spans="1:55" x14ac:dyDescent="0.2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5"/>
      <c r="AT163" s="294"/>
      <c r="AU163" s="298"/>
      <c r="AV163" s="294"/>
      <c r="AW163" s="295"/>
      <c r="AX163" s="294"/>
      <c r="AY163" s="295"/>
      <c r="AZ163" s="294"/>
      <c r="BA163" s="295"/>
    </row>
    <row r="164" spans="1:55" x14ac:dyDescent="0.2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5">
        <f t="shared" ref="AS164:AS178" si="25">SUM(P164:AR164)</f>
        <v>66451.87</v>
      </c>
      <c r="AT164" s="294"/>
      <c r="AU164" s="298"/>
      <c r="AV164" s="294"/>
      <c r="AW164" s="295"/>
      <c r="AX164" s="294"/>
      <c r="AY164" s="295">
        <f t="shared" ref="AY164:AY196" si="26">+AW164+AS164</f>
        <v>66451.87</v>
      </c>
      <c r="AZ164" s="294"/>
      <c r="BA164" s="295"/>
    </row>
    <row r="165" spans="1:55" x14ac:dyDescent="0.2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5">
        <f t="shared" si="25"/>
        <v>5024</v>
      </c>
      <c r="AT165" s="294"/>
      <c r="AU165" s="298"/>
      <c r="AV165" s="294"/>
      <c r="AW165" s="295"/>
      <c r="AX165" s="294"/>
      <c r="AY165" s="295">
        <f t="shared" si="26"/>
        <v>5024</v>
      </c>
      <c r="AZ165" s="294"/>
      <c r="BA165" s="295"/>
    </row>
    <row r="166" spans="1:55" x14ac:dyDescent="0.2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5">
        <f t="shared" si="25"/>
        <v>57061.530000000006</v>
      </c>
      <c r="AT166" s="294"/>
      <c r="AU166" s="298"/>
      <c r="AV166" s="294"/>
      <c r="AW166" s="295"/>
      <c r="AX166" s="294"/>
      <c r="AY166" s="295">
        <f t="shared" si="26"/>
        <v>57061.530000000006</v>
      </c>
      <c r="AZ166" s="294"/>
      <c r="BA166" s="295"/>
    </row>
    <row r="167" spans="1:55" x14ac:dyDescent="0.2">
      <c r="A167" s="112"/>
      <c r="B167" s="322" t="s">
        <v>506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5">
        <f t="shared" si="25"/>
        <v>184717.21000000002</v>
      </c>
      <c r="AT167" s="294"/>
      <c r="AU167" s="298"/>
      <c r="AV167" s="294"/>
      <c r="AW167" s="295"/>
      <c r="AX167" s="294"/>
      <c r="AY167" s="295">
        <f t="shared" si="26"/>
        <v>184717.21000000002</v>
      </c>
      <c r="AZ167" s="294"/>
      <c r="BA167" s="295"/>
    </row>
    <row r="168" spans="1:55" x14ac:dyDescent="0.2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5">
        <f t="shared" si="25"/>
        <v>2060.1400000000003</v>
      </c>
      <c r="AT168" s="294"/>
      <c r="AU168" s="298"/>
      <c r="AV168" s="294"/>
      <c r="AW168" s="295"/>
      <c r="AX168" s="294"/>
      <c r="AY168" s="295">
        <f t="shared" si="26"/>
        <v>2060.1400000000003</v>
      </c>
      <c r="AZ168" s="294"/>
      <c r="BA168" s="295"/>
    </row>
    <row r="169" spans="1:55" x14ac:dyDescent="0.2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5">
        <f t="shared" si="25"/>
        <v>416.77999999999884</v>
      </c>
      <c r="AT169" s="294"/>
      <c r="AU169" s="298"/>
      <c r="AV169" s="294"/>
      <c r="AW169" s="295"/>
      <c r="AX169" s="294"/>
      <c r="AY169" s="295">
        <f t="shared" si="26"/>
        <v>416.77999999999884</v>
      </c>
      <c r="AZ169" s="294"/>
      <c r="BA169" s="295"/>
    </row>
    <row r="170" spans="1:55" x14ac:dyDescent="0.2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5">
        <f t="shared" si="25"/>
        <v>0</v>
      </c>
      <c r="AT170" s="294"/>
      <c r="AU170" s="298"/>
      <c r="AV170" s="294"/>
      <c r="AW170" s="295"/>
      <c r="AX170" s="294"/>
      <c r="AY170" s="295">
        <f t="shared" si="26"/>
        <v>0</v>
      </c>
      <c r="AZ170" s="294"/>
      <c r="BA170" s="295"/>
    </row>
    <row r="171" spans="1:55" x14ac:dyDescent="0.2">
      <c r="A171" s="112"/>
      <c r="B171" s="322" t="s">
        <v>327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5">
        <f t="shared" si="25"/>
        <v>4055.15</v>
      </c>
      <c r="AT171" s="294"/>
      <c r="AU171" s="298"/>
      <c r="AV171" s="294"/>
      <c r="AW171" s="295"/>
      <c r="AX171" s="294"/>
      <c r="AY171" s="295">
        <f t="shared" si="26"/>
        <v>4055.15</v>
      </c>
      <c r="AZ171" s="294"/>
      <c r="BA171" s="295"/>
    </row>
    <row r="172" spans="1:55" x14ac:dyDescent="0.2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5">
        <f t="shared" si="25"/>
        <v>18003.71</v>
      </c>
      <c r="AT172" s="294"/>
      <c r="AU172" s="298"/>
      <c r="AV172" s="294"/>
      <c r="AW172" s="295"/>
      <c r="AX172" s="294"/>
      <c r="AY172" s="295">
        <f t="shared" si="26"/>
        <v>18003.71</v>
      </c>
      <c r="AZ172" s="294"/>
      <c r="BA172" s="295"/>
    </row>
    <row r="173" spans="1:55" x14ac:dyDescent="0.2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5">
        <f t="shared" si="25"/>
        <v>307.09000000000003</v>
      </c>
      <c r="AT173" s="294"/>
      <c r="AU173" s="298"/>
      <c r="AV173" s="294"/>
      <c r="AW173" s="295"/>
      <c r="AX173" s="294"/>
      <c r="AY173" s="295">
        <f t="shared" si="26"/>
        <v>307.09000000000003</v>
      </c>
      <c r="AZ173" s="294"/>
      <c r="BA173" s="295"/>
    </row>
    <row r="174" spans="1:55" x14ac:dyDescent="0.2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5">
        <f t="shared" si="25"/>
        <v>91000</v>
      </c>
      <c r="AT174" s="294"/>
      <c r="AU174" s="298"/>
      <c r="AV174" s="294"/>
      <c r="AW174" s="295"/>
      <c r="AX174" s="294"/>
      <c r="AY174" s="295">
        <f t="shared" si="26"/>
        <v>91000</v>
      </c>
      <c r="AZ174" s="294"/>
      <c r="BA174" s="295"/>
    </row>
    <row r="175" spans="1:55" x14ac:dyDescent="0.2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5">
        <f t="shared" si="25"/>
        <v>57741.119999999995</v>
      </c>
      <c r="AT175" s="294"/>
      <c r="AU175" s="298"/>
      <c r="AV175" s="294"/>
      <c r="AW175" s="295"/>
      <c r="AX175" s="294"/>
      <c r="AY175" s="295">
        <f t="shared" si="26"/>
        <v>57741.119999999995</v>
      </c>
      <c r="AZ175" s="294"/>
      <c r="BA175" s="295"/>
    </row>
    <row r="176" spans="1:55" x14ac:dyDescent="0.2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5">
        <f t="shared" si="25"/>
        <v>651</v>
      </c>
      <c r="AT176" s="294"/>
      <c r="AU176" s="298"/>
      <c r="AV176" s="294"/>
      <c r="AW176" s="295"/>
      <c r="AX176" s="294"/>
      <c r="AY176" s="295">
        <f t="shared" si="26"/>
        <v>651</v>
      </c>
      <c r="AZ176" s="294"/>
      <c r="BA176" s="295"/>
    </row>
    <row r="177" spans="1:53" x14ac:dyDescent="0.2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5">
        <f t="shared" si="25"/>
        <v>52.5</v>
      </c>
      <c r="AT177" s="294"/>
      <c r="AU177" s="298"/>
      <c r="AV177" s="294"/>
      <c r="AW177" s="295"/>
      <c r="AX177" s="294"/>
      <c r="AY177" s="295">
        <f t="shared" si="26"/>
        <v>52.5</v>
      </c>
      <c r="AZ177" s="294"/>
      <c r="BA177" s="295"/>
    </row>
    <row r="178" spans="1:53" x14ac:dyDescent="0.2">
      <c r="A178" s="112"/>
      <c r="B178" s="322" t="s">
        <v>335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9">
        <f t="shared" si="25"/>
        <v>67773.039999999994</v>
      </c>
      <c r="AT178" s="294"/>
      <c r="AU178" s="298"/>
      <c r="AV178" s="294"/>
      <c r="AW178" s="295"/>
      <c r="AX178" s="294"/>
      <c r="AY178" s="295">
        <f t="shared" si="26"/>
        <v>67773.039999999994</v>
      </c>
      <c r="AZ178" s="294"/>
      <c r="BA178" s="295"/>
    </row>
    <row r="179" spans="1:53" x14ac:dyDescent="0.2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555315.14000000013</v>
      </c>
      <c r="AT179" s="294"/>
      <c r="AU179" s="328">
        <f>SUBTOTAL(9,AU164:AU177)</f>
        <v>0</v>
      </c>
      <c r="AV179" s="294"/>
      <c r="AW179" s="329">
        <f>IF(+O179-AS179+AU179&gt;0,O179-AS179+AU179,0)</f>
        <v>0</v>
      </c>
      <c r="AX179" s="294"/>
      <c r="AY179" s="329">
        <f t="shared" si="26"/>
        <v>555315.14000000013</v>
      </c>
      <c r="AZ179" s="294"/>
      <c r="BA179" s="328">
        <f>+O179-AY179</f>
        <v>-255315.14000000013</v>
      </c>
    </row>
    <row r="180" spans="1:53" x14ac:dyDescent="0.2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5"/>
      <c r="AT180" s="294"/>
      <c r="AU180" s="298"/>
      <c r="AV180" s="294"/>
      <c r="AW180" s="295"/>
      <c r="AX180" s="294"/>
      <c r="AY180" s="295"/>
      <c r="AZ180" s="294"/>
      <c r="BA180" s="295"/>
    </row>
    <row r="181" spans="1:53" x14ac:dyDescent="0.2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5"/>
      <c r="AT181" s="294"/>
      <c r="AU181" s="298"/>
      <c r="AV181" s="294"/>
      <c r="AW181" s="295"/>
      <c r="AX181" s="294"/>
      <c r="AY181" s="295"/>
      <c r="AZ181" s="294"/>
      <c r="BA181" s="295"/>
    </row>
    <row r="182" spans="1:53" x14ac:dyDescent="0.2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295">
        <f t="shared" ref="AS182:AS191" si="27">SUM(P182:AR182)</f>
        <v>4742.7199999999993</v>
      </c>
      <c r="AT182" s="294"/>
      <c r="AU182" s="308"/>
      <c r="AV182" s="294"/>
      <c r="AW182" s="295"/>
      <c r="AX182" s="294"/>
      <c r="AY182" s="295">
        <f t="shared" si="26"/>
        <v>4742.7199999999993</v>
      </c>
      <c r="AZ182" s="294"/>
      <c r="BA182" s="295"/>
    </row>
    <row r="183" spans="1:53" x14ac:dyDescent="0.2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295">
        <f t="shared" si="27"/>
        <v>0</v>
      </c>
      <c r="AT183" s="294"/>
      <c r="AU183" s="308"/>
      <c r="AV183" s="294"/>
      <c r="AW183" s="295"/>
      <c r="AX183" s="294"/>
      <c r="AY183" s="295">
        <f t="shared" si="26"/>
        <v>0</v>
      </c>
      <c r="AZ183" s="294"/>
      <c r="BA183" s="295"/>
    </row>
    <row r="184" spans="1:53" x14ac:dyDescent="0.2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295">
        <f t="shared" si="27"/>
        <v>179798.40000000002</v>
      </c>
      <c r="AT184" s="294"/>
      <c r="AU184" s="308"/>
      <c r="AV184" s="294"/>
      <c r="AW184" s="295"/>
      <c r="AX184" s="294"/>
      <c r="AY184" s="295">
        <f t="shared" si="26"/>
        <v>179798.40000000002</v>
      </c>
      <c r="AZ184" s="294"/>
      <c r="BA184" s="295"/>
    </row>
    <row r="185" spans="1:53" x14ac:dyDescent="0.2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295">
        <f t="shared" si="27"/>
        <v>278016.83999999997</v>
      </c>
      <c r="AT185" s="294"/>
      <c r="AU185" s="308"/>
      <c r="AV185" s="294"/>
      <c r="AW185" s="295"/>
      <c r="AX185" s="294"/>
      <c r="AY185" s="295">
        <f t="shared" si="26"/>
        <v>278016.83999999997</v>
      </c>
      <c r="AZ185" s="294"/>
      <c r="BA185" s="295"/>
    </row>
    <row r="186" spans="1:53" x14ac:dyDescent="0.2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295">
        <f t="shared" si="27"/>
        <v>5126.21</v>
      </c>
      <c r="AT186" s="294"/>
      <c r="AU186" s="308"/>
      <c r="AV186" s="294"/>
      <c r="AW186" s="295"/>
      <c r="AX186" s="294"/>
      <c r="AY186" s="295">
        <f t="shared" si="26"/>
        <v>5126.21</v>
      </c>
      <c r="AZ186" s="294"/>
      <c r="BA186" s="295"/>
    </row>
    <row r="187" spans="1:53" x14ac:dyDescent="0.2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295">
        <f t="shared" si="27"/>
        <v>11164.84</v>
      </c>
      <c r="AT187" s="294"/>
      <c r="AU187" s="308"/>
      <c r="AV187" s="294"/>
      <c r="AW187" s="295"/>
      <c r="AX187" s="294"/>
      <c r="AY187" s="295">
        <f t="shared" si="26"/>
        <v>11164.84</v>
      </c>
      <c r="AZ187" s="294"/>
      <c r="BA187" s="295"/>
    </row>
    <row r="188" spans="1:53" x14ac:dyDescent="0.2">
      <c r="A188" s="112"/>
      <c r="B188" s="322" t="s">
        <v>416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295">
        <f t="shared" si="27"/>
        <v>9021.6</v>
      </c>
      <c r="AT188" s="294"/>
      <c r="AU188" s="308"/>
      <c r="AV188" s="294"/>
      <c r="AW188" s="295"/>
      <c r="AX188" s="294"/>
      <c r="AY188" s="295">
        <f t="shared" si="26"/>
        <v>9021.6</v>
      </c>
      <c r="AZ188" s="294"/>
      <c r="BA188" s="295"/>
    </row>
    <row r="189" spans="1:53" x14ac:dyDescent="0.2">
      <c r="A189" s="112"/>
      <c r="B189" s="322" t="s">
        <v>504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295">
        <f t="shared" si="27"/>
        <v>2750</v>
      </c>
      <c r="AT189" s="294"/>
      <c r="AU189" s="308"/>
      <c r="AV189" s="294"/>
      <c r="AW189" s="295"/>
      <c r="AX189" s="294"/>
      <c r="AY189" s="295">
        <f t="shared" si="26"/>
        <v>2750</v>
      </c>
      <c r="AZ189" s="294"/>
      <c r="BA189" s="295"/>
    </row>
    <row r="190" spans="1:53" x14ac:dyDescent="0.2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295">
        <f t="shared" si="27"/>
        <v>13816.84</v>
      </c>
      <c r="AT190" s="294"/>
      <c r="AU190" s="308"/>
      <c r="AV190" s="294"/>
      <c r="AW190" s="295"/>
      <c r="AX190" s="294"/>
      <c r="AY190" s="295">
        <f t="shared" si="26"/>
        <v>13816.84</v>
      </c>
      <c r="AZ190" s="294"/>
      <c r="BA190" s="295"/>
    </row>
    <row r="191" spans="1:53" x14ac:dyDescent="0.2">
      <c r="A191" s="112"/>
      <c r="B191" s="322" t="s">
        <v>505</v>
      </c>
      <c r="C191" s="31"/>
      <c r="D191" s="294"/>
      <c r="E191" s="294"/>
      <c r="F191" s="294"/>
      <c r="G191" s="294"/>
      <c r="H191" s="294"/>
      <c r="I191" s="294"/>
      <c r="J191" s="294"/>
      <c r="K191" s="309"/>
      <c r="L191" s="294"/>
      <c r="M191" s="309"/>
      <c r="N191" s="294"/>
      <c r="O191" s="309"/>
      <c r="P191" s="322"/>
      <c r="Q191" s="307"/>
      <c r="R191" s="297"/>
      <c r="S191" s="307"/>
      <c r="T191" s="297"/>
      <c r="U191" s="307"/>
      <c r="V191" s="295"/>
      <c r="W191" s="307">
        <v>126458.5</v>
      </c>
      <c r="X191" s="298"/>
      <c r="Y191" s="307"/>
      <c r="Z191" s="298"/>
      <c r="AA191" s="307"/>
      <c r="AB191" s="298"/>
      <c r="AC191" s="307">
        <f>70.62+7285.45+119286.95</f>
        <v>126643.01999999999</v>
      </c>
      <c r="AD191" s="298"/>
      <c r="AE191" s="307"/>
      <c r="AF191" s="308"/>
      <c r="AG191" s="307">
        <f>3681.01+9-1</f>
        <v>3689.01</v>
      </c>
      <c r="AH191" s="308"/>
      <c r="AI191" s="307"/>
      <c r="AJ191" s="308"/>
      <c r="AK191" s="307">
        <f>2747.72+1-1</f>
        <v>2747.72</v>
      </c>
      <c r="AL191" s="308"/>
      <c r="AM191" s="307">
        <f>299.22+2141.83</f>
        <v>2441.0500000000002</v>
      </c>
      <c r="AN191" s="308"/>
      <c r="AO191" s="307"/>
      <c r="AP191" s="308"/>
      <c r="AQ191" s="307"/>
      <c r="AR191" s="308"/>
      <c r="AS191" s="309">
        <f t="shared" si="27"/>
        <v>261979.3</v>
      </c>
      <c r="AT191" s="294"/>
      <c r="AU191" s="308"/>
      <c r="AV191" s="294"/>
      <c r="AW191" s="295"/>
      <c r="AX191" s="294"/>
      <c r="AY191" s="295">
        <f t="shared" si="26"/>
        <v>261979.3</v>
      </c>
      <c r="AZ191" s="294"/>
      <c r="BA191" s="295"/>
    </row>
    <row r="192" spans="1:53" x14ac:dyDescent="0.2">
      <c r="A192" s="317"/>
      <c r="B192" s="294" t="s">
        <v>128</v>
      </c>
      <c r="C192" s="294"/>
      <c r="D192" s="294"/>
      <c r="E192" s="294"/>
      <c r="F192" s="294"/>
      <c r="G192" s="294"/>
      <c r="H192" s="294"/>
      <c r="I192" s="294"/>
      <c r="J192" s="294"/>
      <c r="K192" s="299">
        <v>850000</v>
      </c>
      <c r="L192" s="294"/>
      <c r="M192" s="299">
        <v>-350000</v>
      </c>
      <c r="N192" s="294"/>
      <c r="O192" s="299">
        <f>SUM(K192:N192)</f>
        <v>500000</v>
      </c>
      <c r="P192" s="322"/>
      <c r="Q192" s="296">
        <f>SUBTOTAL(9,Q182:Q191)</f>
        <v>181514.9</v>
      </c>
      <c r="R192" s="296"/>
      <c r="S192" s="296">
        <f>SUBTOTAL(9,S182:S191)</f>
        <v>0</v>
      </c>
      <c r="T192" s="296"/>
      <c r="U192" s="296">
        <f>SUBTOTAL(9,U182:U191)</f>
        <v>5253.82</v>
      </c>
      <c r="V192" s="296"/>
      <c r="W192" s="296">
        <f>SUBTOTAL(9,W182:W191)</f>
        <v>128603.5</v>
      </c>
      <c r="X192" s="296"/>
      <c r="Y192" s="296">
        <f>SUBTOTAL(9,Y182:Y191)</f>
        <v>0</v>
      </c>
      <c r="Z192" s="296"/>
      <c r="AA192" s="296">
        <f>SUBTOTAL(9,AA182:AA191)</f>
        <v>3489.5</v>
      </c>
      <c r="AB192" s="296"/>
      <c r="AC192" s="296">
        <f>SUBTOTAL(9,AC182:AC191)</f>
        <v>265295.78999999998</v>
      </c>
      <c r="AD192" s="296"/>
      <c r="AE192" s="296">
        <f>SUBTOTAL(9,AE182:AE191)</f>
        <v>0</v>
      </c>
      <c r="AF192" s="296"/>
      <c r="AG192" s="296">
        <f>SUBTOTAL(9,AG182:AG191)</f>
        <v>27840.92</v>
      </c>
      <c r="AH192" s="296"/>
      <c r="AI192" s="296">
        <f>SUBTOTAL(9,AI182:AI191)</f>
        <v>0</v>
      </c>
      <c r="AJ192" s="296"/>
      <c r="AK192" s="296">
        <f>SUBTOTAL(9,AK182:AK191)</f>
        <v>146513.88999999998</v>
      </c>
      <c r="AL192" s="296"/>
      <c r="AM192" s="296">
        <f>SUBTOTAL(9,AM182:AM191)</f>
        <v>7904.43</v>
      </c>
      <c r="AN192" s="296"/>
      <c r="AO192" s="296">
        <f>SUBTOTAL(9,AO182:AO191)</f>
        <v>0</v>
      </c>
      <c r="AP192" s="296"/>
      <c r="AQ192" s="296">
        <f>SUBTOTAL(9,AQ182:AQ191)</f>
        <v>0</v>
      </c>
      <c r="AR192" s="296"/>
      <c r="AS192" s="296">
        <f>SUBTOTAL(9,AS182:AS191)</f>
        <v>766416.75</v>
      </c>
      <c r="AT192" s="294"/>
      <c r="AU192" s="328">
        <f>SUBTOTAL(9,AU182:AU190)</f>
        <v>0</v>
      </c>
      <c r="AV192" s="294"/>
      <c r="AW192" s="329">
        <f>IF(+O192-AS192+AU192&gt;0,O192-AS192+AU192,0)</f>
        <v>0</v>
      </c>
      <c r="AX192" s="294"/>
      <c r="AY192" s="329">
        <f t="shared" si="26"/>
        <v>766416.75</v>
      </c>
      <c r="AZ192" s="294"/>
      <c r="BA192" s="328">
        <f>+O192-AY192</f>
        <v>-266416.75</v>
      </c>
    </row>
    <row r="193" spans="1:55" x14ac:dyDescent="0.2">
      <c r="A193" s="112"/>
      <c r="B193" s="322"/>
      <c r="C193" s="31"/>
      <c r="D193" s="294"/>
      <c r="E193" s="294"/>
      <c r="F193" s="294"/>
      <c r="G193" s="294"/>
      <c r="H193" s="294"/>
      <c r="I193" s="294"/>
      <c r="J193" s="294"/>
      <c r="K193" s="332"/>
      <c r="L193" s="294"/>
      <c r="M193" s="332"/>
      <c r="N193" s="294"/>
      <c r="O193" s="332"/>
      <c r="P193" s="294"/>
      <c r="Q193" s="308"/>
      <c r="R193" s="297"/>
      <c r="S193" s="308"/>
      <c r="T193" s="297"/>
      <c r="U193" s="308"/>
      <c r="V193" s="295"/>
      <c r="W193" s="308"/>
      <c r="X193" s="298"/>
      <c r="Y193" s="308"/>
      <c r="Z193" s="298"/>
      <c r="AA193" s="308"/>
      <c r="AB193" s="298"/>
      <c r="AC193" s="308"/>
      <c r="AD193" s="298"/>
      <c r="AE193" s="308"/>
      <c r="AF193" s="308"/>
      <c r="AG193" s="308"/>
      <c r="AH193" s="308"/>
      <c r="AI193" s="308"/>
      <c r="AJ193" s="308"/>
      <c r="AK193" s="308"/>
      <c r="AL193" s="308"/>
      <c r="AM193" s="308"/>
      <c r="AN193" s="308"/>
      <c r="AO193" s="308"/>
      <c r="AP193" s="308"/>
      <c r="AQ193" s="308"/>
      <c r="AR193" s="308"/>
      <c r="AS193" s="332"/>
      <c r="AT193" s="294"/>
      <c r="AU193" s="308"/>
      <c r="AV193" s="294"/>
      <c r="AW193" s="332"/>
      <c r="AX193" s="294"/>
      <c r="AY193" s="332"/>
      <c r="AZ193" s="294"/>
      <c r="BA193" s="332"/>
    </row>
    <row r="194" spans="1:55" x14ac:dyDescent="0.2">
      <c r="A194" s="112" t="s">
        <v>365</v>
      </c>
      <c r="B194" s="322"/>
      <c r="C194" s="31" t="s">
        <v>0</v>
      </c>
      <c r="D194" s="294"/>
      <c r="E194" s="294"/>
      <c r="F194" s="294"/>
      <c r="G194" s="294" t="s">
        <v>366</v>
      </c>
      <c r="H194" s="294"/>
      <c r="I194" s="294"/>
      <c r="J194" s="294"/>
      <c r="K194" s="299">
        <v>0</v>
      </c>
      <c r="L194" s="294"/>
      <c r="M194" s="299">
        <v>1000000</v>
      </c>
      <c r="N194" s="294"/>
      <c r="O194" s="299">
        <f>SUM(K194:N194)</f>
        <v>1000000</v>
      </c>
      <c r="P194" s="294"/>
      <c r="Q194" s="296">
        <v>0</v>
      </c>
      <c r="R194" s="297"/>
      <c r="S194" s="296">
        <v>0</v>
      </c>
      <c r="T194" s="297"/>
      <c r="U194" s="296">
        <v>0</v>
      </c>
      <c r="V194" s="295"/>
      <c r="W194" s="296"/>
      <c r="X194" s="298"/>
      <c r="Y194" s="296"/>
      <c r="Z194" s="298"/>
      <c r="AA194" s="296"/>
      <c r="AB194" s="298"/>
      <c r="AC194" s="296">
        <v>121527.11</v>
      </c>
      <c r="AD194" s="298"/>
      <c r="AE194" s="296">
        <v>58914</v>
      </c>
      <c r="AF194" s="296"/>
      <c r="AG194" s="296">
        <v>47610</v>
      </c>
      <c r="AH194" s="296"/>
      <c r="AI194" s="296"/>
      <c r="AJ194" s="296"/>
      <c r="AK194" s="296"/>
      <c r="AL194" s="296"/>
      <c r="AM194" s="296"/>
      <c r="AN194" s="296"/>
      <c r="AO194" s="296"/>
      <c r="AP194" s="296"/>
      <c r="AQ194" s="296"/>
      <c r="AR194" s="296"/>
      <c r="AS194" s="295">
        <f>SUM(P194:AR194)</f>
        <v>228051.11</v>
      </c>
      <c r="AT194" s="294"/>
      <c r="AU194" s="296">
        <f>-650000-121949</f>
        <v>-771949</v>
      </c>
      <c r="AV194" s="294"/>
      <c r="AW194" s="295">
        <f>IF(+O194-AS194+AU194&gt;0,O194-AS194+AU194,0)</f>
        <v>0</v>
      </c>
      <c r="AX194" s="294"/>
      <c r="AY194" s="295">
        <f t="shared" si="26"/>
        <v>228051.11</v>
      </c>
      <c r="AZ194" s="294"/>
      <c r="BA194" s="295">
        <f>+O194-AY194</f>
        <v>771948.89</v>
      </c>
    </row>
    <row r="195" spans="1:55" x14ac:dyDescent="0.2">
      <c r="A195" s="112"/>
      <c r="B195" s="322"/>
      <c r="C195" s="31"/>
      <c r="D195" s="294"/>
      <c r="E195" s="294"/>
      <c r="F195" s="294"/>
      <c r="G195" s="294"/>
      <c r="H195" s="294"/>
      <c r="I195" s="294"/>
      <c r="J195" s="294"/>
      <c r="K195" s="332"/>
      <c r="L195" s="294"/>
      <c r="M195" s="332"/>
      <c r="N195" s="294"/>
      <c r="O195" s="332"/>
      <c r="P195" s="294"/>
      <c r="Q195" s="308"/>
      <c r="R195" s="297"/>
      <c r="S195" s="308"/>
      <c r="T195" s="297"/>
      <c r="U195" s="308"/>
      <c r="V195" s="295"/>
      <c r="W195" s="308"/>
      <c r="X195" s="298"/>
      <c r="Y195" s="308"/>
      <c r="Z195" s="298"/>
      <c r="AA195" s="308"/>
      <c r="AB195" s="298"/>
      <c r="AC195" s="308"/>
      <c r="AD195" s="298"/>
      <c r="AE195" s="308"/>
      <c r="AF195" s="308"/>
      <c r="AG195" s="308"/>
      <c r="AH195" s="308"/>
      <c r="AI195" s="308"/>
      <c r="AJ195" s="308"/>
      <c r="AK195" s="308"/>
      <c r="AL195" s="308"/>
      <c r="AM195" s="308"/>
      <c r="AN195" s="308"/>
      <c r="AO195" s="308"/>
      <c r="AP195" s="308"/>
      <c r="AQ195" s="308"/>
      <c r="AR195" s="308"/>
      <c r="AS195" s="332"/>
      <c r="AT195" s="294"/>
      <c r="AU195" s="308"/>
      <c r="AV195" s="294"/>
      <c r="AW195" s="332"/>
      <c r="AX195" s="294"/>
      <c r="AY195" s="332"/>
      <c r="AZ195" s="294"/>
      <c r="BA195" s="332"/>
    </row>
    <row r="196" spans="1:55" x14ac:dyDescent="0.2">
      <c r="A196" s="312"/>
      <c r="B196" s="363" t="s">
        <v>108</v>
      </c>
      <c r="C196" s="364"/>
      <c r="D196" s="294"/>
      <c r="E196" s="294"/>
      <c r="F196" s="294"/>
      <c r="G196" s="294"/>
      <c r="H196" s="294"/>
      <c r="I196" s="294"/>
      <c r="J196" s="294"/>
      <c r="K196" s="299">
        <f>K159+K161+K179+K192+K194</f>
        <v>2850000</v>
      </c>
      <c r="L196" s="294"/>
      <c r="M196" s="299">
        <f>M159+M161+M179+M192+M194</f>
        <v>17487</v>
      </c>
      <c r="N196" s="294"/>
      <c r="O196" s="299">
        <f>O159+O161+O179+O192+O194</f>
        <v>2867487</v>
      </c>
      <c r="P196" s="294"/>
      <c r="Q196" s="296">
        <f>Q159+Q161+Q179+Q192+Q194</f>
        <v>443676.68000000005</v>
      </c>
      <c r="R196" s="297"/>
      <c r="S196" s="296">
        <f>S159+S161+S179+S192+S194</f>
        <v>76317.943333333329</v>
      </c>
      <c r="T196" s="297"/>
      <c r="U196" s="296">
        <f>U159+U161+U179+U192+U194</f>
        <v>769677.86</v>
      </c>
      <c r="V196" s="295"/>
      <c r="W196" s="296">
        <f>W159+W161+W179+W192+W194</f>
        <v>133015.22</v>
      </c>
      <c r="X196" s="298"/>
      <c r="Y196" s="296">
        <f>Y159+Y161+Y179+Y192+Y194</f>
        <v>-19953.080000000002</v>
      </c>
      <c r="Z196" s="298"/>
      <c r="AA196" s="296">
        <f>AA159+AA161+AA179+AA192+AA194</f>
        <v>7003.38</v>
      </c>
      <c r="AB196" s="298"/>
      <c r="AC196" s="296">
        <f>AC159+AC161+AC179+AC192+AC194</f>
        <v>618122.23</v>
      </c>
      <c r="AD196" s="298"/>
      <c r="AE196" s="296">
        <f>AE159+AE161+AE179+AE192+AE194</f>
        <v>100497.45</v>
      </c>
      <c r="AF196" s="296"/>
      <c r="AG196" s="296">
        <f>AG159+AG161+AG179+AG192+AG194</f>
        <v>140034.97999999998</v>
      </c>
      <c r="AH196" s="296"/>
      <c r="AI196" s="296">
        <f>AI159+AI161+AI179+AI192+AI194</f>
        <v>77226.17</v>
      </c>
      <c r="AJ196" s="296"/>
      <c r="AK196" s="296">
        <f>AK159+AK161+AK179+AK192+AK194</f>
        <v>172219.96999999997</v>
      </c>
      <c r="AL196" s="296"/>
      <c r="AM196" s="296">
        <f>AM159+AM161+AM179+AM192+AM194</f>
        <v>11175.460000000001</v>
      </c>
      <c r="AN196" s="296"/>
      <c r="AO196" s="296">
        <f>AO159+AO161+AO179+AO192+AO194</f>
        <v>86795.900000000009</v>
      </c>
      <c r="AP196" s="296"/>
      <c r="AQ196" s="296">
        <f>AQ159+AQ161+AQ179+AQ192+AQ194</f>
        <v>107679.56</v>
      </c>
      <c r="AR196" s="296"/>
      <c r="AS196" s="299">
        <f>AS159+AS161+AS179+AS192+AS194</f>
        <v>2723489.7233333332</v>
      </c>
      <c r="AT196" s="294"/>
      <c r="AU196" s="296">
        <f>AU159+AU161+AU179+AU192+AU194</f>
        <v>-628887</v>
      </c>
      <c r="AV196" s="294"/>
      <c r="AW196" s="299">
        <f>AW159+AW161+AW179+AW192+AW194</f>
        <v>0</v>
      </c>
      <c r="AX196" s="294"/>
      <c r="AY196" s="299">
        <f t="shared" si="26"/>
        <v>2723489.7233333332</v>
      </c>
      <c r="AZ196" s="294"/>
      <c r="BA196" s="296">
        <f>+O196-AY196</f>
        <v>143997.27666666685</v>
      </c>
    </row>
    <row r="197" spans="1:55" ht="13.5" thickBot="1" x14ac:dyDescent="0.25">
      <c r="A197" s="180" t="s">
        <v>187</v>
      </c>
      <c r="B197" s="365"/>
      <c r="C197" s="122"/>
      <c r="D197" s="294"/>
      <c r="E197" s="294"/>
      <c r="F197" s="294"/>
      <c r="G197" s="294"/>
      <c r="H197" s="294"/>
      <c r="I197" s="294"/>
      <c r="J197" s="294"/>
      <c r="K197" s="318">
        <f>K196+K152</f>
        <v>123921212.472</v>
      </c>
      <c r="L197" s="294"/>
      <c r="M197" s="318">
        <f>M196+M152</f>
        <v>-179227</v>
      </c>
      <c r="N197" s="294"/>
      <c r="O197" s="318">
        <f>O196+O152</f>
        <v>123741985.472</v>
      </c>
      <c r="P197" s="294"/>
      <c r="Q197" s="320">
        <f>Q196+Q152</f>
        <v>61516764.230000004</v>
      </c>
      <c r="R197" s="297"/>
      <c r="S197" s="320">
        <f>S196+S152</f>
        <v>5269296.293333333</v>
      </c>
      <c r="T197" s="297"/>
      <c r="U197" s="320">
        <f>U196+U152</f>
        <v>7536552.3799999999</v>
      </c>
      <c r="V197" s="295"/>
      <c r="W197" s="320">
        <f>W196+W152</f>
        <v>6111434.6600000001</v>
      </c>
      <c r="X197" s="298"/>
      <c r="Y197" s="320">
        <f>Y196+Y152</f>
        <v>7809255.54</v>
      </c>
      <c r="Z197" s="298"/>
      <c r="AA197" s="320">
        <f>AA196+AA152</f>
        <v>4255617.59</v>
      </c>
      <c r="AB197" s="298"/>
      <c r="AC197" s="320">
        <f>AC196+AC152</f>
        <v>6966019.5500000007</v>
      </c>
      <c r="AD197" s="298"/>
      <c r="AE197" s="320">
        <f>AE196+AE152</f>
        <v>7593243.7999999998</v>
      </c>
      <c r="AF197" s="314"/>
      <c r="AG197" s="320">
        <f>AG196+AG152</f>
        <v>6489464.9899999984</v>
      </c>
      <c r="AH197" s="314"/>
      <c r="AI197" s="320">
        <f>AI196+AI152</f>
        <v>7724026.6499999994</v>
      </c>
      <c r="AJ197" s="314"/>
      <c r="AK197" s="320">
        <f>AK196+AK152</f>
        <v>1383720.8800000001</v>
      </c>
      <c r="AL197" s="314"/>
      <c r="AM197" s="320">
        <f>AM196+AM152</f>
        <v>1930064.02</v>
      </c>
      <c r="AN197" s="314"/>
      <c r="AO197" s="320">
        <f>AO196+AO152</f>
        <v>551014.25999999989</v>
      </c>
      <c r="AP197" s="314"/>
      <c r="AQ197" s="320">
        <f>AQ196+AQ152</f>
        <v>130326.69</v>
      </c>
      <c r="AR197" s="314"/>
      <c r="AS197" s="318">
        <f>AS196+AS152</f>
        <v>125266801.53333333</v>
      </c>
      <c r="AT197" s="294"/>
      <c r="AU197" s="320">
        <f>AU196+AU152</f>
        <v>-201448.66999999998</v>
      </c>
      <c r="AV197" s="294"/>
      <c r="AW197" s="318">
        <f>AW196+AW152+AW33</f>
        <v>2972876.162</v>
      </c>
      <c r="AX197" s="294"/>
      <c r="AY197" s="318">
        <f>+AW197+AS197-1</f>
        <v>128239676.69533333</v>
      </c>
      <c r="AZ197" s="294"/>
      <c r="BA197" s="320">
        <f>+O197-AY197</f>
        <v>-4497691.223333329</v>
      </c>
      <c r="BC197" s="39"/>
    </row>
    <row r="198" spans="1:55" ht="5.25" customHeight="1" thickTop="1" x14ac:dyDescent="0.2">
      <c r="A198" s="344"/>
      <c r="B198" s="346"/>
      <c r="C198" s="346"/>
      <c r="D198" s="294"/>
      <c r="E198" s="294"/>
      <c r="F198" s="294"/>
      <c r="G198" s="294"/>
      <c r="H198" s="294"/>
      <c r="I198" s="294"/>
      <c r="J198" s="294"/>
      <c r="K198" s="295"/>
      <c r="L198" s="294"/>
      <c r="M198" s="295"/>
      <c r="N198" s="294"/>
      <c r="O198" s="295"/>
      <c r="P198" s="294"/>
      <c r="Q198" s="298"/>
      <c r="R198" s="297"/>
      <c r="S198" s="298"/>
      <c r="T198" s="297"/>
      <c r="U198" s="298"/>
      <c r="V198" s="295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5"/>
      <c r="AT198" s="294"/>
      <c r="AU198" s="298"/>
      <c r="AV198" s="294"/>
      <c r="AW198" s="295"/>
      <c r="AX198" s="294"/>
      <c r="AY198" s="295"/>
      <c r="AZ198" s="294"/>
      <c r="BA198" s="298"/>
    </row>
    <row r="199" spans="1:55" ht="13.5" thickBot="1" x14ac:dyDescent="0.25">
      <c r="A199" s="180" t="s">
        <v>421</v>
      </c>
      <c r="B199" s="346"/>
      <c r="C199" s="346"/>
      <c r="D199" s="294"/>
      <c r="E199" s="294"/>
      <c r="F199" s="294"/>
      <c r="G199" s="294"/>
      <c r="H199" s="294"/>
      <c r="I199" s="294"/>
      <c r="J199" s="294"/>
      <c r="K199" s="366">
        <f>K197/460</f>
        <v>269393.94015652174</v>
      </c>
      <c r="L199" s="294"/>
      <c r="M199" s="295"/>
      <c r="N199" s="294"/>
      <c r="O199" s="366">
        <f>O197/460</f>
        <v>269004.31624347827</v>
      </c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5"/>
      <c r="AT199" s="294"/>
      <c r="AU199" s="298"/>
      <c r="AV199" s="294"/>
      <c r="AW199" s="295"/>
      <c r="AX199" s="294"/>
      <c r="AY199" s="366">
        <f>AY197/460</f>
        <v>278781.90585942031</v>
      </c>
      <c r="AZ199" s="294"/>
      <c r="BA199" s="295"/>
    </row>
    <row r="200" spans="1:55" customFormat="1" x14ac:dyDescent="0.2">
      <c r="A200" s="367"/>
      <c r="B200" s="367"/>
      <c r="C200" s="367"/>
      <c r="D200" s="367"/>
      <c r="E200" s="367"/>
      <c r="F200" s="367"/>
      <c r="G200" s="367"/>
      <c r="H200" s="367"/>
      <c r="I200" s="367"/>
      <c r="J200" s="367"/>
      <c r="K200" s="367"/>
      <c r="L200" s="367"/>
      <c r="M200" s="367"/>
      <c r="N200" s="367"/>
      <c r="O200" s="367"/>
      <c r="P200" s="367"/>
      <c r="Q200" s="367"/>
      <c r="R200" s="368"/>
      <c r="S200" s="367"/>
      <c r="T200" s="368"/>
      <c r="U200" s="367"/>
      <c r="V200" s="367"/>
      <c r="W200" s="367"/>
      <c r="X200" s="367"/>
      <c r="Y200" s="367"/>
      <c r="Z200" s="367"/>
      <c r="AA200" s="367"/>
      <c r="AB200" s="367"/>
      <c r="AC200" s="369"/>
      <c r="AD200" s="367"/>
      <c r="AE200" s="369"/>
      <c r="AF200" s="367"/>
      <c r="AG200" s="369"/>
      <c r="AH200" s="367"/>
      <c r="AI200" s="367"/>
      <c r="AJ200" s="367"/>
      <c r="AK200" s="367"/>
      <c r="AL200" s="367"/>
      <c r="AM200" s="367"/>
      <c r="AN200" s="367"/>
      <c r="AO200" s="367"/>
      <c r="AP200" s="367"/>
      <c r="AQ200" s="367"/>
      <c r="AR200" s="367"/>
      <c r="AS200" s="367"/>
      <c r="AT200" s="367"/>
      <c r="AU200" s="367"/>
      <c r="AV200" s="367"/>
      <c r="AW200" s="367"/>
      <c r="AX200" s="367"/>
      <c r="AY200" s="367"/>
      <c r="AZ200" s="367"/>
      <c r="BA200" s="295"/>
    </row>
    <row r="201" spans="1:55" customFormat="1" x14ac:dyDescent="0.2">
      <c r="A201" s="370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9"/>
      <c r="AB201" s="367"/>
      <c r="AC201" s="369"/>
      <c r="AD201" s="367"/>
      <c r="AE201" s="369"/>
      <c r="AF201" s="367"/>
      <c r="AG201" s="367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295"/>
    </row>
    <row r="202" spans="1:55" customFormat="1" x14ac:dyDescent="0.2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9"/>
      <c r="R202" s="368"/>
      <c r="S202" s="369"/>
      <c r="T202" s="368"/>
      <c r="U202" s="369"/>
      <c r="V202" s="367"/>
      <c r="W202" s="369"/>
      <c r="X202" s="367"/>
      <c r="Y202" s="369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295"/>
    </row>
    <row r="203" spans="1:55" x14ac:dyDescent="0.2">
      <c r="A203" s="294"/>
      <c r="B203" s="294"/>
      <c r="C203" s="294"/>
      <c r="D203" s="294"/>
      <c r="E203" s="294"/>
      <c r="F203" s="294"/>
      <c r="G203" s="294"/>
      <c r="H203" s="294"/>
      <c r="I203" s="294"/>
      <c r="J203" s="294"/>
      <c r="K203" s="295"/>
      <c r="L203" s="294"/>
      <c r="M203" s="295"/>
      <c r="N203" s="294"/>
      <c r="O203" s="295"/>
      <c r="P203" s="294"/>
      <c r="Q203" s="298"/>
      <c r="R203" s="297"/>
      <c r="S203" s="298"/>
      <c r="T203" s="297"/>
      <c r="U203" s="298"/>
      <c r="V203" s="295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5"/>
      <c r="AT203" s="294"/>
      <c r="AU203" s="298"/>
      <c r="AV203" s="294"/>
      <c r="AW203" s="295"/>
      <c r="AX203" s="294"/>
      <c r="AY203" s="295"/>
      <c r="AZ203" s="294"/>
      <c r="BA203" s="295"/>
    </row>
    <row r="204" spans="1:55" s="41" customFormat="1" x14ac:dyDescent="0.2">
      <c r="A204" s="370" t="s">
        <v>422</v>
      </c>
      <c r="B204" s="370"/>
      <c r="C204" s="370"/>
      <c r="D204" s="370"/>
      <c r="E204" s="370"/>
      <c r="F204" s="370"/>
      <c r="G204" s="370"/>
      <c r="H204" s="370"/>
      <c r="I204" s="370"/>
      <c r="J204" s="370"/>
      <c r="K204" s="299">
        <v>0</v>
      </c>
      <c r="L204" s="370"/>
      <c r="M204" s="299"/>
      <c r="N204" s="370"/>
      <c r="O204" s="299">
        <f>SUM(K204:N204)</f>
        <v>0</v>
      </c>
      <c r="P204" s="370"/>
      <c r="Q204" s="296"/>
      <c r="R204" s="371"/>
      <c r="S204" s="296"/>
      <c r="T204" s="371"/>
      <c r="U204" s="296">
        <v>0</v>
      </c>
      <c r="V204" s="299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  <c r="AH204" s="296"/>
      <c r="AI204" s="296"/>
      <c r="AJ204" s="296"/>
      <c r="AK204" s="296"/>
      <c r="AL204" s="296"/>
      <c r="AM204" s="296"/>
      <c r="AN204" s="296"/>
      <c r="AO204" s="296"/>
      <c r="AP204" s="296"/>
      <c r="AQ204" s="296"/>
      <c r="AR204" s="296"/>
      <c r="AS204" s="299">
        <f>SUM(P204:AR204)</f>
        <v>0</v>
      </c>
      <c r="AT204" s="370"/>
      <c r="AU204" s="296">
        <v>0</v>
      </c>
      <c r="AV204" s="370"/>
      <c r="AW204" s="299">
        <f>IF(+O204-AS204+AU204&gt;0,O204-AS204+AU204,0)</f>
        <v>0</v>
      </c>
      <c r="AX204" s="370"/>
      <c r="AY204" s="299">
        <f>+AW204+AS204</f>
        <v>0</v>
      </c>
      <c r="AZ204" s="370"/>
      <c r="BA204" s="299">
        <f>+O204-AY204</f>
        <v>0</v>
      </c>
    </row>
    <row r="205" spans="1:55" x14ac:dyDescent="0.2">
      <c r="A205" s="370" t="s">
        <v>536</v>
      </c>
      <c r="B205" s="294"/>
      <c r="C205" s="294"/>
      <c r="D205" s="294"/>
      <c r="E205" s="294"/>
      <c r="F205" s="294"/>
      <c r="G205" s="294"/>
      <c r="H205" s="294"/>
      <c r="I205" s="294"/>
      <c r="J205" s="294"/>
      <c r="K205" s="295"/>
      <c r="L205" s="294"/>
      <c r="M205" s="295"/>
      <c r="N205" s="294"/>
      <c r="O205" s="295"/>
      <c r="P205" s="294"/>
      <c r="Q205" s="298"/>
      <c r="R205" s="297"/>
      <c r="S205" s="298"/>
      <c r="T205" s="297"/>
      <c r="U205" s="298"/>
      <c r="V205" s="295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378">
        <f>+[1]Deprec!$D$28</f>
        <v>-1412567.8679850001</v>
      </c>
      <c r="AT205" s="294"/>
      <c r="AU205" s="298"/>
      <c r="AV205" s="294"/>
      <c r="AW205" s="295"/>
      <c r="AX205" s="294"/>
      <c r="AY205" s="299">
        <f>+AS205</f>
        <v>-1412567.8679850001</v>
      </c>
      <c r="AZ205" s="294"/>
      <c r="BA205" s="295"/>
    </row>
    <row r="206" spans="1:55" ht="13.5" thickBot="1" x14ac:dyDescent="0.25">
      <c r="A206" s="180" t="s">
        <v>423</v>
      </c>
      <c r="B206" s="365"/>
      <c r="C206" s="294"/>
      <c r="D206" s="294"/>
      <c r="E206" s="294"/>
      <c r="F206" s="294"/>
      <c r="G206" s="294"/>
      <c r="H206" s="294"/>
      <c r="I206" s="294"/>
      <c r="J206" s="294"/>
      <c r="K206" s="372">
        <f>+K197+K204</f>
        <v>123921212.472</v>
      </c>
      <c r="L206" s="294"/>
      <c r="M206" s="372">
        <f>+M197+M204</f>
        <v>-179227</v>
      </c>
      <c r="N206" s="294"/>
      <c r="O206" s="372">
        <f>+O197+O204</f>
        <v>123741985.472</v>
      </c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372">
        <f>+AS197+AS204+AS205</f>
        <v>123854233.66534834</v>
      </c>
      <c r="AT206" s="294"/>
      <c r="AU206" s="298"/>
      <c r="AV206" s="294"/>
      <c r="AW206" s="372">
        <f>+AW197+AW204</f>
        <v>2972876.162</v>
      </c>
      <c r="AX206" s="294"/>
      <c r="AY206" s="372">
        <f>+AY197+AY204+AY205</f>
        <v>126827108.82734834</v>
      </c>
      <c r="AZ206" s="294"/>
      <c r="BA206" s="372">
        <f>+BA197+BA204</f>
        <v>-4497691.223333329</v>
      </c>
    </row>
    <row r="207" spans="1:55" ht="4.5" customHeight="1" thickTop="1" x14ac:dyDescent="0.2">
      <c r="A207" s="344"/>
      <c r="B207" s="346"/>
      <c r="C207" s="294"/>
      <c r="D207" s="294"/>
      <c r="E207" s="294"/>
      <c r="F207" s="294"/>
      <c r="G207" s="294"/>
      <c r="H207" s="294"/>
      <c r="I207" s="294"/>
      <c r="J207" s="294"/>
      <c r="K207" s="295"/>
      <c r="L207" s="294"/>
      <c r="M207" s="295"/>
      <c r="N207" s="294"/>
      <c r="O207" s="295"/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5"/>
      <c r="AT207" s="294"/>
      <c r="AU207" s="298"/>
      <c r="AV207" s="294"/>
      <c r="AW207" s="295"/>
      <c r="AX207" s="294"/>
      <c r="AY207" s="295"/>
      <c r="AZ207" s="294"/>
      <c r="BA207" s="295"/>
    </row>
    <row r="208" spans="1:55" ht="13.5" thickBot="1" x14ac:dyDescent="0.25">
      <c r="A208" s="180" t="s">
        <v>421</v>
      </c>
      <c r="B208" s="346"/>
      <c r="C208" s="294"/>
      <c r="D208" s="294"/>
      <c r="E208" s="294"/>
      <c r="F208" s="294"/>
      <c r="G208" s="294"/>
      <c r="H208" s="294"/>
      <c r="I208" s="294"/>
      <c r="J208" s="294"/>
      <c r="K208" s="366">
        <f>K206/$K$3</f>
        <v>270570.33290829696</v>
      </c>
      <c r="L208" s="294"/>
      <c r="M208" s="295"/>
      <c r="N208" s="294"/>
      <c r="O208" s="366">
        <f>O206/$K$3</f>
        <v>270179.00758078601</v>
      </c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5"/>
      <c r="AT208" s="294"/>
      <c r="AU208" s="298"/>
      <c r="AV208" s="294"/>
      <c r="AW208" s="295"/>
      <c r="AX208" s="294"/>
      <c r="AY208" s="366">
        <f>AY206/$K$3</f>
        <v>276915.08477586973</v>
      </c>
      <c r="AZ208" s="294"/>
      <c r="BA208" s="295"/>
    </row>
    <row r="209" spans="1:53" x14ac:dyDescent="0.2">
      <c r="A209" s="294"/>
      <c r="B209" s="294"/>
      <c r="C209" s="294"/>
      <c r="D209" s="294"/>
      <c r="E209" s="294"/>
      <c r="F209" s="294"/>
      <c r="G209" s="294"/>
      <c r="H209" s="294"/>
      <c r="I209" s="294"/>
      <c r="J209" s="294"/>
      <c r="K209" s="295"/>
      <c r="L209" s="294"/>
      <c r="M209" s="295"/>
      <c r="N209" s="294"/>
      <c r="O209" s="295"/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5"/>
      <c r="AT209" s="294"/>
      <c r="AU209" s="298"/>
      <c r="AV209" s="294"/>
      <c r="AW209" s="295"/>
      <c r="AX209" s="294"/>
      <c r="AY209" s="295"/>
      <c r="AZ209" s="294"/>
      <c r="BA209" s="295"/>
    </row>
    <row r="210" spans="1:53" x14ac:dyDescent="0.2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5"/>
      <c r="AT210" s="294"/>
      <c r="AU210" s="298"/>
      <c r="AV210" s="294"/>
      <c r="AW210" s="295"/>
      <c r="AX210" s="294"/>
      <c r="AY210" s="295"/>
      <c r="AZ210" s="294"/>
      <c r="BA210" s="373" t="str">
        <f ca="1">CELL("filename")</f>
        <v>C:\Users\Felienne\Enron\EnronSpreadsheets\[benjamin_rogers__1010__TVA Wkly Anal - 121499.xls]Brownsville</v>
      </c>
    </row>
    <row r="211" spans="1:53" x14ac:dyDescent="0.2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5"/>
      <c r="AT211" s="294"/>
      <c r="AU211" s="298"/>
      <c r="AV211" s="294"/>
      <c r="AW211" s="295"/>
      <c r="AX211" s="294"/>
      <c r="AY211" s="295"/>
      <c r="AZ211" s="294"/>
      <c r="BA211" s="295"/>
    </row>
    <row r="213" spans="1:53" x14ac:dyDescent="0.2">
      <c r="B213" s="41" t="s">
        <v>474</v>
      </c>
    </row>
    <row r="215" spans="1:53" x14ac:dyDescent="0.2">
      <c r="B215" s="6" t="s">
        <v>475</v>
      </c>
      <c r="O215" s="8">
        <f>885.42+4983.56+68142828.45+19073516.93</f>
        <v>87222214.360000014</v>
      </c>
      <c r="U215" s="131">
        <f>0+0-Q215</f>
        <v>0</v>
      </c>
      <c r="W215" s="131">
        <f>68142828.45-U215</f>
        <v>68142828.450000003</v>
      </c>
      <c r="AY215" s="8">
        <f>1788518.99+121026807.21-102</f>
        <v>122815224.19999999</v>
      </c>
    </row>
    <row r="219" spans="1:53" x14ac:dyDescent="0.2">
      <c r="B219" s="6" t="s">
        <v>543</v>
      </c>
      <c r="O219" s="8">
        <f>SUM(O215:O218)</f>
        <v>87222214.360000014</v>
      </c>
      <c r="R219" s="131"/>
      <c r="T219" s="131"/>
      <c r="U219" s="131">
        <f t="shared" ref="U219:Z219" si="28">+U197</f>
        <v>7536552.3799999999</v>
      </c>
      <c r="V219" s="131">
        <f t="shared" si="28"/>
        <v>0</v>
      </c>
      <c r="W219" s="131">
        <f t="shared" si="28"/>
        <v>6111434.6600000001</v>
      </c>
      <c r="X219" s="131">
        <f t="shared" si="28"/>
        <v>0</v>
      </c>
      <c r="Y219" s="131">
        <f t="shared" si="28"/>
        <v>7809255.54</v>
      </c>
      <c r="Z219" s="131">
        <f t="shared" si="28"/>
        <v>0</v>
      </c>
      <c r="AY219" s="8">
        <f>+AS206-AS205-AS115-AS111+U111+Q111</f>
        <v>123282213.03333332</v>
      </c>
    </row>
    <row r="222" spans="1:53" x14ac:dyDescent="0.2">
      <c r="B222" s="6" t="s">
        <v>477</v>
      </c>
      <c r="O222" s="8">
        <f>O219-Q219</f>
        <v>87222214.360000014</v>
      </c>
      <c r="R222" s="131"/>
      <c r="T222" s="131"/>
      <c r="U222" s="131">
        <f t="shared" ref="U222:Z222" si="29">+U215-U219</f>
        <v>-7536552.3799999999</v>
      </c>
      <c r="V222" s="131">
        <f t="shared" si="29"/>
        <v>0</v>
      </c>
      <c r="W222" s="131">
        <f t="shared" si="29"/>
        <v>62031393.790000007</v>
      </c>
      <c r="X222" s="131">
        <f t="shared" si="29"/>
        <v>0</v>
      </c>
      <c r="Y222" s="131">
        <f t="shared" si="29"/>
        <v>-7809255.54</v>
      </c>
      <c r="Z222" s="131">
        <f t="shared" si="29"/>
        <v>0</v>
      </c>
      <c r="AY222" s="8">
        <f>+AY215-AY219</f>
        <v>-466988.83333332837</v>
      </c>
    </row>
  </sheetData>
  <printOptions horizontalCentered="1"/>
  <pageMargins left="0.25" right="0.25" top="0.25" bottom="0.25" header="0.5" footer="0.5"/>
  <pageSetup scale="44" fitToHeight="3" orientation="landscape" horizontalDpi="300" verticalDpi="300" r:id="rId1"/>
  <headerFooter alignWithMargins="0"/>
  <rowBreaks count="2" manualBreakCount="2">
    <brk id="109" max="52" man="1"/>
    <brk id="212" max="16383" man="1"/>
  </rowBreaks>
  <colBreaks count="1" manualBreakCount="1">
    <brk id="54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223"/>
  <sheetViews>
    <sheetView view="pageBreakPreview" zoomScale="75" zoomScaleNormal="75" zoomScaleSheetLayoutView="75" workbookViewId="0">
      <pane xSplit="9" ySplit="6" topLeftCell="AP176" activePane="bottomRight" state="frozen"/>
      <selection activeCell="A16" sqref="A16"/>
      <selection pane="topRight" activeCell="A16" sqref="A16"/>
      <selection pane="bottomLeft" activeCell="A16" sqref="A16"/>
      <selection pane="bottomRight" activeCell="AY199" sqref="AY199"/>
    </sheetView>
  </sheetViews>
  <sheetFormatPr defaultRowHeight="12.75" x14ac:dyDescent="0.2"/>
  <cols>
    <col min="1" max="1" width="4.7109375" style="6" customWidth="1"/>
    <col min="2" max="2" width="48" style="6" bestFit="1" customWidth="1"/>
    <col min="3" max="3" width="9.42578125" style="6" hidden="1" customWidth="1"/>
    <col min="4" max="4" width="0.85546875" style="6" hidden="1" customWidth="1"/>
    <col min="5" max="5" width="16.85546875" style="6" hidden="1" customWidth="1"/>
    <col min="6" max="6" width="0.85546875" style="6" hidden="1" customWidth="1"/>
    <col min="7" max="7" width="22.5703125" style="7" hidden="1" customWidth="1"/>
    <col min="8" max="8" width="0.85546875" style="6" hidden="1" customWidth="1"/>
    <col min="9" max="9" width="12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6.42578125" style="8" hidden="1" customWidth="1"/>
    <col min="16" max="16" width="3.28515625" style="6" customWidth="1"/>
    <col min="17" max="17" width="19.140625" style="131" hidden="1" customWidth="1"/>
    <col min="18" max="18" width="0.85546875" style="229" hidden="1" customWidth="1"/>
    <col min="19" max="19" width="19.140625" style="131" hidden="1" customWidth="1"/>
    <col min="20" max="20" width="0.85546875" style="229" hidden="1" customWidth="1"/>
    <col min="21" max="21" width="16" style="157" hidden="1" customWidth="1"/>
    <col min="22" max="22" width="0.85546875" style="157" hidden="1" customWidth="1"/>
    <col min="23" max="23" width="16" style="157" hidden="1" customWidth="1"/>
    <col min="24" max="24" width="0.85546875" style="157" hidden="1" customWidth="1"/>
    <col min="25" max="25" width="16" style="157" hidden="1" customWidth="1"/>
    <col min="26" max="26" width="0.85546875" style="157" hidden="1" customWidth="1"/>
    <col min="27" max="27" width="16" style="157" hidden="1" customWidth="1"/>
    <col min="28" max="28" width="0.85546875" style="6" hidden="1" customWidth="1"/>
    <col min="29" max="29" width="16" style="157" hidden="1" customWidth="1"/>
    <col min="30" max="30" width="0.85546875" style="6" hidden="1" customWidth="1"/>
    <col min="31" max="31" width="16" style="157" hidden="1" customWidth="1"/>
    <col min="32" max="32" width="0.5703125" style="157" hidden="1" customWidth="1"/>
    <col min="33" max="33" width="16" style="157" hidden="1" customWidth="1"/>
    <col min="34" max="34" width="1.28515625" style="157" hidden="1" customWidth="1"/>
    <col min="35" max="35" width="16" style="157" hidden="1" customWidth="1"/>
    <col min="36" max="36" width="1.140625" style="157" customWidth="1"/>
    <col min="37" max="37" width="16" style="157" customWidth="1"/>
    <col min="38" max="38" width="1.28515625" style="157" customWidth="1"/>
    <col min="39" max="39" width="17.140625" style="157" customWidth="1"/>
    <col min="40" max="40" width="1.7109375" style="157" customWidth="1"/>
    <col min="41" max="41" width="22.85546875" style="157" customWidth="1"/>
    <col min="42" max="42" width="1.28515625" style="157" customWidth="1"/>
    <col min="43" max="43" width="22.85546875" style="157" customWidth="1"/>
    <col min="44" max="44" width="0.85546875" style="6" customWidth="1"/>
    <col min="45" max="45" width="22" style="6" customWidth="1"/>
    <col min="46" max="46" width="2.7109375" style="6" customWidth="1"/>
    <col min="47" max="47" width="24.5703125" style="157" customWidth="1"/>
    <col min="48" max="48" width="2.7109375" style="6" customWidth="1"/>
    <col min="49" max="49" width="23.5703125" style="6" customWidth="1"/>
    <col min="50" max="50" width="0.85546875" style="6" customWidth="1"/>
    <col min="51" max="51" width="22" style="6" customWidth="1"/>
    <col min="52" max="52" width="3.28515625" style="6" customWidth="1"/>
    <col min="53" max="53" width="15" style="8" bestFit="1" customWidth="1"/>
    <col min="54" max="54" width="0.85546875" style="6" customWidth="1"/>
    <col min="55" max="55" width="50" style="6" hidden="1" customWidth="1"/>
    <col min="56" max="56" width="0" style="6" hidden="1" customWidth="1"/>
    <col min="57" max="16384" width="9.140625" style="6"/>
  </cols>
  <sheetData>
    <row r="1" spans="1:55" s="36" customFormat="1" ht="15.75" x14ac:dyDescent="0.25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U1" s="168"/>
      <c r="BA1" s="147"/>
    </row>
    <row r="2" spans="1:55" s="36" customFormat="1" ht="15.75" x14ac:dyDescent="0.25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U2" s="168"/>
      <c r="BA2" s="147"/>
    </row>
    <row r="3" spans="1:55" s="36" customFormat="1" ht="15.75" x14ac:dyDescent="0.25">
      <c r="A3" s="219" t="s">
        <v>489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U3" s="168"/>
      <c r="AW3" s="170">
        <f ca="1">NOW()</f>
        <v>41885.540662268519</v>
      </c>
      <c r="AY3" s="170"/>
      <c r="BA3" s="169" t="str">
        <f>Summary!A4</f>
        <v>Revision # 56</v>
      </c>
    </row>
    <row r="4" spans="1:55" s="36" customFormat="1" ht="15.75" x14ac:dyDescent="0.25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339</v>
      </c>
      <c r="V4" s="148"/>
      <c r="W4" s="149" t="s">
        <v>339</v>
      </c>
      <c r="X4" s="148"/>
      <c r="Y4" s="149" t="s">
        <v>339</v>
      </c>
      <c r="Z4" s="148"/>
      <c r="AA4" s="149" t="s">
        <v>339</v>
      </c>
      <c r="AB4" s="148"/>
      <c r="AC4" s="149" t="s">
        <v>339</v>
      </c>
      <c r="AD4" s="148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S4" s="150"/>
      <c r="AU4" s="149" t="s">
        <v>346</v>
      </c>
      <c r="AW4" s="150"/>
      <c r="AY4" s="150"/>
      <c r="BA4" s="150"/>
    </row>
    <row r="5" spans="1:55" s="36" customFormat="1" ht="15.75" x14ac:dyDescent="0.25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340</v>
      </c>
      <c r="V5" s="148"/>
      <c r="W5" s="149" t="s">
        <v>340</v>
      </c>
      <c r="X5" s="148"/>
      <c r="Y5" s="149" t="s">
        <v>340</v>
      </c>
      <c r="Z5" s="148"/>
      <c r="AA5" s="149" t="s">
        <v>340</v>
      </c>
      <c r="AB5" s="148"/>
      <c r="AC5" s="149" t="s">
        <v>340</v>
      </c>
      <c r="AD5" s="148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</row>
    <row r="6" spans="1:55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541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</row>
    <row r="7" spans="1:55" x14ac:dyDescent="0.2">
      <c r="A7" s="216"/>
      <c r="B7" s="64"/>
      <c r="C7" s="111"/>
      <c r="I7" s="6"/>
      <c r="Q7" s="132" t="s">
        <v>542</v>
      </c>
      <c r="R7" s="228"/>
      <c r="S7" s="132" t="s">
        <v>542</v>
      </c>
      <c r="T7" s="228"/>
      <c r="U7" s="132" t="str">
        <f>+Summary!$O$3</f>
        <v>as of 12/10/99</v>
      </c>
      <c r="V7" s="131"/>
      <c r="W7" s="132" t="str">
        <f>+Summary!$O$3</f>
        <v>as of 12/10/99</v>
      </c>
      <c r="X7" s="131"/>
      <c r="Y7" s="132" t="str">
        <f>+Summary!$O$3</f>
        <v>as of 12/10/99</v>
      </c>
      <c r="Z7" s="131"/>
      <c r="AA7" s="132" t="str">
        <f>+Summary!$O$3</f>
        <v>as of 12/10/99</v>
      </c>
      <c r="AB7" s="131"/>
      <c r="AC7" s="132" t="str">
        <f>+Summary!$O$3</f>
        <v>as of 12/10/99</v>
      </c>
      <c r="AD7" s="131"/>
      <c r="AE7" s="132" t="str">
        <f>+Summary!$O$3</f>
        <v>as of 12/10/99</v>
      </c>
      <c r="AF7" s="132"/>
      <c r="AG7" s="132" t="str">
        <f>+Summary!$O$3</f>
        <v>as of 12/10/99</v>
      </c>
      <c r="AH7" s="132"/>
      <c r="AI7" s="132" t="str">
        <f>+Summary!$O$3</f>
        <v>as of 12/10/99</v>
      </c>
      <c r="AJ7" s="132"/>
      <c r="AK7" s="132" t="str">
        <f>+Summary!$O$3</f>
        <v>as of 12/10/99</v>
      </c>
      <c r="AL7" s="132"/>
      <c r="AM7" s="132" t="str">
        <f>+Summary!$O$3</f>
        <v>as of 12/10/99</v>
      </c>
      <c r="AN7" s="132"/>
      <c r="AO7" s="132" t="str">
        <f>+Summary!$O$3</f>
        <v>as of 12/10/99</v>
      </c>
      <c r="AP7" s="132"/>
      <c r="AQ7" s="132" t="str">
        <f>+Summary!$O$3</f>
        <v>as of 12/10/99</v>
      </c>
      <c r="AS7" s="10" t="str">
        <f>+Summary!$O$3</f>
        <v>as of 12/10/99</v>
      </c>
      <c r="AU7" s="132" t="str">
        <f>+Summary!$O$3</f>
        <v>as of 12/10/99</v>
      </c>
      <c r="AW7" s="10"/>
      <c r="AY7" s="10"/>
      <c r="BA7" s="10"/>
    </row>
    <row r="8" spans="1:55" x14ac:dyDescent="0.2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A8" s="6"/>
    </row>
    <row r="9" spans="1:55" x14ac:dyDescent="0.2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8">
        <f>SUM(P9:AR9)</f>
        <v>99688927.920000002</v>
      </c>
      <c r="AU9" s="131">
        <v>0</v>
      </c>
      <c r="AW9" s="8">
        <f t="shared" ref="AW9:AW16" si="0">IF(+O9-AS9+AU9&gt;0,O9-AS9+AU9,0)</f>
        <v>0</v>
      </c>
      <c r="AY9" s="8">
        <f>+AW9+AS9</f>
        <v>99688927.920000002</v>
      </c>
      <c r="BA9" s="12">
        <f t="shared" ref="BA9:BA21" si="1">O9-AS9-AW9</f>
        <v>-688927.92000000179</v>
      </c>
      <c r="BC9" s="6" t="s">
        <v>512</v>
      </c>
    </row>
    <row r="10" spans="1:55" x14ac:dyDescent="0.2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S10" s="8">
        <f t="shared" ref="AS10:AS33" si="3">SUM(P10:AR10)</f>
        <v>0</v>
      </c>
      <c r="AU10" s="131">
        <v>0</v>
      </c>
      <c r="AW10" s="8">
        <f t="shared" si="0"/>
        <v>160800</v>
      </c>
      <c r="AY10" s="8">
        <f t="shared" ref="AY10:AY81" si="4">+AW10+AS10</f>
        <v>160800</v>
      </c>
      <c r="BA10" s="12">
        <f t="shared" si="1"/>
        <v>0</v>
      </c>
    </row>
    <row r="11" spans="1:55" x14ac:dyDescent="0.2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S11" s="8">
        <f t="shared" si="3"/>
        <v>0</v>
      </c>
      <c r="AU11" s="131"/>
      <c r="AW11" s="8">
        <f t="shared" si="0"/>
        <v>11700</v>
      </c>
      <c r="AY11" s="8">
        <f t="shared" si="4"/>
        <v>11700</v>
      </c>
      <c r="BA11" s="12">
        <f t="shared" si="1"/>
        <v>0</v>
      </c>
    </row>
    <row r="12" spans="1:55" x14ac:dyDescent="0.2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S12" s="8">
        <f t="shared" si="3"/>
        <v>0</v>
      </c>
      <c r="AU12" s="131"/>
      <c r="AW12" s="8">
        <f t="shared" si="0"/>
        <v>30000</v>
      </c>
      <c r="AY12" s="8">
        <f t="shared" si="4"/>
        <v>30000</v>
      </c>
      <c r="BA12" s="12">
        <f t="shared" si="1"/>
        <v>0</v>
      </c>
    </row>
    <row r="13" spans="1:55" x14ac:dyDescent="0.2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S13" s="8">
        <f t="shared" si="3"/>
        <v>0</v>
      </c>
      <c r="AU13" s="131"/>
      <c r="AW13" s="8">
        <f t="shared" si="0"/>
        <v>11400</v>
      </c>
      <c r="AY13" s="8">
        <f t="shared" si="4"/>
        <v>11400</v>
      </c>
      <c r="BA13" s="12">
        <f t="shared" si="1"/>
        <v>0</v>
      </c>
    </row>
    <row r="14" spans="1:55" x14ac:dyDescent="0.2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S14" s="8">
        <f t="shared" si="3"/>
        <v>0</v>
      </c>
      <c r="AU14" s="131"/>
      <c r="AW14" s="8">
        <f t="shared" si="0"/>
        <v>11700</v>
      </c>
      <c r="AY14" s="8">
        <f t="shared" si="4"/>
        <v>11700</v>
      </c>
      <c r="BA14" s="12">
        <f t="shared" si="1"/>
        <v>0</v>
      </c>
    </row>
    <row r="15" spans="1:55" x14ac:dyDescent="0.2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S15" s="8">
        <f t="shared" si="3"/>
        <v>0</v>
      </c>
      <c r="AU15" s="131"/>
      <c r="AW15" s="8">
        <f t="shared" si="0"/>
        <v>13680</v>
      </c>
      <c r="AY15" s="8">
        <f t="shared" si="4"/>
        <v>13680</v>
      </c>
      <c r="BA15" s="12">
        <f t="shared" si="1"/>
        <v>0</v>
      </c>
    </row>
    <row r="16" spans="1:55" x14ac:dyDescent="0.2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S16" s="8">
        <f t="shared" si="3"/>
        <v>0</v>
      </c>
      <c r="AU16" s="131"/>
      <c r="AW16" s="8">
        <f t="shared" si="0"/>
        <v>99900</v>
      </c>
      <c r="AY16" s="8">
        <f t="shared" si="4"/>
        <v>99900</v>
      </c>
      <c r="BA16" s="12">
        <f t="shared" si="1"/>
        <v>0</v>
      </c>
    </row>
    <row r="17" spans="1:55" x14ac:dyDescent="0.2">
      <c r="A17" s="218"/>
      <c r="B17" s="31" t="s">
        <v>414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S17" s="8">
        <f>SUM(P17:AR17)</f>
        <v>0</v>
      </c>
      <c r="AU17" s="131"/>
      <c r="AW17" s="8">
        <v>-40200</v>
      </c>
      <c r="AY17" s="8">
        <f>+AW17+AS17</f>
        <v>-40200</v>
      </c>
      <c r="BA17" s="12">
        <f t="shared" si="1"/>
        <v>40200</v>
      </c>
      <c r="BC17" s="6" t="s">
        <v>402</v>
      </c>
    </row>
    <row r="18" spans="1:55" x14ac:dyDescent="0.2">
      <c r="A18" s="218"/>
      <c r="B18" s="31" t="s">
        <v>479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S18" s="8">
        <f>SUM(P18:AR18)</f>
        <v>0</v>
      </c>
      <c r="AU18" s="131">
        <v>31200</v>
      </c>
      <c r="AW18" s="8">
        <f>IF(+O18-AS18+AU18&gt;0,O18-AS18+AU18,0)</f>
        <v>31200</v>
      </c>
      <c r="AY18" s="8">
        <f>+AW18+AS18</f>
        <v>31200</v>
      </c>
      <c r="BA18" s="12">
        <f t="shared" si="1"/>
        <v>-31200</v>
      </c>
    </row>
    <row r="19" spans="1:55" x14ac:dyDescent="0.2">
      <c r="A19" s="218"/>
      <c r="B19" s="31" t="s">
        <v>548</v>
      </c>
      <c r="C19" s="114"/>
      <c r="E19" s="7"/>
      <c r="K19" s="5"/>
      <c r="M19" s="5"/>
      <c r="O19" s="5"/>
      <c r="U19" s="131"/>
      <c r="W19" s="131"/>
      <c r="AS19" s="8">
        <f>SUM(P19:AR19)</f>
        <v>0</v>
      </c>
      <c r="AU19" s="131">
        <v>1500000</v>
      </c>
      <c r="AW19" s="8">
        <f>IF(+O19-AS19+AU19&gt;0,O19-AS19+AU19,0)</f>
        <v>1500000</v>
      </c>
      <c r="AY19" s="8">
        <f>+AW19+AS19</f>
        <v>1500000</v>
      </c>
      <c r="BA19" s="12">
        <f t="shared" si="1"/>
        <v>-1500000</v>
      </c>
    </row>
    <row r="20" spans="1:55" x14ac:dyDescent="0.2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S20" s="8">
        <f t="shared" si="3"/>
        <v>0</v>
      </c>
      <c r="AW20" s="8">
        <f>IF(+O20-AS20+AU20&gt;0,O20-AS20+AU20,0)</f>
        <v>110000</v>
      </c>
      <c r="AY20" s="8">
        <f t="shared" si="4"/>
        <v>110000</v>
      </c>
      <c r="BA20" s="12">
        <f t="shared" si="1"/>
        <v>0</v>
      </c>
      <c r="BC20" s="8"/>
    </row>
    <row r="21" spans="1:55" x14ac:dyDescent="0.2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4852795.92</v>
      </c>
      <c r="AP21" s="135"/>
      <c r="AQ21" s="138">
        <f>SUM(AQ9:AQ20)</f>
        <v>0</v>
      </c>
      <c r="AS21" s="107">
        <f>SUM(AS9:AS20)</f>
        <v>99688927.920000002</v>
      </c>
      <c r="AU21" s="138">
        <f>SUM(AU9:AU20)</f>
        <v>1531200</v>
      </c>
      <c r="AW21" s="107">
        <f>SUM(AW9:AW20)</f>
        <v>1940180</v>
      </c>
      <c r="AY21" s="107">
        <f>SUM(AY9:AY20)</f>
        <v>101629107.92</v>
      </c>
      <c r="BA21" s="107">
        <f t="shared" si="1"/>
        <v>-2179927.9200000018</v>
      </c>
    </row>
    <row r="22" spans="1:55" x14ac:dyDescent="0.2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6"/>
      <c r="AU22" s="135"/>
      <c r="AW22" s="16"/>
      <c r="AY22" s="16"/>
      <c r="BA22" s="16"/>
    </row>
    <row r="23" spans="1:55" x14ac:dyDescent="0.2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8">
        <f t="shared" si="3"/>
        <v>6150000</v>
      </c>
      <c r="AU23" s="131"/>
      <c r="AW23" s="8">
        <f>6150000-AS23</f>
        <v>0</v>
      </c>
      <c r="AY23" s="264">
        <f t="shared" si="4"/>
        <v>6150000</v>
      </c>
      <c r="BA23" s="12">
        <f t="shared" ref="BA23:BA33" si="5">O23-AS23-AW23</f>
        <v>0</v>
      </c>
      <c r="BC23" s="6" t="s">
        <v>510</v>
      </c>
    </row>
    <row r="24" spans="1:55" x14ac:dyDescent="0.2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8">
        <f t="shared" si="3"/>
        <v>165430</v>
      </c>
      <c r="AU24" s="131">
        <v>0</v>
      </c>
      <c r="AW24" s="8">
        <f>165430-AS24</f>
        <v>0</v>
      </c>
      <c r="AY24" s="8">
        <f t="shared" si="4"/>
        <v>165430</v>
      </c>
      <c r="BA24" s="12">
        <f t="shared" si="5"/>
        <v>-2950</v>
      </c>
    </row>
    <row r="25" spans="1:55" x14ac:dyDescent="0.2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8">
        <f t="shared" si="3"/>
        <v>75355.600000000006</v>
      </c>
      <c r="AU25" s="131">
        <v>0</v>
      </c>
      <c r="AW25" s="8">
        <f>75356-AS25</f>
        <v>0.39999999999417923</v>
      </c>
      <c r="AY25" s="8">
        <f t="shared" si="4"/>
        <v>75356</v>
      </c>
      <c r="BA25" s="12">
        <f t="shared" si="5"/>
        <v>-15576</v>
      </c>
    </row>
    <row r="26" spans="1:55" x14ac:dyDescent="0.2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8">
        <f t="shared" si="3"/>
        <v>3320690</v>
      </c>
      <c r="AU26" s="131">
        <v>0</v>
      </c>
      <c r="AW26" s="8">
        <f>1678940+1641750-AS26</f>
        <v>0</v>
      </c>
      <c r="AY26" s="8">
        <f t="shared" si="4"/>
        <v>3320690</v>
      </c>
      <c r="BA26" s="12">
        <f t="shared" si="5"/>
        <v>0</v>
      </c>
    </row>
    <row r="27" spans="1:55" x14ac:dyDescent="0.2">
      <c r="A27" s="218"/>
      <c r="B27" s="31" t="s">
        <v>513</v>
      </c>
      <c r="C27" s="114"/>
      <c r="E27" s="7"/>
      <c r="O27" s="8">
        <f t="shared" si="2"/>
        <v>0</v>
      </c>
      <c r="U27" s="131"/>
      <c r="AC27" s="131"/>
      <c r="AS27" s="8">
        <f t="shared" si="3"/>
        <v>0</v>
      </c>
      <c r="AU27" s="131">
        <v>0</v>
      </c>
      <c r="AW27" s="8">
        <v>0</v>
      </c>
      <c r="AY27" s="8">
        <f t="shared" si="4"/>
        <v>0</v>
      </c>
      <c r="BA27" s="12">
        <f t="shared" si="5"/>
        <v>0</v>
      </c>
    </row>
    <row r="28" spans="1:55" x14ac:dyDescent="0.2">
      <c r="A28" s="218"/>
      <c r="B28" s="31" t="s">
        <v>514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8">
        <f t="shared" si="3"/>
        <v>442800</v>
      </c>
      <c r="AU28" s="131">
        <v>0</v>
      </c>
      <c r="AW28" s="8">
        <f>442800-AS28</f>
        <v>0</v>
      </c>
      <c r="AY28" s="8">
        <f t="shared" si="4"/>
        <v>442800</v>
      </c>
      <c r="BA28" s="12">
        <f t="shared" si="5"/>
        <v>-442800</v>
      </c>
    </row>
    <row r="29" spans="1:55" x14ac:dyDescent="0.2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S29" s="8">
        <f t="shared" si="3"/>
        <v>0</v>
      </c>
      <c r="AU29" s="131">
        <v>0</v>
      </c>
      <c r="AW29" s="8">
        <v>0</v>
      </c>
      <c r="AY29" s="8">
        <f t="shared" si="4"/>
        <v>0</v>
      </c>
      <c r="BA29" s="12">
        <f t="shared" si="5"/>
        <v>25000</v>
      </c>
    </row>
    <row r="30" spans="1:55" x14ac:dyDescent="0.2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S30" s="8">
        <f t="shared" si="3"/>
        <v>0</v>
      </c>
      <c r="AU30" s="131">
        <v>0</v>
      </c>
      <c r="AW30" s="8">
        <v>0</v>
      </c>
      <c r="AY30" s="8">
        <f t="shared" si="4"/>
        <v>0</v>
      </c>
      <c r="BA30" s="12">
        <f t="shared" si="5"/>
        <v>146850</v>
      </c>
    </row>
    <row r="31" spans="1:55" x14ac:dyDescent="0.2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S31" s="8">
        <f t="shared" si="3"/>
        <v>0</v>
      </c>
      <c r="AU31" s="131">
        <v>0</v>
      </c>
      <c r="AW31" s="8">
        <v>0</v>
      </c>
      <c r="AY31" s="8">
        <f t="shared" si="4"/>
        <v>0</v>
      </c>
      <c r="BA31" s="12">
        <f t="shared" si="5"/>
        <v>154950</v>
      </c>
    </row>
    <row r="32" spans="1:55" x14ac:dyDescent="0.2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S32" s="8">
        <f t="shared" si="3"/>
        <v>0</v>
      </c>
      <c r="AU32" s="131">
        <v>0</v>
      </c>
      <c r="AW32" s="8">
        <v>0</v>
      </c>
      <c r="AY32" s="8">
        <f t="shared" si="4"/>
        <v>0</v>
      </c>
      <c r="BA32" s="12">
        <f t="shared" si="5"/>
        <v>10000</v>
      </c>
    </row>
    <row r="33" spans="1:55" x14ac:dyDescent="0.2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S33" s="8">
        <f t="shared" si="3"/>
        <v>132445</v>
      </c>
      <c r="AU33" s="131">
        <v>0</v>
      </c>
      <c r="AW33" s="8">
        <f>IF(+O33-AS33+AU33&gt;0,O33-AS33+AU33,0)</f>
        <v>0</v>
      </c>
      <c r="AY33" s="8">
        <f t="shared" si="4"/>
        <v>132445</v>
      </c>
      <c r="BA33" s="35">
        <f t="shared" si="5"/>
        <v>-112445</v>
      </c>
    </row>
    <row r="34" spans="1:55" x14ac:dyDescent="0.2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07">
        <f>SUM(AS23:AS33)</f>
        <v>10286720.6</v>
      </c>
      <c r="AU34" s="138">
        <f>SUM(AU23:AU33)</f>
        <v>0</v>
      </c>
      <c r="AW34" s="107">
        <f>SUM(AW23:AW33)</f>
        <v>0.39999999999417923</v>
      </c>
      <c r="AY34" s="107">
        <f>SUM(AY23:AY33)</f>
        <v>10286721</v>
      </c>
      <c r="BA34" s="12">
        <f>SUM(BA23:BA33)</f>
        <v>-236971</v>
      </c>
    </row>
    <row r="35" spans="1:55" x14ac:dyDescent="0.2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6"/>
      <c r="AU35" s="135"/>
      <c r="AW35" s="16"/>
      <c r="AY35" s="16"/>
      <c r="BA35" s="12"/>
    </row>
    <row r="36" spans="1:55" x14ac:dyDescent="0.2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4852795.92</v>
      </c>
      <c r="AP36" s="134"/>
      <c r="AQ36" s="134">
        <f>AQ34+AQ21</f>
        <v>0</v>
      </c>
      <c r="AS36" s="15">
        <f>AS34+AS21</f>
        <v>109975648.52</v>
      </c>
      <c r="AU36" s="131">
        <f>AU34+AU21</f>
        <v>1531200</v>
      </c>
      <c r="AW36" s="15">
        <f>AW34+AW21</f>
        <v>1940180.4</v>
      </c>
      <c r="AY36" s="15">
        <f t="shared" si="4"/>
        <v>111915828.92</v>
      </c>
      <c r="BA36" s="12">
        <f>O36-AS36-AW36</f>
        <v>-2416898.9199999957</v>
      </c>
      <c r="BC36" s="80" t="s">
        <v>403</v>
      </c>
    </row>
    <row r="37" spans="1:55" x14ac:dyDescent="0.2">
      <c r="A37" s="221"/>
      <c r="B37" s="117"/>
      <c r="C37" s="118"/>
      <c r="E37" s="7"/>
      <c r="U37" s="131"/>
      <c r="AU37" s="131"/>
    </row>
    <row r="38" spans="1:55" x14ac:dyDescent="0.2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U38" s="131"/>
    </row>
    <row r="39" spans="1:55" x14ac:dyDescent="0.2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8">
        <f>SUM(P39:AR39)</f>
        <v>535147.29999999993</v>
      </c>
      <c r="AU39" s="131">
        <f>451000-397500+62200+22800-2277+3390</f>
        <v>139613</v>
      </c>
      <c r="AW39" s="8">
        <f>IF(+O39-AS39+AU39&gt;0,O39-AS39+AU39,0)</f>
        <v>1965.7000000000698</v>
      </c>
      <c r="AY39" s="8">
        <f t="shared" si="4"/>
        <v>537113</v>
      </c>
      <c r="BA39" s="12">
        <f>O39-AS39-AW39</f>
        <v>-139613</v>
      </c>
      <c r="BC39" s="131"/>
    </row>
    <row r="40" spans="1:55" x14ac:dyDescent="0.2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S40" s="8">
        <f>SUM(P40:AR40)</f>
        <v>0</v>
      </c>
      <c r="AU40" s="131">
        <v>-12200</v>
      </c>
      <c r="AW40" s="8">
        <f>IF(+O40-AS40+AU40&gt;0,O40-AS40+AU40,0)</f>
        <v>0</v>
      </c>
      <c r="AY40" s="8">
        <f t="shared" si="4"/>
        <v>0</v>
      </c>
      <c r="BA40" s="12">
        <f>O40-AS40-AW40</f>
        <v>12200</v>
      </c>
    </row>
    <row r="41" spans="1:55" x14ac:dyDescent="0.2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8">
        <f>SUM(P41:AR41)</f>
        <v>39063.529999999992</v>
      </c>
      <c r="AU41" s="131">
        <f>47300-24500-8236</f>
        <v>14564</v>
      </c>
      <c r="AW41" s="8">
        <f>IF(+O41-AS41+AU41&gt;0,O41-AS41+AU41,0)</f>
        <v>0.47000000000844011</v>
      </c>
      <c r="AY41" s="8">
        <f t="shared" si="4"/>
        <v>39064</v>
      </c>
      <c r="BA41" s="12">
        <f>O41-AS41-AW41</f>
        <v>-14564</v>
      </c>
    </row>
    <row r="42" spans="1:55" x14ac:dyDescent="0.2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8">
        <f>SUM(P42:AR42)</f>
        <v>78836.709999999992</v>
      </c>
      <c r="AU42" s="131">
        <f>137000-115300-50000</f>
        <v>-28300</v>
      </c>
      <c r="AW42" s="8">
        <f>IF(+O42-AS42+AU42&gt;0,O42-AS42+AU42,0)</f>
        <v>8163.2900000000081</v>
      </c>
      <c r="AY42" s="8">
        <f t="shared" si="4"/>
        <v>87000</v>
      </c>
      <c r="BA42" s="12">
        <f>O42-AS42-AW42</f>
        <v>28300</v>
      </c>
    </row>
    <row r="43" spans="1:55" x14ac:dyDescent="0.2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S43" s="8">
        <f>SUM(P43:AR43)</f>
        <v>122777.20999999999</v>
      </c>
      <c r="AU43" s="131">
        <f>122777-70600</f>
        <v>52177</v>
      </c>
      <c r="AW43" s="8">
        <f>IF(+O43-AS43+AU43&gt;0,O43-AS43+AU43,0)</f>
        <v>0</v>
      </c>
      <c r="AY43" s="8">
        <f t="shared" si="4"/>
        <v>122777.20999999999</v>
      </c>
      <c r="BA43" s="35">
        <f>O43-AS43-AW43</f>
        <v>-52177.209999999992</v>
      </c>
    </row>
    <row r="44" spans="1:55" x14ac:dyDescent="0.2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07">
        <f>SUM(AS39:AS43)</f>
        <v>775824.74999999988</v>
      </c>
      <c r="AU44" s="138">
        <f>SUM(AU39:AU43)</f>
        <v>165854</v>
      </c>
      <c r="AW44" s="107">
        <f>SUM(AW39:AW43)</f>
        <v>10129.460000000086</v>
      </c>
      <c r="AY44" s="107">
        <f>SUM(AY39:AY43)</f>
        <v>785954.21</v>
      </c>
      <c r="BA44" s="107">
        <f>SUM(BA39:BA43)</f>
        <v>-165854.21</v>
      </c>
    </row>
    <row r="45" spans="1:55" x14ac:dyDescent="0.2">
      <c r="A45" s="120"/>
      <c r="B45" s="31"/>
      <c r="C45" s="114"/>
      <c r="E45" s="7"/>
      <c r="G45" s="6"/>
      <c r="U45" s="131"/>
    </row>
    <row r="46" spans="1:55" x14ac:dyDescent="0.2">
      <c r="A46" s="113"/>
      <c r="B46" s="31"/>
      <c r="C46" s="114"/>
      <c r="E46" s="7"/>
      <c r="U46" s="131"/>
    </row>
    <row r="47" spans="1:55" x14ac:dyDescent="0.2">
      <c r="A47" s="112" t="s">
        <v>34</v>
      </c>
      <c r="B47" s="31"/>
      <c r="C47" s="114"/>
      <c r="E47" s="7"/>
      <c r="G47" s="6"/>
      <c r="U47" s="131"/>
    </row>
    <row r="48" spans="1:55" x14ac:dyDescent="0.2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6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8">
        <f t="shared" ref="AS48:AS69" si="7">SUM(P48:AR48)</f>
        <v>0</v>
      </c>
      <c r="AT48" s="8"/>
      <c r="AU48" s="131">
        <f>78000-21792+14000+22229+2000-116229</f>
        <v>-21792</v>
      </c>
      <c r="AV48" s="8"/>
      <c r="AW48" s="8">
        <f t="shared" ref="AW48:AW69" si="8">IF(+O48-AS48+AU48&gt;0,O48-AS48+AU48,0)</f>
        <v>0</v>
      </c>
      <c r="AX48" s="8"/>
      <c r="AY48" s="8">
        <f t="shared" si="4"/>
        <v>0</v>
      </c>
      <c r="AZ48" s="8"/>
      <c r="BA48" s="12">
        <f t="shared" ref="BA48:BA70" si="9">O48-AS48-AW48</f>
        <v>21792</v>
      </c>
    </row>
    <row r="49" spans="1:54" x14ac:dyDescent="0.2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6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8">
        <f t="shared" si="7"/>
        <v>0</v>
      </c>
      <c r="AT49" s="8"/>
      <c r="AU49" s="131">
        <f>625130-785499+5000-1100+2000-631030</f>
        <v>-785499</v>
      </c>
      <c r="AV49" s="8"/>
      <c r="AW49" s="8">
        <f t="shared" si="8"/>
        <v>0</v>
      </c>
      <c r="AX49" s="8"/>
      <c r="AY49" s="8">
        <f t="shared" si="4"/>
        <v>0</v>
      </c>
      <c r="AZ49" s="8"/>
      <c r="BA49" s="12">
        <f t="shared" si="9"/>
        <v>785499</v>
      </c>
    </row>
    <row r="50" spans="1:54" x14ac:dyDescent="0.2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6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8">
        <f t="shared" si="7"/>
        <v>0</v>
      </c>
      <c r="AT50" s="8"/>
      <c r="AU50" s="131">
        <f>23860-18330+500+4000-28360</f>
        <v>-18330</v>
      </c>
      <c r="AV50" s="8"/>
      <c r="AW50" s="8">
        <f t="shared" si="8"/>
        <v>0</v>
      </c>
      <c r="AX50" s="8"/>
      <c r="AY50" s="8">
        <f t="shared" si="4"/>
        <v>0</v>
      </c>
      <c r="AZ50" s="8"/>
      <c r="BA50" s="12">
        <f t="shared" si="9"/>
        <v>18330</v>
      </c>
    </row>
    <row r="51" spans="1:54" x14ac:dyDescent="0.2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6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8">
        <f t="shared" si="7"/>
        <v>0.41999999998370185</v>
      </c>
      <c r="AT51" s="8"/>
      <c r="AU51" s="131">
        <f>226692-357180-3886-222806</f>
        <v>-357180</v>
      </c>
      <c r="AV51" s="8"/>
      <c r="AW51" s="8">
        <f t="shared" si="8"/>
        <v>0</v>
      </c>
      <c r="AX51" s="8"/>
      <c r="AY51" s="8">
        <f t="shared" si="4"/>
        <v>0.41999999998370185</v>
      </c>
      <c r="AZ51" s="8"/>
      <c r="BA51" s="12">
        <f t="shared" si="9"/>
        <v>357179.58</v>
      </c>
    </row>
    <row r="52" spans="1:54" x14ac:dyDescent="0.2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6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8">
        <f t="shared" si="7"/>
        <v>0</v>
      </c>
      <c r="AT52" s="8"/>
      <c r="AU52" s="131">
        <v>-125690</v>
      </c>
      <c r="AV52" s="8"/>
      <c r="AW52" s="8">
        <f t="shared" si="8"/>
        <v>0</v>
      </c>
      <c r="AX52" s="8"/>
      <c r="AY52" s="8">
        <f t="shared" si="4"/>
        <v>0</v>
      </c>
      <c r="AZ52" s="8"/>
      <c r="BA52" s="12">
        <f t="shared" si="9"/>
        <v>125690</v>
      </c>
    </row>
    <row r="53" spans="1:54" x14ac:dyDescent="0.2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6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8">
        <f t="shared" si="7"/>
        <v>0</v>
      </c>
      <c r="AT53" s="8"/>
      <c r="AU53" s="131">
        <f>99951-2762+916-100867</f>
        <v>-2762</v>
      </c>
      <c r="AV53" s="8"/>
      <c r="AW53" s="8">
        <f t="shared" si="8"/>
        <v>0</v>
      </c>
      <c r="AX53" s="8">
        <v>0</v>
      </c>
      <c r="AY53" s="8">
        <f t="shared" si="4"/>
        <v>0</v>
      </c>
      <c r="AZ53" s="8"/>
      <c r="BA53" s="12">
        <f t="shared" si="9"/>
        <v>2762</v>
      </c>
      <c r="BB53" s="6">
        <v>0</v>
      </c>
    </row>
    <row r="54" spans="1:54" x14ac:dyDescent="0.2">
      <c r="A54" s="112"/>
      <c r="B54" s="31" t="s">
        <v>404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8">
        <f>SUM(P54:AR54)</f>
        <v>0</v>
      </c>
      <c r="AT54" s="8"/>
      <c r="AU54" s="131">
        <f>2891+920+3000+6700-13511</f>
        <v>0</v>
      </c>
      <c r="AV54" s="8"/>
      <c r="AW54" s="8">
        <f t="shared" si="8"/>
        <v>0</v>
      </c>
      <c r="AX54" s="8"/>
      <c r="AY54" s="8">
        <f>+AW54+AS54</f>
        <v>0</v>
      </c>
      <c r="AZ54" s="8"/>
      <c r="BA54" s="12">
        <f t="shared" si="9"/>
        <v>0</v>
      </c>
    </row>
    <row r="55" spans="1:54" x14ac:dyDescent="0.2">
      <c r="A55" s="112"/>
      <c r="B55" s="31" t="s">
        <v>425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8"/>
      <c r="AT55" s="8"/>
      <c r="AU55" s="131">
        <f>920-920</f>
        <v>0</v>
      </c>
      <c r="AV55" s="8"/>
      <c r="AW55" s="8">
        <f t="shared" si="8"/>
        <v>0</v>
      </c>
      <c r="AX55" s="8"/>
      <c r="AY55" s="8">
        <f>+AW55+AS55</f>
        <v>0</v>
      </c>
      <c r="AZ55" s="8"/>
      <c r="BA55" s="12">
        <f t="shared" si="9"/>
        <v>0</v>
      </c>
    </row>
    <row r="56" spans="1:54" x14ac:dyDescent="0.2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6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8">
        <f t="shared" si="7"/>
        <v>0</v>
      </c>
      <c r="AT56" s="8"/>
      <c r="AU56" s="131">
        <f>121350-192677-7000+8318-122668</f>
        <v>-192677</v>
      </c>
      <c r="AV56" s="8"/>
      <c r="AW56" s="8">
        <f t="shared" si="8"/>
        <v>0</v>
      </c>
      <c r="AX56" s="8"/>
      <c r="AY56" s="8">
        <f t="shared" si="4"/>
        <v>0</v>
      </c>
      <c r="AZ56" s="8"/>
      <c r="BA56" s="12">
        <f t="shared" si="9"/>
        <v>192677</v>
      </c>
    </row>
    <row r="57" spans="1:54" x14ac:dyDescent="0.2">
      <c r="A57" s="112"/>
      <c r="B57" s="31" t="s">
        <v>428</v>
      </c>
      <c r="C57" s="114"/>
      <c r="E57" s="7" t="s">
        <v>17</v>
      </c>
      <c r="G57" s="7" t="s">
        <v>254</v>
      </c>
      <c r="K57" s="5">
        <v>30000</v>
      </c>
      <c r="O57" s="5">
        <f t="shared" si="6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8">
        <f t="shared" si="7"/>
        <v>0</v>
      </c>
      <c r="AT57" s="8"/>
      <c r="AU57" s="131">
        <v>-30000</v>
      </c>
      <c r="AV57" s="8"/>
      <c r="AW57" s="8">
        <f t="shared" si="8"/>
        <v>0</v>
      </c>
      <c r="AX57" s="8"/>
      <c r="AY57" s="8">
        <f t="shared" si="4"/>
        <v>0</v>
      </c>
      <c r="AZ57" s="8"/>
      <c r="BA57" s="12">
        <f t="shared" si="9"/>
        <v>30000</v>
      </c>
    </row>
    <row r="58" spans="1:54" x14ac:dyDescent="0.2">
      <c r="A58" s="112"/>
      <c r="B58" s="31" t="s">
        <v>429</v>
      </c>
      <c r="C58" s="114"/>
      <c r="E58" s="7" t="s">
        <v>17</v>
      </c>
      <c r="G58" s="7" t="s">
        <v>254</v>
      </c>
      <c r="K58" s="5">
        <v>44197</v>
      </c>
      <c r="O58" s="5">
        <f t="shared" si="6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8">
        <f t="shared" si="7"/>
        <v>0</v>
      </c>
      <c r="AT58" s="8"/>
      <c r="AU58" s="131">
        <f>38712-44197-38712</f>
        <v>-44197</v>
      </c>
      <c r="AV58" s="8"/>
      <c r="AW58" s="8">
        <f t="shared" si="8"/>
        <v>0</v>
      </c>
      <c r="AX58" s="8"/>
      <c r="AY58" s="8">
        <f t="shared" si="4"/>
        <v>0</v>
      </c>
      <c r="AZ58" s="8"/>
      <c r="BA58" s="12">
        <f t="shared" si="9"/>
        <v>44197</v>
      </c>
    </row>
    <row r="59" spans="1:54" x14ac:dyDescent="0.2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6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8">
        <f t="shared" si="7"/>
        <v>0</v>
      </c>
      <c r="AT59" s="8"/>
      <c r="AU59" s="131">
        <f>16002-49514+1615-17617</f>
        <v>-49514</v>
      </c>
      <c r="AV59" s="8"/>
      <c r="AW59" s="8">
        <f t="shared" si="8"/>
        <v>0</v>
      </c>
      <c r="AX59" s="8"/>
      <c r="AY59" s="8">
        <f t="shared" si="4"/>
        <v>0</v>
      </c>
      <c r="AZ59" s="8"/>
      <c r="BA59" s="12">
        <f t="shared" si="9"/>
        <v>49514</v>
      </c>
    </row>
    <row r="60" spans="1:54" x14ac:dyDescent="0.2">
      <c r="A60" s="112"/>
      <c r="B60" s="31" t="s">
        <v>380</v>
      </c>
      <c r="C60" s="114"/>
      <c r="E60" s="7" t="s">
        <v>17</v>
      </c>
      <c r="G60" s="7" t="s">
        <v>254</v>
      </c>
      <c r="K60" s="5">
        <v>58003</v>
      </c>
      <c r="O60" s="182">
        <f t="shared" si="6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8">
        <f t="shared" si="7"/>
        <v>0.34999999999854481</v>
      </c>
      <c r="AT60" s="8"/>
      <c r="AU60" s="131">
        <f>-11000-47003</f>
        <v>-58003</v>
      </c>
      <c r="AV60" s="8"/>
      <c r="AW60" s="8">
        <f t="shared" si="8"/>
        <v>0</v>
      </c>
      <c r="AX60" s="8"/>
      <c r="AY60" s="8">
        <f t="shared" si="4"/>
        <v>0.34999999999854481</v>
      </c>
      <c r="AZ60" s="8"/>
      <c r="BA60" s="12">
        <f t="shared" si="9"/>
        <v>58002.65</v>
      </c>
    </row>
    <row r="61" spans="1:54" x14ac:dyDescent="0.2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6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8">
        <f t="shared" si="7"/>
        <v>0</v>
      </c>
      <c r="AT61" s="8"/>
      <c r="AU61" s="131">
        <f>300000-643354+175-4399-295776</f>
        <v>-643354</v>
      </c>
      <c r="AV61" s="8"/>
      <c r="AW61" s="8">
        <f t="shared" si="8"/>
        <v>0</v>
      </c>
      <c r="AX61" s="8"/>
      <c r="AY61" s="8">
        <f t="shared" si="4"/>
        <v>0</v>
      </c>
      <c r="AZ61" s="8"/>
      <c r="BA61" s="12">
        <f t="shared" si="9"/>
        <v>643354</v>
      </c>
    </row>
    <row r="62" spans="1:54" x14ac:dyDescent="0.2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6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8">
        <f t="shared" si="7"/>
        <v>0</v>
      </c>
      <c r="AT62" s="8"/>
      <c r="AU62" s="131">
        <v>-66337</v>
      </c>
      <c r="AV62" s="8"/>
      <c r="AW62" s="8">
        <f t="shared" si="8"/>
        <v>0</v>
      </c>
      <c r="AX62" s="8"/>
      <c r="AY62" s="8">
        <f t="shared" si="4"/>
        <v>0</v>
      </c>
      <c r="AZ62" s="8"/>
      <c r="BA62" s="12">
        <f t="shared" si="9"/>
        <v>66337</v>
      </c>
    </row>
    <row r="63" spans="1:54" x14ac:dyDescent="0.2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6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8">
        <f t="shared" si="7"/>
        <v>0</v>
      </c>
      <c r="AT63" s="8"/>
      <c r="AU63" s="131">
        <f>-10000+490-980-6285</f>
        <v>-16775</v>
      </c>
      <c r="AV63" s="8"/>
      <c r="AW63" s="8">
        <f t="shared" si="8"/>
        <v>0</v>
      </c>
      <c r="AX63" s="8"/>
      <c r="AY63" s="8">
        <f t="shared" si="4"/>
        <v>0</v>
      </c>
      <c r="AZ63" s="8"/>
      <c r="BA63" s="12">
        <f t="shared" si="9"/>
        <v>16775</v>
      </c>
    </row>
    <row r="64" spans="1:54" x14ac:dyDescent="0.2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6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8">
        <f t="shared" si="7"/>
        <v>0</v>
      </c>
      <c r="AT64" s="8"/>
      <c r="AU64" s="131">
        <v>-8102</v>
      </c>
      <c r="AV64" s="8"/>
      <c r="AW64" s="8">
        <f t="shared" si="8"/>
        <v>0</v>
      </c>
      <c r="AX64" s="8"/>
      <c r="AY64" s="8">
        <f t="shared" si="4"/>
        <v>0</v>
      </c>
      <c r="AZ64" s="8"/>
      <c r="BA64" s="12">
        <f t="shared" si="9"/>
        <v>8102</v>
      </c>
    </row>
    <row r="65" spans="1:55" x14ac:dyDescent="0.2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6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8">
        <f t="shared" si="7"/>
        <v>0</v>
      </c>
      <c r="AT65" s="8"/>
      <c r="AU65" s="131">
        <f>20488-17156+73865-180+155-94328</f>
        <v>-17156</v>
      </c>
      <c r="AV65" s="8"/>
      <c r="AW65" s="8">
        <f t="shared" si="8"/>
        <v>0</v>
      </c>
      <c r="AX65" s="8"/>
      <c r="AY65" s="8">
        <f t="shared" si="4"/>
        <v>0</v>
      </c>
      <c r="AZ65" s="8"/>
      <c r="BA65" s="12">
        <f t="shared" si="9"/>
        <v>17156</v>
      </c>
    </row>
    <row r="66" spans="1:55" x14ac:dyDescent="0.2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6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8">
        <f t="shared" si="7"/>
        <v>0</v>
      </c>
      <c r="AT66" s="8"/>
      <c r="AU66" s="131">
        <f>-200000-102918-246082</f>
        <v>-549000</v>
      </c>
      <c r="AV66" s="8"/>
      <c r="AW66" s="8">
        <f t="shared" si="8"/>
        <v>0</v>
      </c>
      <c r="AX66" s="8"/>
      <c r="AY66" s="8">
        <f t="shared" si="4"/>
        <v>0</v>
      </c>
      <c r="AZ66" s="8"/>
      <c r="BA66" s="12">
        <f t="shared" si="9"/>
        <v>549000</v>
      </c>
    </row>
    <row r="67" spans="1:55" x14ac:dyDescent="0.2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6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8">
        <f t="shared" si="7"/>
        <v>0</v>
      </c>
      <c r="AT67" s="8"/>
      <c r="AU67" s="131">
        <f>76524-95788-76524+35000+15509-50509</f>
        <v>-95788</v>
      </c>
      <c r="AV67" s="8"/>
      <c r="AW67" s="8">
        <f t="shared" si="8"/>
        <v>0</v>
      </c>
      <c r="AX67" s="8"/>
      <c r="AY67" s="8">
        <f t="shared" si="4"/>
        <v>0</v>
      </c>
      <c r="AZ67" s="8"/>
      <c r="BA67" s="12">
        <f t="shared" si="9"/>
        <v>95788</v>
      </c>
    </row>
    <row r="68" spans="1:55" x14ac:dyDescent="0.2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6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8">
        <f t="shared" si="7"/>
        <v>0</v>
      </c>
      <c r="AT68" s="8"/>
      <c r="AU68" s="131">
        <f>72029-106000-16900-16001-39128</f>
        <v>-106000</v>
      </c>
      <c r="AV68" s="8"/>
      <c r="AW68" s="8">
        <f t="shared" si="8"/>
        <v>0</v>
      </c>
      <c r="AX68" s="8"/>
      <c r="AY68" s="8">
        <f t="shared" si="4"/>
        <v>0</v>
      </c>
      <c r="AZ68" s="8"/>
      <c r="BA68" s="12">
        <f t="shared" si="9"/>
        <v>106000</v>
      </c>
    </row>
    <row r="69" spans="1:55" x14ac:dyDescent="0.2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6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8">
        <f t="shared" si="7"/>
        <v>0</v>
      </c>
      <c r="AT69" s="8"/>
      <c r="AU69" s="131">
        <f>-20118-871+50000-52839</f>
        <v>-23828</v>
      </c>
      <c r="AV69" s="8"/>
      <c r="AW69" s="8">
        <f t="shared" si="8"/>
        <v>0</v>
      </c>
      <c r="AX69" s="8"/>
      <c r="AY69" s="264">
        <f t="shared" si="4"/>
        <v>0</v>
      </c>
      <c r="AZ69" s="8"/>
      <c r="BA69" s="35">
        <f t="shared" si="9"/>
        <v>23828</v>
      </c>
      <c r="BC69" s="157"/>
    </row>
    <row r="70" spans="1:55" x14ac:dyDescent="0.2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07">
        <f>SUM(AS48:AS69)</f>
        <v>0.76999999998224666</v>
      </c>
      <c r="AU70" s="138">
        <f>SUM(AU48:AU69)</f>
        <v>-3211984</v>
      </c>
      <c r="AW70" s="107">
        <f>SUM(AW48:AW69)</f>
        <v>0</v>
      </c>
      <c r="AY70" s="107">
        <f t="shared" si="4"/>
        <v>0.76999999998224666</v>
      </c>
      <c r="BA70" s="107">
        <f t="shared" si="9"/>
        <v>3211983.23</v>
      </c>
    </row>
    <row r="71" spans="1:55" x14ac:dyDescent="0.2">
      <c r="A71" s="113"/>
      <c r="B71" s="31"/>
      <c r="C71" s="114"/>
      <c r="E71" s="7"/>
      <c r="O71" s="45"/>
      <c r="U71" s="131"/>
    </row>
    <row r="72" spans="1:55" x14ac:dyDescent="0.2">
      <c r="A72" s="121" t="s">
        <v>45</v>
      </c>
      <c r="B72" s="31"/>
      <c r="C72" s="114"/>
      <c r="E72" s="7"/>
      <c r="O72" s="45"/>
      <c r="U72" s="131"/>
      <c r="BA72" s="8">
        <f t="shared" ref="BA72:BA98" si="10">O72-AS72-AW72</f>
        <v>0</v>
      </c>
    </row>
    <row r="73" spans="1:55" x14ac:dyDescent="0.2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1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8">
        <f t="shared" ref="AS73:AS97" si="12">SUM(P73:AR73)</f>
        <v>84555</v>
      </c>
      <c r="AT73" s="8"/>
      <c r="AU73" s="131">
        <f>62500-28593+100000-77945</f>
        <v>55962</v>
      </c>
      <c r="AV73" s="8"/>
      <c r="AW73" s="8">
        <f t="shared" ref="AW73:AW97" si="13">IF(+O73-AS73+AU73&gt;0,O73-AS73+AU73,0)</f>
        <v>0</v>
      </c>
      <c r="AX73" s="8"/>
      <c r="AY73" s="8">
        <f t="shared" si="4"/>
        <v>84555</v>
      </c>
      <c r="AZ73" s="8"/>
      <c r="BA73" s="12">
        <f t="shared" si="10"/>
        <v>-55962</v>
      </c>
      <c r="BC73" s="6" t="s">
        <v>413</v>
      </c>
    </row>
    <row r="74" spans="1:55" x14ac:dyDescent="0.2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1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8">
        <f t="shared" si="12"/>
        <v>450867</v>
      </c>
      <c r="AT74" s="8"/>
      <c r="AU74" s="131">
        <f>845+118530-9574-24727-18595-17972+10055</f>
        <v>58562</v>
      </c>
      <c r="AV74" s="8"/>
      <c r="AW74" s="8">
        <f t="shared" si="13"/>
        <v>0</v>
      </c>
      <c r="AX74" s="8"/>
      <c r="AY74" s="8">
        <f t="shared" si="4"/>
        <v>450867</v>
      </c>
      <c r="AZ74" s="8"/>
      <c r="BA74" s="12">
        <f t="shared" si="10"/>
        <v>-58562</v>
      </c>
    </row>
    <row r="75" spans="1:55" x14ac:dyDescent="0.2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1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8">
        <f t="shared" si="12"/>
        <v>807631</v>
      </c>
      <c r="AT75" s="8"/>
      <c r="AU75" s="131">
        <f>668414-329754+63305+76904+32208-14130-19070</f>
        <v>477877</v>
      </c>
      <c r="AV75" s="8"/>
      <c r="AW75" s="8">
        <f t="shared" si="13"/>
        <v>0</v>
      </c>
      <c r="AX75" s="8"/>
      <c r="AY75" s="8">
        <f t="shared" si="4"/>
        <v>807631</v>
      </c>
      <c r="AZ75" s="8"/>
      <c r="BA75" s="12">
        <f t="shared" si="10"/>
        <v>-477877</v>
      </c>
    </row>
    <row r="76" spans="1:55" x14ac:dyDescent="0.2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1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8">
        <f t="shared" si="12"/>
        <v>262652</v>
      </c>
      <c r="AT76" s="8"/>
      <c r="AU76" s="131">
        <f>528331-468032-70400-144686-46697-1579+873-3190</f>
        <v>-205380</v>
      </c>
      <c r="AV76" s="8"/>
      <c r="AW76" s="8">
        <f t="shared" si="13"/>
        <v>0</v>
      </c>
      <c r="AX76" s="8"/>
      <c r="AY76" s="8">
        <f t="shared" si="4"/>
        <v>262652</v>
      </c>
      <c r="AZ76" s="8"/>
      <c r="BA76" s="12">
        <f t="shared" si="10"/>
        <v>205380</v>
      </c>
    </row>
    <row r="77" spans="1:55" x14ac:dyDescent="0.2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1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8">
        <f t="shared" si="12"/>
        <v>1518653</v>
      </c>
      <c r="AT77" s="8"/>
      <c r="AU77" s="131">
        <f>1676591-1299267-40000+53432-143729-42917+33025-15971-1778</f>
        <v>219386</v>
      </c>
      <c r="AV77" s="8"/>
      <c r="AW77" s="12">
        <f>IF(+O77-AS77+AU77&gt;0,O77-AS77+AU77,0)</f>
        <v>0</v>
      </c>
      <c r="AX77" s="8"/>
      <c r="AY77" s="8">
        <f t="shared" si="4"/>
        <v>1518653</v>
      </c>
      <c r="AZ77" s="8"/>
      <c r="BA77" s="12">
        <f t="shared" si="10"/>
        <v>-219386</v>
      </c>
    </row>
    <row r="78" spans="1:55" x14ac:dyDescent="0.2">
      <c r="A78" s="113"/>
      <c r="B78" s="31" t="s">
        <v>388</v>
      </c>
      <c r="C78" s="114"/>
      <c r="E78" s="7"/>
      <c r="G78" s="7" t="s">
        <v>254</v>
      </c>
      <c r="K78" s="5">
        <v>72359</v>
      </c>
      <c r="M78" s="5"/>
      <c r="O78" s="182">
        <f t="shared" si="11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8">
        <f t="shared" si="12"/>
        <v>88008</v>
      </c>
      <c r="AT78" s="8"/>
      <c r="AU78" s="131">
        <f>14103+12577-433-7220-3378</f>
        <v>15649</v>
      </c>
      <c r="AV78" s="8"/>
      <c r="AW78" s="8">
        <f t="shared" si="13"/>
        <v>0</v>
      </c>
      <c r="AX78" s="8"/>
      <c r="AY78" s="8">
        <f t="shared" si="4"/>
        <v>88008</v>
      </c>
      <c r="AZ78" s="8"/>
      <c r="BA78" s="12">
        <f t="shared" si="10"/>
        <v>-15649</v>
      </c>
    </row>
    <row r="79" spans="1:55" x14ac:dyDescent="0.2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1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8">
        <f t="shared" si="12"/>
        <v>202483</v>
      </c>
      <c r="AT79" s="8"/>
      <c r="AU79" s="131">
        <f>2610-1707+9776-340-71005+71110</f>
        <v>10444</v>
      </c>
      <c r="AV79" s="8"/>
      <c r="AW79" s="8">
        <f t="shared" si="13"/>
        <v>0</v>
      </c>
      <c r="AX79" s="8"/>
      <c r="AY79" s="8">
        <f t="shared" si="4"/>
        <v>202483</v>
      </c>
      <c r="AZ79" s="8"/>
      <c r="BA79" s="12">
        <f t="shared" si="10"/>
        <v>-10444</v>
      </c>
    </row>
    <row r="80" spans="1:55" x14ac:dyDescent="0.2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1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8">
        <f t="shared" si="12"/>
        <v>46980</v>
      </c>
      <c r="AT80" s="8"/>
      <c r="AU80" s="131">
        <f>-79153+46980</f>
        <v>-32173</v>
      </c>
      <c r="AV80" s="8"/>
      <c r="AW80" s="8">
        <f t="shared" si="13"/>
        <v>0</v>
      </c>
      <c r="AX80" s="8"/>
      <c r="AY80" s="8">
        <f t="shared" si="4"/>
        <v>46980</v>
      </c>
      <c r="AZ80" s="8"/>
      <c r="BA80" s="12">
        <f t="shared" si="10"/>
        <v>32173</v>
      </c>
    </row>
    <row r="81" spans="1:55" x14ac:dyDescent="0.2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1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8">
        <f t="shared" si="12"/>
        <v>338622</v>
      </c>
      <c r="AT81" s="8"/>
      <c r="AU81" s="131">
        <f>57311+3585-22421+22606-48843</f>
        <v>12238</v>
      </c>
      <c r="AV81" s="8"/>
      <c r="AW81" s="8">
        <f t="shared" si="13"/>
        <v>0</v>
      </c>
      <c r="AX81" s="8"/>
      <c r="AY81" s="8">
        <f t="shared" si="4"/>
        <v>338622</v>
      </c>
      <c r="AZ81" s="8"/>
      <c r="BA81" s="12">
        <f t="shared" si="10"/>
        <v>-12238</v>
      </c>
    </row>
    <row r="82" spans="1:55" x14ac:dyDescent="0.2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1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8">
        <f t="shared" si="12"/>
        <v>0</v>
      </c>
      <c r="AT82" s="8"/>
      <c r="AU82" s="131"/>
      <c r="AV82" s="8"/>
      <c r="AW82" s="8">
        <f t="shared" si="13"/>
        <v>0</v>
      </c>
      <c r="AX82" s="8"/>
      <c r="AY82" s="8">
        <f t="shared" ref="AY82:AY147" si="14">+AW82+AS82</f>
        <v>0</v>
      </c>
      <c r="AZ82" s="8"/>
      <c r="BA82" s="12">
        <f t="shared" si="10"/>
        <v>0</v>
      </c>
    </row>
    <row r="83" spans="1:55" x14ac:dyDescent="0.2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1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8">
        <f t="shared" si="12"/>
        <v>306441</v>
      </c>
      <c r="AT83" s="8"/>
      <c r="AU83" s="131">
        <f>48852+15000+15231-4267+116229+6523+2702+2621-4998+17257</f>
        <v>215150</v>
      </c>
      <c r="AV83" s="8"/>
      <c r="AW83" s="8">
        <f t="shared" si="13"/>
        <v>0</v>
      </c>
      <c r="AX83" s="8"/>
      <c r="AY83" s="264">
        <f t="shared" si="14"/>
        <v>306441</v>
      </c>
      <c r="AZ83" s="8"/>
      <c r="BA83" s="12">
        <f t="shared" si="10"/>
        <v>-215150</v>
      </c>
    </row>
    <row r="84" spans="1:55" x14ac:dyDescent="0.2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1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8">
        <f t="shared" si="12"/>
        <v>0</v>
      </c>
      <c r="AT84" s="8"/>
      <c r="AU84" s="131">
        <f>0</f>
        <v>0</v>
      </c>
      <c r="AV84" s="8"/>
      <c r="AW84" s="8">
        <f t="shared" si="13"/>
        <v>0</v>
      </c>
      <c r="AX84" s="8"/>
      <c r="AY84" s="8">
        <f t="shared" si="14"/>
        <v>0</v>
      </c>
      <c r="AZ84" s="8"/>
      <c r="BA84" s="12">
        <f t="shared" si="10"/>
        <v>0</v>
      </c>
    </row>
    <row r="85" spans="1:55" x14ac:dyDescent="0.2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1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8">
        <f t="shared" si="12"/>
        <v>409599</v>
      </c>
      <c r="AT85" s="8"/>
      <c r="AU85" s="131">
        <f>70885+427466-240368+712-712</f>
        <v>257983</v>
      </c>
      <c r="AV85" s="8"/>
      <c r="AW85" s="8">
        <f t="shared" si="13"/>
        <v>0</v>
      </c>
      <c r="AX85" s="8"/>
      <c r="AY85" s="8">
        <f t="shared" si="14"/>
        <v>409599</v>
      </c>
      <c r="AZ85" s="8"/>
      <c r="BA85" s="12">
        <f t="shared" si="10"/>
        <v>-257983</v>
      </c>
    </row>
    <row r="86" spans="1:55" x14ac:dyDescent="0.2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1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8">
        <f t="shared" si="12"/>
        <v>0</v>
      </c>
      <c r="AT86" s="8"/>
      <c r="AU86" s="131"/>
      <c r="AV86" s="8"/>
      <c r="AW86" s="8">
        <f t="shared" si="13"/>
        <v>0</v>
      </c>
      <c r="AX86" s="8"/>
      <c r="AY86" s="8">
        <f t="shared" si="14"/>
        <v>0</v>
      </c>
      <c r="AZ86" s="8"/>
      <c r="BA86" s="12">
        <f t="shared" si="10"/>
        <v>0</v>
      </c>
    </row>
    <row r="87" spans="1:55" x14ac:dyDescent="0.2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1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8">
        <f t="shared" si="12"/>
        <v>2608654</v>
      </c>
      <c r="AT87" s="8"/>
      <c r="AU87" s="131">
        <f>550632-566895-4509+75000+100000+77531+631030+28360+222806+100867+13511+122668+38712+17617+124548+51452+209+335+152+1+5180-210</f>
        <v>1588997</v>
      </c>
      <c r="AV87" s="8"/>
      <c r="AW87" s="12">
        <f>IF(+O87-AS87+AU87&gt;0,O87-AS87+AU87,0)</f>
        <v>0</v>
      </c>
      <c r="AX87" s="8"/>
      <c r="AY87" s="264">
        <f t="shared" si="14"/>
        <v>2608654</v>
      </c>
      <c r="AZ87" s="8"/>
      <c r="BA87" s="12">
        <f t="shared" si="10"/>
        <v>-2041759</v>
      </c>
      <c r="BC87" s="157" t="s">
        <v>500</v>
      </c>
    </row>
    <row r="88" spans="1:55" x14ac:dyDescent="0.2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1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8">
        <f t="shared" si="12"/>
        <v>0</v>
      </c>
      <c r="AT88" s="8"/>
      <c r="AU88" s="131">
        <f>180000-92834-30000+26000-176000</f>
        <v>-92834</v>
      </c>
      <c r="AV88" s="8"/>
      <c r="AW88" s="8">
        <f t="shared" si="13"/>
        <v>0</v>
      </c>
      <c r="AX88" s="8"/>
      <c r="AY88" s="8">
        <f t="shared" si="14"/>
        <v>0</v>
      </c>
      <c r="AZ88" s="8"/>
      <c r="BA88" s="12">
        <f t="shared" si="10"/>
        <v>92834</v>
      </c>
    </row>
    <row r="89" spans="1:55" x14ac:dyDescent="0.2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1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8">
        <f t="shared" si="12"/>
        <v>999267</v>
      </c>
      <c r="AT89" s="8"/>
      <c r="AU89" s="131">
        <f>18803+879767-239590+113794+327471-330993-327471</f>
        <v>441781</v>
      </c>
      <c r="AV89" s="8"/>
      <c r="AW89" s="8">
        <f t="shared" si="13"/>
        <v>0</v>
      </c>
      <c r="AX89" s="8"/>
      <c r="AY89" s="8">
        <f t="shared" si="14"/>
        <v>999267</v>
      </c>
      <c r="AZ89" s="8"/>
      <c r="BA89" s="12">
        <f t="shared" si="10"/>
        <v>-441781</v>
      </c>
    </row>
    <row r="90" spans="1:55" x14ac:dyDescent="0.2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1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8">
        <f t="shared" si="12"/>
        <v>464441</v>
      </c>
      <c r="AT90" s="8"/>
      <c r="AU90" s="131">
        <f>291034-321922+43561+47003+295776+6016-15000+15708-10-136523+5692</f>
        <v>231335</v>
      </c>
      <c r="AV90" s="8"/>
      <c r="AW90" s="8">
        <f t="shared" si="13"/>
        <v>0</v>
      </c>
      <c r="AX90" s="8"/>
      <c r="AY90" s="8">
        <f t="shared" si="14"/>
        <v>464441</v>
      </c>
      <c r="AZ90" s="8"/>
      <c r="BA90" s="12">
        <f t="shared" si="10"/>
        <v>-231335</v>
      </c>
    </row>
    <row r="91" spans="1:55" x14ac:dyDescent="0.2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1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8">
        <f t="shared" si="12"/>
        <v>98986</v>
      </c>
      <c r="AT91" s="8"/>
      <c r="AU91" s="131">
        <f>-185756-44415+13401</f>
        <v>-216770</v>
      </c>
      <c r="AV91" s="8"/>
      <c r="AW91" s="8">
        <f t="shared" si="13"/>
        <v>0</v>
      </c>
      <c r="AX91" s="8"/>
      <c r="AY91" s="12">
        <f t="shared" si="14"/>
        <v>98986</v>
      </c>
      <c r="AZ91" s="8"/>
      <c r="BA91" s="12">
        <f t="shared" si="10"/>
        <v>216770</v>
      </c>
    </row>
    <row r="92" spans="1:55" x14ac:dyDescent="0.2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1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8">
        <f t="shared" si="12"/>
        <v>410225</v>
      </c>
      <c r="AT92" s="8"/>
      <c r="AU92" s="131">
        <f>276887+10625+1500</f>
        <v>289012</v>
      </c>
      <c r="AV92" s="8"/>
      <c r="AW92" s="8">
        <f t="shared" si="13"/>
        <v>0</v>
      </c>
      <c r="AX92" s="8"/>
      <c r="AY92" s="8">
        <f t="shared" si="14"/>
        <v>410225</v>
      </c>
      <c r="AZ92" s="8"/>
      <c r="BA92" s="12">
        <f t="shared" si="10"/>
        <v>-289012</v>
      </c>
    </row>
    <row r="93" spans="1:55" x14ac:dyDescent="0.2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1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8">
        <f t="shared" si="12"/>
        <v>0</v>
      </c>
      <c r="AT93" s="8"/>
      <c r="AU93" s="131"/>
      <c r="AV93" s="8"/>
      <c r="AW93" s="8">
        <f t="shared" si="13"/>
        <v>0</v>
      </c>
      <c r="AX93" s="8"/>
      <c r="AY93" s="8">
        <f t="shared" si="14"/>
        <v>0</v>
      </c>
      <c r="AZ93" s="8"/>
      <c r="BA93" s="12">
        <f t="shared" si="10"/>
        <v>0</v>
      </c>
    </row>
    <row r="94" spans="1:55" x14ac:dyDescent="0.2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1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8">
        <f t="shared" si="12"/>
        <v>3359547</v>
      </c>
      <c r="AT94" s="8"/>
      <c r="AU94" s="131">
        <f>103299+18412+1543616-484968+4036-520000+109846+83132+6285+94328+246082+50509+16001+52839+39128+20909+5319-218752+9446+9812-283267+127909</f>
        <v>1033921</v>
      </c>
      <c r="AV94" s="8"/>
      <c r="AW94" s="8">
        <f t="shared" si="13"/>
        <v>0</v>
      </c>
      <c r="AX94" s="8"/>
      <c r="AY94" s="8">
        <f t="shared" si="14"/>
        <v>3359547</v>
      </c>
      <c r="AZ94" s="8"/>
      <c r="BA94" s="12">
        <f t="shared" si="10"/>
        <v>-1033921</v>
      </c>
    </row>
    <row r="95" spans="1:55" x14ac:dyDescent="0.2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1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8">
        <f t="shared" si="12"/>
        <v>4698860.2</v>
      </c>
      <c r="AT95" s="8"/>
      <c r="AU95" s="131">
        <f>4821110-5107662-127464+86561+2667+47113-177083+45956</f>
        <v>-408802</v>
      </c>
      <c r="AV95" s="8"/>
      <c r="AW95" s="8">
        <f t="shared" si="13"/>
        <v>0</v>
      </c>
      <c r="AX95" s="8"/>
      <c r="AY95" s="12">
        <f t="shared" si="14"/>
        <v>4698860.2</v>
      </c>
      <c r="AZ95" s="8"/>
      <c r="BA95" s="34">
        <f t="shared" si="10"/>
        <v>408801.79999999981</v>
      </c>
    </row>
    <row r="96" spans="1:55" x14ac:dyDescent="0.2">
      <c r="A96" s="113"/>
      <c r="B96" s="31" t="s">
        <v>426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1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8">
        <f t="shared" si="12"/>
        <v>364</v>
      </c>
      <c r="AT96" s="8"/>
      <c r="AU96" s="131">
        <f>29229+13142+14079+318-56404</f>
        <v>364</v>
      </c>
      <c r="AV96" s="8"/>
      <c r="AW96" s="8">
        <f t="shared" si="13"/>
        <v>0</v>
      </c>
      <c r="AX96" s="8"/>
      <c r="AY96" s="8">
        <f t="shared" si="14"/>
        <v>364</v>
      </c>
      <c r="AZ96" s="8"/>
      <c r="BA96" s="34">
        <f t="shared" si="10"/>
        <v>-364</v>
      </c>
    </row>
    <row r="97" spans="1:55" x14ac:dyDescent="0.2">
      <c r="A97" s="113"/>
      <c r="B97" s="31" t="s">
        <v>535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8">
        <f t="shared" si="12"/>
        <v>189675.18000000002</v>
      </c>
      <c r="AT97" s="8"/>
      <c r="AU97" s="131">
        <v>0</v>
      </c>
      <c r="AV97" s="8"/>
      <c r="AW97" s="8">
        <f t="shared" si="13"/>
        <v>0</v>
      </c>
      <c r="AX97" s="8"/>
      <c r="AY97" s="8">
        <f t="shared" si="14"/>
        <v>189675.18000000002</v>
      </c>
      <c r="AZ97" s="8"/>
      <c r="BA97" s="34">
        <f t="shared" si="10"/>
        <v>-189675.18000000002</v>
      </c>
    </row>
    <row r="98" spans="1:55" x14ac:dyDescent="0.2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 t="shared" ref="U98:AS98" si="15">SUM(U73:U97)</f>
        <v>122182.7</v>
      </c>
      <c r="V98" s="138"/>
      <c r="W98" s="138">
        <f t="shared" si="15"/>
        <v>307623.5</v>
      </c>
      <c r="X98" s="138"/>
      <c r="Y98" s="138">
        <f t="shared" si="15"/>
        <v>1152720</v>
      </c>
      <c r="Z98" s="138"/>
      <c r="AA98" s="138">
        <f t="shared" si="15"/>
        <v>0</v>
      </c>
      <c r="AB98" s="138"/>
      <c r="AC98" s="138">
        <f t="shared" si="15"/>
        <v>2771933</v>
      </c>
      <c r="AD98" s="138"/>
      <c r="AE98" s="138">
        <f t="shared" si="15"/>
        <v>1931796</v>
      </c>
      <c r="AF98" s="138"/>
      <c r="AG98" s="138">
        <f t="shared" si="15"/>
        <v>6052695</v>
      </c>
      <c r="AH98" s="138"/>
      <c r="AI98" s="138">
        <f t="shared" si="15"/>
        <v>3119977</v>
      </c>
      <c r="AJ98" s="138"/>
      <c r="AK98" s="138">
        <f t="shared" si="15"/>
        <v>923802.7</v>
      </c>
      <c r="AL98" s="138"/>
      <c r="AM98" s="138">
        <f t="shared" si="15"/>
        <v>438997.48</v>
      </c>
      <c r="AN98" s="138"/>
      <c r="AO98" s="138">
        <f t="shared" si="15"/>
        <v>432769</v>
      </c>
      <c r="AP98" s="138"/>
      <c r="AQ98" s="138">
        <f t="shared" si="15"/>
        <v>0</v>
      </c>
      <c r="AR98" s="138"/>
      <c r="AS98" s="138">
        <f t="shared" si="15"/>
        <v>17346510.379999999</v>
      </c>
      <c r="AU98" s="138">
        <f>SUM(AU73:AU96)</f>
        <v>3952702</v>
      </c>
      <c r="AW98" s="107">
        <f>SUM(AW73:AW96)</f>
        <v>0</v>
      </c>
      <c r="AY98" s="107">
        <f t="shared" si="14"/>
        <v>17346510.379999999</v>
      </c>
      <c r="BA98" s="107">
        <f t="shared" si="10"/>
        <v>-4595139.379999999</v>
      </c>
    </row>
    <row r="99" spans="1:55" x14ac:dyDescent="0.2">
      <c r="A99" s="113"/>
      <c r="B99" s="31"/>
      <c r="C99" s="114"/>
      <c r="E99" s="7"/>
      <c r="O99" s="45"/>
      <c r="U99" s="131"/>
      <c r="BA99" s="12"/>
    </row>
    <row r="100" spans="1:55" x14ac:dyDescent="0.2">
      <c r="A100" s="121" t="s">
        <v>248</v>
      </c>
      <c r="B100" s="31"/>
      <c r="C100" s="114"/>
      <c r="E100" s="7"/>
      <c r="O100" s="45"/>
      <c r="U100" s="131"/>
      <c r="BA100" s="12"/>
    </row>
    <row r="101" spans="1:55" x14ac:dyDescent="0.2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/>
      <c r="AR101" s="8"/>
      <c r="AS101" s="8">
        <f>SUM(P101:AR101)</f>
        <v>372274</v>
      </c>
      <c r="AT101" s="8"/>
      <c r="AU101" s="131">
        <f>268179-502431+72539-22482-46870+2043+48884</f>
        <v>-180138</v>
      </c>
      <c r="AV101" s="8"/>
      <c r="AW101" s="12">
        <f>IF(+O101-AS101+AU101&gt;0,O101-AS101+AU101,0)+546651</f>
        <v>546651</v>
      </c>
      <c r="AX101" s="8"/>
      <c r="AY101" s="12">
        <f t="shared" si="14"/>
        <v>918925</v>
      </c>
      <c r="AZ101" s="8"/>
      <c r="BA101" s="12">
        <f t="shared" ref="BA101:BA106" si="16">O101-AS101-AW101</f>
        <v>-416494</v>
      </c>
    </row>
    <row r="102" spans="1:55" x14ac:dyDescent="0.2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8">
        <f>SUM(P102:AR102)</f>
        <v>47079</v>
      </c>
      <c r="AT102" s="8"/>
      <c r="AU102" s="131">
        <f>36569-72888+15268+11706+25-16489</f>
        <v>-25809</v>
      </c>
      <c r="AV102" s="8"/>
      <c r="AW102" s="8">
        <f>IF(+O102-AS102+AU102&gt;0,O102-AS102+AU102,0)</f>
        <v>0</v>
      </c>
      <c r="AX102" s="8"/>
      <c r="AY102" s="8">
        <f t="shared" si="14"/>
        <v>47079</v>
      </c>
      <c r="AZ102" s="8"/>
      <c r="BA102" s="12">
        <f t="shared" si="16"/>
        <v>25809</v>
      </c>
    </row>
    <row r="103" spans="1:55" x14ac:dyDescent="0.2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8">
        <f>SUM(P103:AR103)</f>
        <v>951103</v>
      </c>
      <c r="AT103" s="8"/>
      <c r="AU103" s="131">
        <f>843894-944679+25513+117814-25215+1390-46248+33955</f>
        <v>6424</v>
      </c>
      <c r="AV103" s="8"/>
      <c r="AW103" s="8">
        <f>IF(+O103-AS103+AU103&gt;0,O103-AS103+AU103,0)</f>
        <v>0</v>
      </c>
      <c r="AX103" s="8"/>
      <c r="AY103" s="8">
        <f t="shared" si="14"/>
        <v>951103</v>
      </c>
      <c r="AZ103" s="8"/>
      <c r="BA103" s="12">
        <f t="shared" si="16"/>
        <v>-6424</v>
      </c>
    </row>
    <row r="104" spans="1:55" x14ac:dyDescent="0.2">
      <c r="A104" s="121"/>
      <c r="B104" s="31" t="s">
        <v>529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8">
        <f>SUM(P104:AR104)</f>
        <v>6034321</v>
      </c>
      <c r="AT104" s="8"/>
      <c r="AU104" s="131">
        <f>3238604-4215187+169686+779497-55138+70426+118441-94958+49461+21963+67707-1039110</f>
        <v>-888608</v>
      </c>
      <c r="AV104" s="8"/>
      <c r="AW104" s="8">
        <f>IF(+O104-AS104+AU104&gt;0,O104-AS104+AU104,0)</f>
        <v>0</v>
      </c>
      <c r="AX104" s="8"/>
      <c r="AY104" s="8">
        <f>+AW104+AS104</f>
        <v>6034321</v>
      </c>
      <c r="AZ104" s="8"/>
      <c r="BA104" s="12">
        <f t="shared" si="16"/>
        <v>888608</v>
      </c>
    </row>
    <row r="105" spans="1:55" x14ac:dyDescent="0.2">
      <c r="A105" s="121"/>
      <c r="B105" s="31" t="s">
        <v>528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8">
        <f>SUM(P105:AR105)</f>
        <v>3237666</v>
      </c>
      <c r="AT105" s="8"/>
      <c r="AU105" s="131">
        <f>844909-917579+230285+493009+48664+1525471+1583734+7916+115420-181730-1858136+428124-104000</f>
        <v>2216087</v>
      </c>
      <c r="AV105" s="8"/>
      <c r="AW105" s="8">
        <f>IF(+O105-AS105+AU105&gt;0,O105-AS105+AU105,0)</f>
        <v>0</v>
      </c>
      <c r="AX105" s="8"/>
      <c r="AY105" s="8">
        <f t="shared" si="14"/>
        <v>3237666</v>
      </c>
      <c r="AZ105" s="8"/>
      <c r="BA105" s="35">
        <f t="shared" si="16"/>
        <v>-2320087</v>
      </c>
    </row>
    <row r="106" spans="1:55" x14ac:dyDescent="0.2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0</v>
      </c>
      <c r="AS106" s="107">
        <f>SUM(AS101:AS105)</f>
        <v>10642443</v>
      </c>
      <c r="AU106" s="138">
        <f>SUM(AU101:AU105)</f>
        <v>1127956</v>
      </c>
      <c r="AW106" s="107">
        <f>SUM(AW101:AW105)</f>
        <v>546651</v>
      </c>
      <c r="AY106" s="107">
        <f t="shared" si="14"/>
        <v>11189094</v>
      </c>
      <c r="BA106" s="107">
        <f t="shared" si="16"/>
        <v>-1828588</v>
      </c>
    </row>
    <row r="107" spans="1:55" x14ac:dyDescent="0.2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A107" s="12"/>
    </row>
    <row r="108" spans="1:55" x14ac:dyDescent="0.2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8">
        <f>SUM(P108:AR108)</f>
        <v>492894.77</v>
      </c>
      <c r="AU108" s="134">
        <f>649600-173692+16987</f>
        <v>492895</v>
      </c>
      <c r="AW108" s="8">
        <f>IF(+O108-AS108+AU108&gt;0,O108-AS108+AU108,0)</f>
        <v>0.22999999998137355</v>
      </c>
      <c r="AY108" s="8">
        <f t="shared" si="14"/>
        <v>492895</v>
      </c>
      <c r="BA108" s="12">
        <f>O108-AS108-AW108</f>
        <v>-492895</v>
      </c>
    </row>
    <row r="109" spans="1:55" x14ac:dyDescent="0.2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A109" s="12"/>
    </row>
    <row r="110" spans="1:55" x14ac:dyDescent="0.2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A110" s="12"/>
    </row>
    <row r="111" spans="1:55" x14ac:dyDescent="0.2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S111" s="8">
        <f>SUM(P111:AR111)</f>
        <v>0</v>
      </c>
      <c r="AW111" s="8">
        <f>IF(+O111-AS111+AU111&gt;0,O111-AS111+AU111,0)</f>
        <v>0</v>
      </c>
      <c r="AY111" s="8">
        <f t="shared" si="14"/>
        <v>0</v>
      </c>
      <c r="BA111" s="12">
        <f>O111-AS111-AW111</f>
        <v>0</v>
      </c>
      <c r="BC111" s="27"/>
    </row>
    <row r="112" spans="1:55" x14ac:dyDescent="0.2">
      <c r="A112" s="121" t="s">
        <v>545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S112" s="8">
        <f>SUM(P112:AR112)</f>
        <v>0</v>
      </c>
      <c r="AU112" s="131">
        <v>283000</v>
      </c>
      <c r="AW112" s="8">
        <f>IF(+O112-AS112+AU112&gt;0,O112-AS112+AU112,0)</f>
        <v>283000</v>
      </c>
      <c r="AY112" s="8">
        <f t="shared" si="14"/>
        <v>283000</v>
      </c>
      <c r="BA112" s="35">
        <f>O112-AS112-AW112</f>
        <v>-283000</v>
      </c>
      <c r="BC112" s="27"/>
    </row>
    <row r="113" spans="1:55" x14ac:dyDescent="0.2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0</v>
      </c>
      <c r="AS113" s="107">
        <f>SUM(AS111:AS112)</f>
        <v>0</v>
      </c>
      <c r="AU113" s="138">
        <f>SUM(AU111:AU112)</f>
        <v>283000</v>
      </c>
      <c r="AW113" s="107">
        <f>SUM(AW111:AW112)</f>
        <v>283000</v>
      </c>
      <c r="AY113" s="107">
        <f t="shared" si="14"/>
        <v>283000</v>
      </c>
      <c r="BA113" s="107">
        <f>O113-AS113-AW113</f>
        <v>-283000</v>
      </c>
      <c r="BC113" s="27"/>
    </row>
    <row r="114" spans="1:55" x14ac:dyDescent="0.2">
      <c r="A114" s="121"/>
      <c r="B114" s="31"/>
      <c r="C114" s="114"/>
      <c r="E114" s="7"/>
      <c r="G114" s="28"/>
      <c r="U114" s="131"/>
      <c r="BA114" s="12"/>
      <c r="BC114" s="27"/>
    </row>
    <row r="115" spans="1:55" x14ac:dyDescent="0.2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AW115" s="8">
        <f>IF(+O115-AS115+AU115&gt;0,O115-AS115+AU115,0)</f>
        <v>0</v>
      </c>
      <c r="AY115" s="8">
        <f t="shared" si="14"/>
        <v>0</v>
      </c>
      <c r="BA115" s="12">
        <f>O115-AS115-AW115</f>
        <v>0</v>
      </c>
      <c r="BC115" s="27"/>
    </row>
    <row r="116" spans="1:55" x14ac:dyDescent="0.2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A116" s="12"/>
    </row>
    <row r="117" spans="1:55" x14ac:dyDescent="0.2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0</v>
      </c>
      <c r="AS117" s="15">
        <f>AS115+AS113+AS108+AS106+AS98+AS70</f>
        <v>28481848.919999998</v>
      </c>
      <c r="AU117" s="134">
        <f>AU115+AU113+AU108+AU106+AU98+AU70</f>
        <v>2644569</v>
      </c>
      <c r="AW117" s="15">
        <f>AW115+AW113+AW108+AW106+AW98+AW70</f>
        <v>829651.23</v>
      </c>
      <c r="AY117" s="15">
        <f t="shared" si="14"/>
        <v>29311500.149999999</v>
      </c>
      <c r="BA117" s="15">
        <f>O117-AS117-AW117</f>
        <v>-3987639.149999998</v>
      </c>
    </row>
    <row r="118" spans="1:55" x14ac:dyDescent="0.2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A118" s="12"/>
    </row>
    <row r="119" spans="1:55" s="27" customFormat="1" x14ac:dyDescent="0.2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5824399.3499999996</v>
      </c>
      <c r="AP119" s="140"/>
      <c r="AQ119" s="140">
        <f>AQ117+AQ44+AQ36</f>
        <v>1424.38</v>
      </c>
      <c r="AR119" s="23"/>
      <c r="AS119" s="25">
        <f>AS117+AS44+AS36</f>
        <v>139233322.19</v>
      </c>
      <c r="AT119" s="23"/>
      <c r="AU119" s="140">
        <f>AU117+AU44+AU36</f>
        <v>4341623</v>
      </c>
      <c r="AV119" s="23"/>
      <c r="AW119" s="25">
        <f>AW117+AW44</f>
        <v>839780.69000000006</v>
      </c>
      <c r="AX119" s="23"/>
      <c r="AY119" s="25">
        <f t="shared" si="14"/>
        <v>140073102.88</v>
      </c>
      <c r="AZ119" s="23"/>
      <c r="BA119" s="25">
        <f>O119-AS119-AW119</f>
        <v>-4630211.879999998</v>
      </c>
      <c r="BB119" s="23"/>
      <c r="BC119" s="80"/>
    </row>
    <row r="120" spans="1:55" x14ac:dyDescent="0.2">
      <c r="A120" s="113"/>
      <c r="B120" s="31"/>
      <c r="C120" s="114"/>
      <c r="E120" s="7"/>
      <c r="U120" s="131"/>
    </row>
    <row r="121" spans="1:55" x14ac:dyDescent="0.2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8">
        <f>SUM(P121:AR121)</f>
        <v>568578.43999999994</v>
      </c>
      <c r="AU121" s="131">
        <f>706219-659539+83333.33-218863-1-2110</f>
        <v>-90960.67</v>
      </c>
      <c r="AW121" s="8">
        <f>IF(+O121-AS121+AU121&gt;0,O121-AS121+AU121,0)</f>
        <v>0</v>
      </c>
      <c r="AY121" s="8">
        <f t="shared" si="14"/>
        <v>568578.43999999994</v>
      </c>
      <c r="BA121" s="12">
        <f>O121-AS121-AW121</f>
        <v>90960.560000000056</v>
      </c>
      <c r="BC121" s="27"/>
    </row>
    <row r="122" spans="1:55" x14ac:dyDescent="0.2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S122" s="8">
        <f>SUM(P122:AR122)</f>
        <v>6111</v>
      </c>
      <c r="AU122" s="131">
        <f>-25000-6111</f>
        <v>-31111</v>
      </c>
      <c r="AW122" s="8">
        <f>IF(+O122-AS122+AU122&gt;0,O122-AS122+AU122,0)-6110</f>
        <v>-6110</v>
      </c>
      <c r="AY122" s="8">
        <f t="shared" si="14"/>
        <v>1</v>
      </c>
      <c r="BA122" s="12">
        <f>O122-AS122-AW122</f>
        <v>24999</v>
      </c>
    </row>
    <row r="123" spans="1:55" x14ac:dyDescent="0.2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574689.43999999994</v>
      </c>
      <c r="AU123" s="107">
        <f>SUM(AU121:AU122)</f>
        <v>-122071.67</v>
      </c>
      <c r="AW123" s="107">
        <f>SUM(AW121:AW122)</f>
        <v>-6110</v>
      </c>
      <c r="AY123" s="107">
        <f>SUM(AY121:AY122)</f>
        <v>568579.43999999994</v>
      </c>
      <c r="BA123" s="107">
        <f>O123-AS123-AW123</f>
        <v>115959.56000000006</v>
      </c>
    </row>
    <row r="124" spans="1:55" x14ac:dyDescent="0.2">
      <c r="A124" s="113"/>
      <c r="B124" s="31"/>
      <c r="C124" s="114"/>
      <c r="E124" s="7"/>
      <c r="U124" s="131"/>
      <c r="AS124" s="8"/>
      <c r="AW124" s="8"/>
      <c r="AY124" s="8"/>
    </row>
    <row r="125" spans="1:55" x14ac:dyDescent="0.2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8">
        <f>SUM(P125:AR125)</f>
        <v>696774.86</v>
      </c>
      <c r="AW125" s="8">
        <f>IF(+O125-AS125+AU125&gt;0,O125-AS125+AU125,0)</f>
        <v>91025.140000000014</v>
      </c>
      <c r="AY125" s="15">
        <f t="shared" si="14"/>
        <v>787800</v>
      </c>
      <c r="BA125" s="12">
        <f>O125-AS125-AW125</f>
        <v>0</v>
      </c>
    </row>
    <row r="126" spans="1:55" x14ac:dyDescent="0.2">
      <c r="A126" s="113"/>
      <c r="B126" s="31"/>
      <c r="C126" s="114"/>
      <c r="E126" s="7"/>
      <c r="U126" s="131"/>
    </row>
    <row r="127" spans="1:55" x14ac:dyDescent="0.2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S127" s="8">
        <f t="shared" ref="AS127:AS138" si="18">SUM(P127:AR127)</f>
        <v>534643.32999999996</v>
      </c>
      <c r="AW127" s="8">
        <f t="shared" ref="AW127:AW135" si="19">IF(+O127-AS127+AU127&gt;0,O127-AS127+AU127,0)</f>
        <v>0</v>
      </c>
      <c r="AY127" s="8">
        <f t="shared" si="14"/>
        <v>534643.32999999996</v>
      </c>
      <c r="BA127" s="12">
        <f t="shared" ref="BA127:BA136" si="20">O127-AS127-AW127</f>
        <v>-3345.3299999999581</v>
      </c>
    </row>
    <row r="128" spans="1:55" s="43" customFormat="1" x14ac:dyDescent="0.2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8">
        <f t="shared" si="18"/>
        <v>0</v>
      </c>
      <c r="AU128" s="131">
        <v>-5000</v>
      </c>
      <c r="AW128" s="8">
        <f t="shared" si="19"/>
        <v>0</v>
      </c>
      <c r="AY128" s="8">
        <f t="shared" si="14"/>
        <v>0</v>
      </c>
      <c r="BA128" s="12">
        <f t="shared" si="20"/>
        <v>5000</v>
      </c>
      <c r="BC128" s="6"/>
    </row>
    <row r="129" spans="1:55" s="43" customFormat="1" x14ac:dyDescent="0.2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8">
        <f t="shared" si="18"/>
        <v>0</v>
      </c>
      <c r="AU129" s="131">
        <v>-80800</v>
      </c>
      <c r="AW129" s="8">
        <f t="shared" si="19"/>
        <v>0</v>
      </c>
      <c r="AY129" s="8">
        <f t="shared" si="14"/>
        <v>0</v>
      </c>
      <c r="BA129" s="12">
        <f t="shared" si="20"/>
        <v>80800</v>
      </c>
      <c r="BC129" s="6"/>
    </row>
    <row r="130" spans="1:55" s="43" customFormat="1" x14ac:dyDescent="0.2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8">
        <f t="shared" si="18"/>
        <v>0</v>
      </c>
      <c r="AU130" s="131">
        <v>-5000</v>
      </c>
      <c r="AW130" s="8">
        <f t="shared" si="19"/>
        <v>0</v>
      </c>
      <c r="AY130" s="8">
        <f t="shared" si="14"/>
        <v>0</v>
      </c>
      <c r="BA130" s="12">
        <f t="shared" si="20"/>
        <v>5000</v>
      </c>
      <c r="BC130" s="6"/>
    </row>
    <row r="131" spans="1:55" s="43" customFormat="1" x14ac:dyDescent="0.2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8">
        <f t="shared" si="18"/>
        <v>0</v>
      </c>
      <c r="AU131" s="131"/>
      <c r="AW131" s="8">
        <f t="shared" si="19"/>
        <v>0</v>
      </c>
      <c r="AY131" s="8">
        <f t="shared" si="14"/>
        <v>0</v>
      </c>
      <c r="BA131" s="12">
        <f t="shared" si="20"/>
        <v>0</v>
      </c>
      <c r="BC131" s="6"/>
    </row>
    <row r="132" spans="1:55" s="43" customFormat="1" x14ac:dyDescent="0.2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8">
        <f t="shared" si="18"/>
        <v>0</v>
      </c>
      <c r="AU132" s="131"/>
      <c r="AW132" s="8">
        <f t="shared" si="19"/>
        <v>0</v>
      </c>
      <c r="AY132" s="8">
        <f t="shared" si="14"/>
        <v>0</v>
      </c>
      <c r="BA132" s="12">
        <f t="shared" si="20"/>
        <v>0</v>
      </c>
      <c r="BC132" s="6"/>
    </row>
    <row r="133" spans="1:55" s="43" customFormat="1" x14ac:dyDescent="0.2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8">
        <f t="shared" si="18"/>
        <v>1000</v>
      </c>
      <c r="AU133" s="131"/>
      <c r="AW133" s="8">
        <f t="shared" si="19"/>
        <v>0</v>
      </c>
      <c r="AY133" s="8">
        <f t="shared" si="14"/>
        <v>1000</v>
      </c>
      <c r="BA133" s="12">
        <f t="shared" si="20"/>
        <v>0</v>
      </c>
      <c r="BC133" s="6"/>
    </row>
    <row r="134" spans="1:55" s="43" customFormat="1" x14ac:dyDescent="0.2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8">
        <f t="shared" si="18"/>
        <v>19000</v>
      </c>
      <c r="AU134" s="131"/>
      <c r="AW134" s="8">
        <f t="shared" si="19"/>
        <v>0</v>
      </c>
      <c r="AY134" s="8">
        <f t="shared" si="14"/>
        <v>19000</v>
      </c>
      <c r="BA134" s="12">
        <f t="shared" si="20"/>
        <v>0</v>
      </c>
      <c r="BC134" s="6"/>
    </row>
    <row r="135" spans="1:55" s="43" customFormat="1" x14ac:dyDescent="0.2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8">
        <f t="shared" si="18"/>
        <v>3050</v>
      </c>
      <c r="AU135" s="131">
        <v>-1950</v>
      </c>
      <c r="AW135" s="8">
        <f t="shared" si="19"/>
        <v>0</v>
      </c>
      <c r="AY135" s="8">
        <f t="shared" si="14"/>
        <v>3050</v>
      </c>
      <c r="BA135" s="12">
        <f t="shared" si="20"/>
        <v>1950</v>
      </c>
      <c r="BC135" s="6"/>
    </row>
    <row r="136" spans="1:55" s="43" customFormat="1" x14ac:dyDescent="0.2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557693.32999999996</v>
      </c>
      <c r="AU136" s="107">
        <f>SUM(AU127:AU135)</f>
        <v>-92750</v>
      </c>
      <c r="AW136" s="107">
        <f>SUM(AW127:AW135)</f>
        <v>0</v>
      </c>
      <c r="AY136" s="107">
        <f>SUM(AY127:AY135)</f>
        <v>557693.32999999996</v>
      </c>
      <c r="BA136" s="107">
        <f t="shared" si="20"/>
        <v>89404.670000000042</v>
      </c>
      <c r="BC136" s="6"/>
    </row>
    <row r="137" spans="1:55" x14ac:dyDescent="0.2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AY137" s="41"/>
      <c r="BA137" s="15"/>
    </row>
    <row r="138" spans="1:55" x14ac:dyDescent="0.2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S138" s="8">
        <f t="shared" si="18"/>
        <v>237352.65</v>
      </c>
      <c r="AW138" s="8">
        <f>IF(+O138-AS138+AU138&gt;0,O138-AS138+AU138,0)</f>
        <v>0</v>
      </c>
      <c r="AY138" s="15">
        <f t="shared" si="14"/>
        <v>237352.65</v>
      </c>
      <c r="BA138" s="12">
        <f>O138-AS138-AW138</f>
        <v>-37352.649999999994</v>
      </c>
    </row>
    <row r="139" spans="1:55" x14ac:dyDescent="0.2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BA139" s="12"/>
    </row>
    <row r="140" spans="1:55" x14ac:dyDescent="0.2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A140" s="15"/>
    </row>
    <row r="141" spans="1:55" x14ac:dyDescent="0.2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S141" s="8">
        <f>SUM(P141:AR141)</f>
        <v>980859</v>
      </c>
      <c r="AW141" s="8">
        <f>IF(+O141-AS141+AU141&gt;0,O141-AS141+AU141,0)</f>
        <v>141</v>
      </c>
      <c r="AY141" s="15">
        <f t="shared" si="14"/>
        <v>981000</v>
      </c>
      <c r="BA141" s="12">
        <f>O141-AS141-AW141</f>
        <v>0</v>
      </c>
      <c r="BC141" s="6" t="s">
        <v>153</v>
      </c>
    </row>
    <row r="142" spans="1:55" x14ac:dyDescent="0.2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A142" s="15"/>
    </row>
    <row r="143" spans="1:55" x14ac:dyDescent="0.2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A143" s="15"/>
      <c r="BC143" s="6" t="s">
        <v>78</v>
      </c>
    </row>
    <row r="144" spans="1:55" x14ac:dyDescent="0.2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8">
        <f t="shared" ref="AS144:AS159" si="21">SUM(P144:AR144)</f>
        <v>2845921.43</v>
      </c>
      <c r="AW144" s="8">
        <f>IF(+O144-AS144+AU144&gt;0,O144-AS144+AU144,0)</f>
        <v>0</v>
      </c>
      <c r="AY144" s="8">
        <f t="shared" si="14"/>
        <v>2845921.43</v>
      </c>
      <c r="BA144" s="12">
        <f>O144-AS144-AW144</f>
        <v>-113395.43000000017</v>
      </c>
    </row>
    <row r="145" spans="1:55" x14ac:dyDescent="0.2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8">
        <f t="shared" si="21"/>
        <v>175512.82</v>
      </c>
      <c r="AW145" s="8">
        <f>IF(+O145-AS145+AU145&gt;0,O145-AS145+AU145,0)</f>
        <v>414712.79600000003</v>
      </c>
      <c r="AY145" s="8">
        <f t="shared" si="14"/>
        <v>590225.61600000004</v>
      </c>
      <c r="BA145" s="12">
        <f>O145-AS145-AW145</f>
        <v>0</v>
      </c>
    </row>
    <row r="146" spans="1:55" x14ac:dyDescent="0.2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S146" s="8">
        <f t="shared" si="21"/>
        <v>11826</v>
      </c>
      <c r="AW146" s="8">
        <f>IF(+O146-AS146+AU146&gt;0,O146-AS146+AU146,0)</f>
        <v>0</v>
      </c>
      <c r="AY146" s="8">
        <f t="shared" si="14"/>
        <v>11826</v>
      </c>
      <c r="BA146" s="12">
        <f>O146-AS146-AW146</f>
        <v>0</v>
      </c>
    </row>
    <row r="147" spans="1:55" x14ac:dyDescent="0.2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8">
        <f t="shared" si="21"/>
        <v>59846.83</v>
      </c>
      <c r="AW147" s="8">
        <f>IF(+O147-AS147+AU147&gt;0,O147-AS147+AU147,0)</f>
        <v>0</v>
      </c>
      <c r="AY147" s="8">
        <f t="shared" si="14"/>
        <v>59846.83</v>
      </c>
      <c r="BA147" s="12">
        <f>O147-AS147-AW147</f>
        <v>-11716.830000000002</v>
      </c>
    </row>
    <row r="148" spans="1:55" x14ac:dyDescent="0.2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3093107.08</v>
      </c>
      <c r="AU148" s="107">
        <f>SUM(AU144:AU147)</f>
        <v>0</v>
      </c>
      <c r="AW148" s="107">
        <f>SUM(AW144:AW147)</f>
        <v>414712.79600000003</v>
      </c>
      <c r="AY148" s="107">
        <f>SUM(AY144:AY147)</f>
        <v>3507819.8760000002</v>
      </c>
      <c r="BA148" s="107">
        <f>O148-AS148-AW148</f>
        <v>-125112.26000000018</v>
      </c>
    </row>
    <row r="149" spans="1:55" x14ac:dyDescent="0.2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A149" s="15"/>
    </row>
    <row r="150" spans="1:55" x14ac:dyDescent="0.2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8">
        <f t="shared" si="21"/>
        <v>372977.51999999996</v>
      </c>
      <c r="AU150" s="131">
        <f>-618307+100000</f>
        <v>-518307</v>
      </c>
      <c r="AW150" s="12">
        <f>IF(+O150-AS150+AU150&gt;0,O150-AS150+AU150,0)-287010</f>
        <v>-272977.52</v>
      </c>
      <c r="AY150" s="264">
        <f t="shared" ref="AY150:AY196" si="22">+AW150+AS150</f>
        <v>99999.999999999942</v>
      </c>
      <c r="BA150" s="12">
        <f>O150-AS150-AW150</f>
        <v>805317</v>
      </c>
    </row>
    <row r="151" spans="1:55" x14ac:dyDescent="0.2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BA151" s="15"/>
    </row>
    <row r="152" spans="1:55" x14ac:dyDescent="0.2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8">
        <f t="shared" si="21"/>
        <v>222308</v>
      </c>
      <c r="AU152" s="131">
        <v>57950</v>
      </c>
      <c r="AW152" s="8">
        <f>IF(+O152-AS152+AU152&gt;0,O152-AS152+AU152,0)</f>
        <v>2615</v>
      </c>
      <c r="AY152" s="8">
        <f t="shared" si="22"/>
        <v>224923</v>
      </c>
      <c r="BA152" s="12">
        <f>O152-AS152-AW152</f>
        <v>-57950</v>
      </c>
    </row>
    <row r="153" spans="1:55" x14ac:dyDescent="0.2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A153" s="15"/>
      <c r="BC153" s="15"/>
    </row>
    <row r="154" spans="1:55" x14ac:dyDescent="0.2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8">
        <f t="shared" si="21"/>
        <v>53203.58</v>
      </c>
      <c r="AU154" s="131">
        <v>-25000</v>
      </c>
      <c r="AW154" s="8">
        <v>0</v>
      </c>
      <c r="AY154" s="8">
        <f t="shared" si="22"/>
        <v>53203.58</v>
      </c>
      <c r="BA154" s="12">
        <f>O154-AS154-AW154</f>
        <v>60129.42</v>
      </c>
      <c r="BC154" s="15"/>
    </row>
    <row r="155" spans="1:55" x14ac:dyDescent="0.2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A155" s="15"/>
      <c r="BC155" s="15"/>
    </row>
    <row r="156" spans="1:55" x14ac:dyDescent="0.2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S156" s="8">
        <f t="shared" si="21"/>
        <v>3172038.28</v>
      </c>
      <c r="AU156" s="131">
        <v>0</v>
      </c>
      <c r="AW156" s="8">
        <f>IF(+O156-AS156+AU156&gt;0,O156-AS156+AU156,0)</f>
        <v>0</v>
      </c>
      <c r="AY156" s="8">
        <f t="shared" si="22"/>
        <v>3172038.28</v>
      </c>
      <c r="BA156" s="34">
        <f>O156-AS156-AW156</f>
        <v>-0.27999999979510903</v>
      </c>
      <c r="BB156" s="19"/>
      <c r="BC156" s="15"/>
    </row>
    <row r="157" spans="1:55" x14ac:dyDescent="0.2">
      <c r="A157" s="112"/>
      <c r="B157" s="19" t="s">
        <v>486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S157" s="8">
        <f t="shared" si="21"/>
        <v>-426988</v>
      </c>
      <c r="AU157" s="131"/>
      <c r="AW157" s="8">
        <v>0</v>
      </c>
      <c r="AY157" s="8">
        <f t="shared" si="22"/>
        <v>-426988</v>
      </c>
      <c r="BA157" s="34">
        <f>O157-AS157-AW157</f>
        <v>117884</v>
      </c>
      <c r="BB157" s="19"/>
      <c r="BC157" s="15"/>
    </row>
    <row r="158" spans="1:55" x14ac:dyDescent="0.2">
      <c r="A158" s="112" t="s">
        <v>484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S158" s="8">
        <f t="shared" si="21"/>
        <v>40257.51</v>
      </c>
      <c r="AU158" s="131"/>
      <c r="AW158" s="8">
        <f>IF(+O158-AS158+AU158&gt;0,O158-AS158+AU158,0)</f>
        <v>0.48999999999796273</v>
      </c>
      <c r="AY158" s="8">
        <f t="shared" si="22"/>
        <v>40258</v>
      </c>
      <c r="BA158" s="34">
        <f>O158-AS158-AW158</f>
        <v>0</v>
      </c>
      <c r="BB158" s="19"/>
      <c r="BC158" s="15"/>
    </row>
    <row r="159" spans="1:55" x14ac:dyDescent="0.2">
      <c r="A159" s="112" t="s">
        <v>485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S159" s="8">
        <f t="shared" si="21"/>
        <v>-10399.469999999999</v>
      </c>
      <c r="AU159" s="131"/>
      <c r="AW159" s="8">
        <f>IF(+O159-AS159+AU159&gt;0,O159-AS159+AU159,0)</f>
        <v>0</v>
      </c>
      <c r="AY159" s="8">
        <f>+AW159+AS159</f>
        <v>-10399.469999999999</v>
      </c>
      <c r="BA159" s="34">
        <f>O159-AS159-AW159</f>
        <v>-0.53000000000065484</v>
      </c>
      <c r="BB159" s="19"/>
      <c r="BC159" s="15"/>
    </row>
    <row r="160" spans="1:55" x14ac:dyDescent="0.2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S160" s="8"/>
      <c r="AU160" s="131"/>
      <c r="AW160" s="8"/>
      <c r="AY160" s="8"/>
      <c r="BA160" s="34"/>
      <c r="BB160" s="19"/>
      <c r="BC160" s="15"/>
    </row>
    <row r="161" spans="1:55" x14ac:dyDescent="0.2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5829605.1899999995</v>
      </c>
      <c r="AP161" s="16"/>
      <c r="AQ161" s="107">
        <f>SUM(AQ121:AQ159)+AQ119-AQ148-AQ136-AQ123</f>
        <v>27417.199999999997</v>
      </c>
      <c r="AS161" s="107">
        <f>SUM(AS121:AS159)+AS119-AS148-AS136-AS123</f>
        <v>148797195.96999997</v>
      </c>
      <c r="AU161" s="107">
        <f>SUM(AU121:AU159)+AU119-AU148-AU136-AU123</f>
        <v>3641444.33</v>
      </c>
      <c r="AW161" s="107">
        <f>SUM(AW121:AW159)+AW119-AW148-AW136-AW123</f>
        <v>1069187.5959999999</v>
      </c>
      <c r="AY161" s="107">
        <f>SUM(AY121:AY159)+AY119-AY148-AY136-AY123</f>
        <v>149866383.56599998</v>
      </c>
      <c r="BA161" s="107">
        <f>SUM(BA121:BA159)+BA119-BA148-BA136-BA123</f>
        <v>-3661932.9499999979</v>
      </c>
      <c r="BB161" s="19"/>
      <c r="BC161" s="15"/>
    </row>
    <row r="162" spans="1:55" x14ac:dyDescent="0.2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A162" s="16"/>
      <c r="BB162" s="19"/>
    </row>
    <row r="163" spans="1:55" x14ac:dyDescent="0.2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S163" s="8">
        <f t="shared" ref="AS163:AS168" si="23">SUM(P163:AR163)</f>
        <v>1020833.33</v>
      </c>
      <c r="AU163" s="131">
        <v>-62500</v>
      </c>
      <c r="AW163" s="8">
        <f>IF(+O163-AS163+AU163&gt;0,O163-AS163+AU163,0)</f>
        <v>0</v>
      </c>
      <c r="AY163" s="8">
        <f t="shared" si="22"/>
        <v>1020833.33</v>
      </c>
      <c r="BA163" s="12">
        <f t="shared" ref="BA163:BA168" si="24">O163-AS163-AW163</f>
        <v>-20833.329999999958</v>
      </c>
    </row>
    <row r="164" spans="1:55" x14ac:dyDescent="0.2">
      <c r="A164" s="112"/>
      <c r="B164" s="19" t="s">
        <v>332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8">
        <f t="shared" si="23"/>
        <v>55979.166666666664</v>
      </c>
      <c r="AT164" s="15"/>
      <c r="AU164" s="134">
        <v>0</v>
      </c>
      <c r="AV164" s="15"/>
      <c r="AW164" s="8">
        <f>IF(+O164-AS164+AU164&gt;0,O164-AS164+AU164,0)</f>
        <v>0</v>
      </c>
      <c r="AX164" s="12"/>
      <c r="AY164" s="8">
        <f t="shared" si="22"/>
        <v>55979.166666666664</v>
      </c>
      <c r="AZ164" s="12"/>
      <c r="BA164" s="12">
        <f t="shared" si="24"/>
        <v>-55979.166666666664</v>
      </c>
      <c r="BB164" s="15"/>
      <c r="BC164" s="8"/>
    </row>
    <row r="165" spans="1:55" x14ac:dyDescent="0.2">
      <c r="A165" s="112"/>
      <c r="B165" s="19" t="s">
        <v>333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8">
        <f t="shared" si="23"/>
        <v>85866.66333333333</v>
      </c>
      <c r="AT165" s="15"/>
      <c r="AU165" s="131">
        <v>352817</v>
      </c>
      <c r="AV165" s="15"/>
      <c r="AW165" s="8">
        <v>0</v>
      </c>
      <c r="AX165" s="12"/>
      <c r="AY165" s="8">
        <f t="shared" si="22"/>
        <v>85866.66333333333</v>
      </c>
      <c r="AZ165" s="12"/>
      <c r="BA165" s="12">
        <f t="shared" si="24"/>
        <v>-85866.66333333333</v>
      </c>
      <c r="BB165" s="15"/>
    </row>
    <row r="166" spans="1:55" x14ac:dyDescent="0.2">
      <c r="A166" s="112"/>
      <c r="B166" s="19" t="s">
        <v>334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8">
        <f t="shared" si="23"/>
        <v>3333.3333333333335</v>
      </c>
      <c r="AT166" s="15"/>
      <c r="AU166" s="131"/>
      <c r="AV166" s="15"/>
      <c r="AW166" s="8">
        <f>IF(+O166-AS166+AU166&gt;0,O166-AS166+AU166,0)</f>
        <v>0</v>
      </c>
      <c r="AX166" s="12"/>
      <c r="AY166" s="8">
        <f t="shared" si="22"/>
        <v>3333.3333333333335</v>
      </c>
      <c r="AZ166" s="12"/>
      <c r="BA166" s="12">
        <f t="shared" si="24"/>
        <v>-3333.3333333333335</v>
      </c>
      <c r="BB166" s="15"/>
    </row>
    <row r="167" spans="1:55" x14ac:dyDescent="0.2">
      <c r="A167" s="112"/>
      <c r="B167" s="19" t="s">
        <v>520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8">
        <f t="shared" si="23"/>
        <v>0</v>
      </c>
      <c r="AT167" s="15"/>
      <c r="AU167" s="131"/>
      <c r="AV167" s="15"/>
      <c r="AW167" s="8">
        <f>IF(+O167-AS167+AU167&gt;0,O167-AS167+AU167,0)</f>
        <v>0</v>
      </c>
      <c r="AX167" s="12"/>
      <c r="AY167" s="8">
        <f t="shared" si="22"/>
        <v>0</v>
      </c>
      <c r="AZ167" s="12"/>
      <c r="BA167" s="12">
        <f t="shared" si="24"/>
        <v>0</v>
      </c>
      <c r="BB167" s="15"/>
    </row>
    <row r="168" spans="1:55" x14ac:dyDescent="0.2">
      <c r="A168" s="112"/>
      <c r="B168" s="19" t="s">
        <v>552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8">
        <f t="shared" si="23"/>
        <v>119007.22</v>
      </c>
      <c r="AT168" s="15"/>
      <c r="AU168" s="131">
        <f>25000+4207+4787</f>
        <v>33994</v>
      </c>
      <c r="AV168" s="15"/>
      <c r="AW168" s="8">
        <v>0</v>
      </c>
      <c r="AX168" s="12"/>
      <c r="AY168" s="8">
        <f t="shared" si="22"/>
        <v>119007.22</v>
      </c>
      <c r="AZ168" s="12"/>
      <c r="BA168" s="35">
        <f t="shared" si="24"/>
        <v>-119007.22</v>
      </c>
      <c r="BC168" s="8" t="s">
        <v>336</v>
      </c>
    </row>
    <row r="169" spans="1:55" x14ac:dyDescent="0.2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107679.56</v>
      </c>
      <c r="AR169" s="15"/>
      <c r="AS169" s="128">
        <f>SUBTOTAL(9,AS163:AS168)</f>
        <v>1285019.7133333331</v>
      </c>
      <c r="AT169" s="15"/>
      <c r="AU169" s="142">
        <f>SUBTOTAL(9,AU163:AU168)</f>
        <v>324311</v>
      </c>
      <c r="AV169" s="15"/>
      <c r="AW169" s="128">
        <f>SUBTOTAL(9,AW163:AW168)</f>
        <v>0</v>
      </c>
      <c r="AX169" s="12"/>
      <c r="AY169" s="128">
        <f t="shared" si="22"/>
        <v>1285019.7133333331</v>
      </c>
      <c r="AZ169" s="12"/>
      <c r="BA169" s="128">
        <f>SUBTOTAL(9,BA163:BA168)</f>
        <v>-285019.71333333326</v>
      </c>
      <c r="BB169" s="15"/>
    </row>
    <row r="170" spans="1:55" x14ac:dyDescent="0.2">
      <c r="A170" s="113"/>
      <c r="B170" s="31"/>
      <c r="C170" s="114"/>
      <c r="U170" s="131"/>
    </row>
    <row r="171" spans="1:55" x14ac:dyDescent="0.2">
      <c r="A171" s="112" t="s">
        <v>328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S171" s="8">
        <f>SUM(P171:AR171)</f>
        <v>94021</v>
      </c>
      <c r="AW171" s="8">
        <f>IF(+O171-AS171+AU171&gt;0,O171-AS171+AU171,0)</f>
        <v>0</v>
      </c>
      <c r="AY171" s="8">
        <f t="shared" si="22"/>
        <v>94021</v>
      </c>
      <c r="BA171" s="12">
        <f>O171-AS171-AW171</f>
        <v>-479</v>
      </c>
    </row>
    <row r="172" spans="1:55" x14ac:dyDescent="0.2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8"/>
      <c r="AT172" s="8"/>
      <c r="AU172" s="131"/>
      <c r="AV172" s="8"/>
      <c r="AW172" s="8"/>
      <c r="AX172" s="8"/>
      <c r="AY172" s="8"/>
      <c r="AZ172" s="8"/>
      <c r="BB172" s="8"/>
    </row>
    <row r="173" spans="1:55" x14ac:dyDescent="0.2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AY173" s="6">
        <f t="shared" si="22"/>
        <v>0</v>
      </c>
      <c r="BA173" s="12"/>
    </row>
    <row r="174" spans="1:55" x14ac:dyDescent="0.2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8">
        <f t="shared" ref="AS174:AS183" si="25">SUM(P174:AR174)</f>
        <v>37874.86</v>
      </c>
      <c r="AT174" s="41"/>
      <c r="AU174" s="161"/>
      <c r="AV174" s="41"/>
      <c r="AW174" s="8"/>
      <c r="AX174" s="41"/>
      <c r="AY174" s="8">
        <f t="shared" si="22"/>
        <v>37874.86</v>
      </c>
      <c r="AZ174" s="41"/>
      <c r="BA174" s="12"/>
      <c r="BB174" s="41"/>
    </row>
    <row r="175" spans="1:55" x14ac:dyDescent="0.2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8">
        <f t="shared" si="25"/>
        <v>5024</v>
      </c>
      <c r="AT175" s="41"/>
      <c r="AU175" s="161"/>
      <c r="AV175" s="41"/>
      <c r="AW175" s="8"/>
      <c r="AX175" s="41"/>
      <c r="AY175" s="8">
        <f t="shared" si="22"/>
        <v>5024</v>
      </c>
      <c r="AZ175" s="41"/>
      <c r="BA175" s="12"/>
      <c r="BB175" s="41"/>
    </row>
    <row r="176" spans="1:55" x14ac:dyDescent="0.2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8">
        <f t="shared" si="25"/>
        <v>45911.23</v>
      </c>
      <c r="AT176" s="41"/>
      <c r="AU176" s="161"/>
      <c r="AV176" s="41"/>
      <c r="AW176" s="8"/>
      <c r="AX176" s="41"/>
      <c r="AY176" s="8">
        <f t="shared" si="22"/>
        <v>45911.23</v>
      </c>
      <c r="AZ176" s="41"/>
      <c r="BA176" s="12"/>
      <c r="BB176" s="41"/>
    </row>
    <row r="177" spans="1:54" x14ac:dyDescent="0.2">
      <c r="A177" s="112"/>
      <c r="B177" s="19" t="s">
        <v>506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8">
        <f t="shared" si="25"/>
        <v>304302.76</v>
      </c>
      <c r="AT177" s="41"/>
      <c r="AU177" s="161"/>
      <c r="AV177" s="41"/>
      <c r="AW177" s="8"/>
      <c r="AX177" s="41"/>
      <c r="AY177" s="8">
        <f t="shared" si="22"/>
        <v>304302.76</v>
      </c>
      <c r="AZ177" s="41"/>
      <c r="BA177" s="12"/>
      <c r="BB177" s="41"/>
    </row>
    <row r="178" spans="1:54" x14ac:dyDescent="0.2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8">
        <f t="shared" si="25"/>
        <v>415.84999999999854</v>
      </c>
      <c r="AT178" s="41"/>
      <c r="AU178" s="134"/>
      <c r="AV178" s="41"/>
      <c r="AW178" s="8"/>
      <c r="AX178" s="41"/>
      <c r="AY178" s="8">
        <f t="shared" si="22"/>
        <v>415.84999999999854</v>
      </c>
      <c r="AZ178" s="41"/>
      <c r="BA178" s="12"/>
      <c r="BB178" s="41"/>
    </row>
    <row r="179" spans="1:54" x14ac:dyDescent="0.2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8">
        <f t="shared" si="25"/>
        <v>0</v>
      </c>
      <c r="AT179" s="41"/>
      <c r="AU179" s="161"/>
      <c r="AV179" s="41"/>
      <c r="AW179" s="8"/>
      <c r="AX179" s="41"/>
      <c r="AY179" s="8">
        <f t="shared" si="22"/>
        <v>0</v>
      </c>
      <c r="AZ179" s="41"/>
      <c r="BA179" s="12"/>
      <c r="BB179" s="41"/>
    </row>
    <row r="180" spans="1:54" x14ac:dyDescent="0.2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8">
        <f t="shared" si="25"/>
        <v>18003.830000000002</v>
      </c>
      <c r="AT180" s="41"/>
      <c r="AU180" s="161"/>
      <c r="AV180" s="41"/>
      <c r="AW180" s="8"/>
      <c r="AX180" s="41"/>
      <c r="AY180" s="8">
        <f t="shared" si="22"/>
        <v>18003.830000000002</v>
      </c>
      <c r="AZ180" s="41"/>
      <c r="BA180" s="12"/>
      <c r="BB180" s="41"/>
    </row>
    <row r="181" spans="1:54" x14ac:dyDescent="0.2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8">
        <f t="shared" si="25"/>
        <v>307</v>
      </c>
      <c r="AT181" s="41"/>
      <c r="AU181" s="161"/>
      <c r="AV181" s="41"/>
      <c r="AW181" s="8"/>
      <c r="AX181" s="41"/>
      <c r="AY181" s="8">
        <f t="shared" si="22"/>
        <v>307</v>
      </c>
      <c r="AZ181" s="41"/>
      <c r="BA181" s="12"/>
      <c r="BB181" s="41"/>
    </row>
    <row r="182" spans="1:54" x14ac:dyDescent="0.2">
      <c r="A182" s="112"/>
      <c r="B182" s="19" t="s">
        <v>335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8">
        <f t="shared" si="25"/>
        <v>272407.15000000002</v>
      </c>
      <c r="AT182" s="41"/>
      <c r="AU182" s="161"/>
      <c r="AV182" s="41"/>
      <c r="AW182" s="8"/>
      <c r="AX182" s="41"/>
      <c r="AY182" s="8">
        <f t="shared" si="22"/>
        <v>272407.15000000002</v>
      </c>
      <c r="AZ182" s="41"/>
      <c r="BA182" s="12"/>
      <c r="BB182" s="41"/>
    </row>
    <row r="183" spans="1:54" x14ac:dyDescent="0.2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8">
        <f t="shared" si="25"/>
        <v>57389.279999999999</v>
      </c>
      <c r="AT183" s="41"/>
      <c r="AU183" s="161"/>
      <c r="AV183" s="41"/>
      <c r="AW183" s="8"/>
      <c r="AX183" s="41"/>
      <c r="AY183" s="8">
        <f t="shared" si="22"/>
        <v>57389.279999999999</v>
      </c>
      <c r="AZ183" s="41"/>
      <c r="BA183" s="35"/>
      <c r="BB183" s="41"/>
    </row>
    <row r="184" spans="1:54" x14ac:dyDescent="0.2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07">
        <f>SUM(AS174:AS183)</f>
        <v>741635.96</v>
      </c>
      <c r="AT184" s="41"/>
      <c r="AU184" s="138">
        <f>SUM(AU174:AU183)</f>
        <v>0</v>
      </c>
      <c r="AV184" s="41"/>
      <c r="AW184" s="107">
        <f>IF(+O184-AS184+AU184&gt;0,O184-AS184+AU184,0)</f>
        <v>0</v>
      </c>
      <c r="AX184" s="41"/>
      <c r="AY184" s="107">
        <f t="shared" si="22"/>
        <v>741635.96</v>
      </c>
      <c r="AZ184" s="41"/>
      <c r="BA184" s="12">
        <f>O184-AS184-AW184</f>
        <v>-441635.95999999996</v>
      </c>
      <c r="BB184" s="41"/>
    </row>
    <row r="185" spans="1:54" x14ac:dyDescent="0.2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41"/>
      <c r="AT185" s="41"/>
      <c r="AU185" s="161"/>
      <c r="AV185" s="41"/>
      <c r="AW185" s="41"/>
      <c r="AX185" s="41"/>
      <c r="AY185" s="41"/>
      <c r="AZ185" s="41"/>
      <c r="BA185" s="15"/>
      <c r="BB185" s="41"/>
    </row>
    <row r="186" spans="1:54" x14ac:dyDescent="0.2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41"/>
      <c r="AT186" s="41"/>
      <c r="AU186" s="161"/>
      <c r="AV186" s="41"/>
      <c r="AW186" s="41"/>
      <c r="AX186" s="41"/>
      <c r="AY186" s="41"/>
      <c r="AZ186" s="41"/>
      <c r="BA186" s="16"/>
      <c r="BB186" s="41"/>
    </row>
    <row r="187" spans="1:54" x14ac:dyDescent="0.2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8">
        <f>SUM(P187:AR187)</f>
        <v>181508.19</v>
      </c>
      <c r="AT187" s="41"/>
      <c r="AU187" s="161"/>
      <c r="AV187" s="41"/>
      <c r="AW187" s="8"/>
      <c r="AX187" s="41"/>
      <c r="AY187" s="8">
        <f t="shared" si="22"/>
        <v>181508.19</v>
      </c>
      <c r="AZ187" s="41"/>
      <c r="BA187" s="12"/>
      <c r="BB187" s="41"/>
    </row>
    <row r="188" spans="1:54" x14ac:dyDescent="0.2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8">
        <f>SUM(P188:AR188)</f>
        <v>0</v>
      </c>
      <c r="AT188" s="41"/>
      <c r="AU188" s="161"/>
      <c r="AV188" s="41"/>
      <c r="AW188" s="8"/>
      <c r="AX188" s="41"/>
      <c r="AY188" s="8">
        <f t="shared" si="22"/>
        <v>0</v>
      </c>
      <c r="AZ188" s="41"/>
      <c r="BA188" s="12"/>
      <c r="BB188" s="41"/>
    </row>
    <row r="189" spans="1:54" x14ac:dyDescent="0.2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8">
        <f>SUM(P189:AR189)</f>
        <v>5126.21</v>
      </c>
      <c r="AT189" s="41"/>
      <c r="AU189" s="161"/>
      <c r="AV189" s="41"/>
      <c r="AW189" s="8"/>
      <c r="AX189" s="41"/>
      <c r="AY189" s="8">
        <f t="shared" si="22"/>
        <v>5126.21</v>
      </c>
      <c r="AZ189" s="41"/>
      <c r="BA189" s="12"/>
      <c r="BB189" s="41"/>
    </row>
    <row r="190" spans="1:54" x14ac:dyDescent="0.2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8">
        <f>SUM(P190:AR190)</f>
        <v>85935.28</v>
      </c>
      <c r="AT190" s="41"/>
      <c r="AU190" s="161"/>
      <c r="AV190" s="41"/>
      <c r="AW190" s="8"/>
      <c r="AX190" s="41"/>
      <c r="AY190" s="8">
        <f t="shared" si="22"/>
        <v>85935.28</v>
      </c>
      <c r="AZ190" s="41"/>
      <c r="BA190" s="34"/>
      <c r="BB190" s="41"/>
    </row>
    <row r="191" spans="1:54" x14ac:dyDescent="0.2">
      <c r="A191" s="112"/>
      <c r="B191" s="19" t="s">
        <v>335</v>
      </c>
      <c r="C191" s="114"/>
      <c r="K191" s="33"/>
      <c r="M191" s="33"/>
      <c r="O191" s="33"/>
      <c r="P191" s="41"/>
      <c r="Q191" s="133"/>
      <c r="R191" s="232"/>
      <c r="S191" s="133"/>
      <c r="T191" s="232"/>
      <c r="U191" s="134"/>
      <c r="V191" s="161"/>
      <c r="W191" s="131">
        <v>150775</v>
      </c>
      <c r="X191" s="161"/>
      <c r="Y191" s="161"/>
      <c r="Z191" s="161"/>
      <c r="AA191" s="161"/>
      <c r="AB191" s="41"/>
      <c r="AC191" s="131">
        <f>7285.45+70.62+119286.95+1</f>
        <v>126644.01999999999</v>
      </c>
      <c r="AD191" s="41"/>
      <c r="AE191" s="161"/>
      <c r="AF191" s="161"/>
      <c r="AG191" s="131">
        <f>3681.01+4433.71+12507.56</f>
        <v>20622.28</v>
      </c>
      <c r="AH191" s="131"/>
      <c r="AI191" s="131"/>
      <c r="AJ191" s="131"/>
      <c r="AK191" s="131">
        <f>2747.71+316.3</f>
        <v>3064.01</v>
      </c>
      <c r="AL191" s="131"/>
      <c r="AM191" s="131">
        <f>500+532.88+299.22+2141.83</f>
        <v>3473.9300000000003</v>
      </c>
      <c r="AN191" s="131"/>
      <c r="AO191" s="131">
        <f>2233.33+2000</f>
        <v>4233.33</v>
      </c>
      <c r="AP191" s="131"/>
      <c r="AQ191" s="131"/>
      <c r="AR191" s="41"/>
      <c r="AS191" s="8">
        <f>SUM(P191:AR191)</f>
        <v>308812.57000000007</v>
      </c>
      <c r="AT191" s="41"/>
      <c r="AU191" s="161"/>
      <c r="AV191" s="41"/>
      <c r="AW191" s="8"/>
      <c r="AX191" s="41"/>
      <c r="AY191" s="8">
        <f t="shared" si="22"/>
        <v>308812.57000000007</v>
      </c>
      <c r="AZ191" s="41"/>
      <c r="BA191" s="35"/>
      <c r="BB191" s="41"/>
    </row>
    <row r="192" spans="1:54" x14ac:dyDescent="0.2">
      <c r="A192" s="112"/>
      <c r="B192" s="19" t="s">
        <v>128</v>
      </c>
      <c r="C192" s="114"/>
      <c r="K192" s="16">
        <v>850000</v>
      </c>
      <c r="M192" s="16">
        <v>-550000</v>
      </c>
      <c r="O192" s="16">
        <f>SUM(K192:N192)</f>
        <v>300000</v>
      </c>
      <c r="P192" s="41"/>
      <c r="Q192" s="134">
        <f>SUM(Q187:Q190)</f>
        <v>105274.23000000001</v>
      </c>
      <c r="R192" s="232"/>
      <c r="S192" s="134">
        <f>SUM(S187:S190)</f>
        <v>0</v>
      </c>
      <c r="T192" s="232"/>
      <c r="U192" s="138">
        <f t="shared" ref="U192:AB192" si="26">SUM(U187:U191)</f>
        <v>6483.79</v>
      </c>
      <c r="V192" s="138">
        <f t="shared" si="26"/>
        <v>0</v>
      </c>
      <c r="W192" s="138">
        <f t="shared" si="26"/>
        <v>150775</v>
      </c>
      <c r="X192" s="138">
        <f t="shared" si="26"/>
        <v>0</v>
      </c>
      <c r="Y192" s="138">
        <f t="shared" si="26"/>
        <v>0</v>
      </c>
      <c r="Z192" s="138">
        <f t="shared" si="26"/>
        <v>0</v>
      </c>
      <c r="AA192" s="138">
        <f t="shared" si="26"/>
        <v>0</v>
      </c>
      <c r="AB192" s="138">
        <f t="shared" si="26"/>
        <v>0</v>
      </c>
      <c r="AC192" s="138">
        <f>SUM(AC187:AC191)</f>
        <v>221476.09999999998</v>
      </c>
      <c r="AD192" s="138">
        <f>SUM(AD187:AD191)</f>
        <v>0</v>
      </c>
      <c r="AE192" s="138">
        <f>SUM(AE187:AE191)</f>
        <v>0</v>
      </c>
      <c r="AF192" s="138"/>
      <c r="AG192" s="138">
        <f>SUM(AG187:AG191)</f>
        <v>51988.2</v>
      </c>
      <c r="AH192" s="138"/>
      <c r="AI192" s="138">
        <f>SUM(AI187:AI191)</f>
        <v>0</v>
      </c>
      <c r="AJ192" s="138"/>
      <c r="AK192" s="138">
        <f>SUM(AK187:AK191)</f>
        <v>33731.379999999997</v>
      </c>
      <c r="AL192" s="138"/>
      <c r="AM192" s="138">
        <f>SUM(AM187:AM191)</f>
        <v>3473.9300000000003</v>
      </c>
      <c r="AN192" s="138"/>
      <c r="AO192" s="138">
        <f>SUM(AO187:AO191)</f>
        <v>8179.62</v>
      </c>
      <c r="AP192" s="138"/>
      <c r="AQ192" s="138">
        <f>SUM(AQ187:AQ191)</f>
        <v>0</v>
      </c>
      <c r="AR192" s="138">
        <f>SUM(AR187:AR191)</f>
        <v>0</v>
      </c>
      <c r="AS192" s="138">
        <f>SUM(AS187:AS191)</f>
        <v>581382.25</v>
      </c>
      <c r="AT192" s="41"/>
      <c r="AU192" s="138">
        <f>SUM(AU187:AU190)</f>
        <v>0</v>
      </c>
      <c r="AV192" s="41"/>
      <c r="AW192" s="107">
        <f>IF(+O192-AS192+AU192&gt;0,O192-AS192+AU192,0)</f>
        <v>0</v>
      </c>
      <c r="AX192" s="41"/>
      <c r="AY192" s="107">
        <f t="shared" si="22"/>
        <v>581382.25</v>
      </c>
      <c r="AZ192" s="41"/>
      <c r="BA192" s="12">
        <f>O192-AS192-AW192</f>
        <v>-281382.25</v>
      </c>
      <c r="BB192" s="41"/>
    </row>
    <row r="193" spans="1:55" x14ac:dyDescent="0.2">
      <c r="A193" s="112"/>
      <c r="B193" s="19"/>
      <c r="C193" s="114"/>
      <c r="K193" s="16"/>
      <c r="M193" s="16"/>
      <c r="O193" s="16"/>
      <c r="P193" s="41"/>
      <c r="Q193" s="135"/>
      <c r="R193" s="232"/>
      <c r="S193" s="135"/>
      <c r="T193" s="232"/>
      <c r="U193" s="134"/>
      <c r="V193" s="161"/>
      <c r="W193" s="161"/>
      <c r="X193" s="161"/>
      <c r="Y193" s="161"/>
      <c r="Z193" s="161"/>
      <c r="AA193" s="161"/>
      <c r="AB193" s="41"/>
      <c r="AC193" s="161"/>
      <c r="AD193" s="4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41"/>
      <c r="AS193" s="41"/>
      <c r="AT193" s="41"/>
      <c r="AU193" s="161"/>
      <c r="AV193" s="41"/>
      <c r="AW193" s="41"/>
      <c r="AX193" s="41"/>
      <c r="AY193" s="41"/>
      <c r="AZ193" s="41"/>
      <c r="BA193" s="16"/>
      <c r="BB193" s="41"/>
    </row>
    <row r="194" spans="1:55" x14ac:dyDescent="0.2">
      <c r="A194" s="112" t="s">
        <v>365</v>
      </c>
      <c r="B194" s="19"/>
      <c r="C194" s="114" t="s">
        <v>0</v>
      </c>
      <c r="E194" s="7"/>
      <c r="G194" s="7" t="s">
        <v>366</v>
      </c>
      <c r="K194" s="15">
        <v>0</v>
      </c>
      <c r="M194" s="15">
        <v>1000000</v>
      </c>
      <c r="O194" s="15">
        <f>SUM(K194:N194)</f>
        <v>1000000</v>
      </c>
      <c r="Q194" s="134">
        <v>0</v>
      </c>
      <c r="R194" s="224"/>
      <c r="S194" s="134">
        <v>0</v>
      </c>
      <c r="T194" s="224"/>
      <c r="U194" s="134">
        <v>0</v>
      </c>
      <c r="V194" s="8"/>
      <c r="W194" s="134"/>
      <c r="X194" s="131"/>
      <c r="Y194" s="134"/>
      <c r="Z194" s="131"/>
      <c r="AA194" s="134">
        <v>10000</v>
      </c>
      <c r="AB194" s="131"/>
      <c r="AC194" s="134">
        <v>53741.07</v>
      </c>
      <c r="AD194" s="131"/>
      <c r="AE194" s="134">
        <f>71014-10000</f>
        <v>61014</v>
      </c>
      <c r="AF194" s="134"/>
      <c r="AG194" s="134">
        <v>11281</v>
      </c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8">
        <f>SUM(P194:AR194)</f>
        <v>136036.07</v>
      </c>
      <c r="AU194" s="134">
        <f>-650000-213964</f>
        <v>-863964</v>
      </c>
      <c r="AW194" s="8">
        <f>IF(+O194-AS194+AU194&gt;0,O194-AS194+AU194,0)</f>
        <v>0</v>
      </c>
      <c r="AY194" s="8">
        <f t="shared" si="22"/>
        <v>136036.07</v>
      </c>
      <c r="BA194" s="12">
        <f>O194-AS194-AW194</f>
        <v>863963.92999999993</v>
      </c>
    </row>
    <row r="195" spans="1:55" x14ac:dyDescent="0.2">
      <c r="A195" s="112"/>
      <c r="B195" s="19"/>
      <c r="C195" s="114"/>
      <c r="K195" s="16"/>
      <c r="M195" s="16"/>
      <c r="O195" s="16"/>
      <c r="P195" s="41"/>
      <c r="Q195" s="135"/>
      <c r="R195" s="232"/>
      <c r="S195" s="135"/>
      <c r="T195" s="232"/>
      <c r="U195" s="134"/>
      <c r="V195" s="161"/>
      <c r="W195" s="161"/>
      <c r="X195" s="161"/>
      <c r="Y195" s="161"/>
      <c r="Z195" s="161"/>
      <c r="AA195" s="161"/>
      <c r="AB195" s="41"/>
      <c r="AC195" s="161"/>
      <c r="AD195" s="4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41"/>
      <c r="AS195" s="41"/>
      <c r="AT195" s="41"/>
      <c r="AU195" s="161"/>
      <c r="AV195" s="41"/>
      <c r="AW195" s="41"/>
      <c r="AX195" s="41"/>
      <c r="AY195" s="41"/>
      <c r="AZ195" s="41"/>
      <c r="BA195" s="16"/>
      <c r="BB195" s="41"/>
    </row>
    <row r="196" spans="1:55" x14ac:dyDescent="0.2">
      <c r="A196" s="113"/>
      <c r="B196" s="166" t="s">
        <v>108</v>
      </c>
      <c r="C196" s="114"/>
      <c r="K196" s="15">
        <f>K169+K171+K184+K192+K194</f>
        <v>2850000</v>
      </c>
      <c r="M196" s="15">
        <f>M169+M171+M184+M192+M194</f>
        <v>-250000</v>
      </c>
      <c r="O196" s="15">
        <f>O169+O171+O184+O192+O194</f>
        <v>2693542</v>
      </c>
      <c r="Q196" s="134">
        <f>Q169+Q171+Q184+Q192+Q194</f>
        <v>271926.91000000003</v>
      </c>
      <c r="S196" s="134">
        <f>S169+S171+S184+S192+S194</f>
        <v>71281.943333333329</v>
      </c>
      <c r="U196" s="134">
        <f>U169+U171+U184+U192+U194</f>
        <v>976595.77000000014</v>
      </c>
      <c r="W196" s="134">
        <f>W169+W171+W184+W192+W194</f>
        <v>154476.5</v>
      </c>
      <c r="Y196" s="134">
        <f>Y169+Y171+Y184+Y192+Y194</f>
        <v>-21839.15</v>
      </c>
      <c r="AA196" s="134">
        <f>AA169+AA171+AA184+AA192+AA194</f>
        <v>12187.8</v>
      </c>
      <c r="AC196" s="134">
        <f>AC169+AC171+AC184+AC192+AC194</f>
        <v>564200.90999999992</v>
      </c>
      <c r="AE196" s="134">
        <f>AE169+AE171+AE184+AE192+AE194</f>
        <v>135175.59999999998</v>
      </c>
      <c r="AF196" s="134"/>
      <c r="AG196" s="134">
        <f>AG169+AG171+AG184+AG192+AG194</f>
        <v>173238.77999999997</v>
      </c>
      <c r="AH196" s="134"/>
      <c r="AI196" s="134">
        <f>AI169+AI171+AI184+AI192+AI194</f>
        <v>67695.360000000001</v>
      </c>
      <c r="AJ196" s="134"/>
      <c r="AK196" s="134">
        <f>AK169+AK171+AK184+AK192+AK194</f>
        <v>63228.21</v>
      </c>
      <c r="AL196" s="134"/>
      <c r="AM196" s="134">
        <f>AM169+AM171+AM184+AM192+AM194</f>
        <v>6744.9600000000009</v>
      </c>
      <c r="AN196" s="134"/>
      <c r="AO196" s="134">
        <f>AO169+AO171+AO184+AO192+AO194</f>
        <v>255501.84000000003</v>
      </c>
      <c r="AP196" s="134"/>
      <c r="AQ196" s="134">
        <f>AQ169+AQ171+AQ184+AQ192+AQ194</f>
        <v>107679.56</v>
      </c>
      <c r="AS196" s="15">
        <f>AS169+AS171+AS184+AS192+AS194</f>
        <v>2838094.9933333327</v>
      </c>
      <c r="AU196" s="134">
        <f>AU169+AU171+AU184+AU192+AU194</f>
        <v>-539653</v>
      </c>
      <c r="AW196" s="15">
        <f>AW169+AW171+AW184+AW192+AW194</f>
        <v>0</v>
      </c>
      <c r="AY196" s="15">
        <f t="shared" si="22"/>
        <v>2838094.9933333327</v>
      </c>
      <c r="BA196" s="15">
        <f>O196-AS196-AW196</f>
        <v>-144552.99333333271</v>
      </c>
    </row>
    <row r="197" spans="1:55" x14ac:dyDescent="0.2">
      <c r="A197" s="113"/>
      <c r="B197" s="162"/>
      <c r="C197" s="114"/>
      <c r="K197" s="15"/>
      <c r="M197" s="15"/>
      <c r="O197" s="15"/>
      <c r="Q197" s="134"/>
      <c r="S197" s="134"/>
      <c r="U197" s="131"/>
      <c r="BA197" s="15"/>
    </row>
    <row r="198" spans="1:55" ht="13.5" thickBot="1" x14ac:dyDescent="0.25">
      <c r="A198" s="126" t="s">
        <v>160</v>
      </c>
      <c r="B198" s="109"/>
      <c r="C198" s="23"/>
      <c r="K198" s="18">
        <f>K196+K161</f>
        <v>153583726.616</v>
      </c>
      <c r="M198" s="18">
        <f>M196+M161</f>
        <v>-4779276</v>
      </c>
      <c r="O198" s="18">
        <f>O196+O161</f>
        <v>148897992.616</v>
      </c>
      <c r="Q198" s="136">
        <f>Q196+Q161</f>
        <v>43104547.390000001</v>
      </c>
      <c r="S198" s="136">
        <f>S196+S161</f>
        <v>-307452.65666666662</v>
      </c>
      <c r="U198" s="136">
        <f>U196+U161</f>
        <v>13359456.790000001</v>
      </c>
      <c r="W198" s="136">
        <f>W196+W161</f>
        <v>8406455.9499999993</v>
      </c>
      <c r="Y198" s="136">
        <f>Y196+Y161</f>
        <v>14908822.879999999</v>
      </c>
      <c r="AA198" s="136">
        <f>AA196+AA161</f>
        <v>16489517.34</v>
      </c>
      <c r="AC198" s="136">
        <f>AC196+AC161</f>
        <v>20302856.510000002</v>
      </c>
      <c r="AE198" s="136">
        <f>AE196+AE161</f>
        <v>4857453.8099999996</v>
      </c>
      <c r="AF198" s="135"/>
      <c r="AG198" s="136">
        <f>AG196+AG161</f>
        <v>10786328.009999998</v>
      </c>
      <c r="AH198" s="135"/>
      <c r="AI198" s="136">
        <f>AI196+AI161</f>
        <v>8407850.629999999</v>
      </c>
      <c r="AJ198" s="135"/>
      <c r="AK198" s="136">
        <f>AK196+AK161</f>
        <v>3884763.6500000004</v>
      </c>
      <c r="AL198" s="136"/>
      <c r="AM198" s="136">
        <f>AM196+AM161</f>
        <v>1214486.8699999999</v>
      </c>
      <c r="AN198" s="135"/>
      <c r="AO198" s="136">
        <f>AO196+AO161</f>
        <v>6085107.0299999993</v>
      </c>
      <c r="AP198" s="135"/>
      <c r="AQ198" s="136">
        <f>AQ196+AQ161</f>
        <v>135096.76</v>
      </c>
      <c r="AS198" s="18">
        <f>AS196+AS161</f>
        <v>151635290.96333331</v>
      </c>
      <c r="AU198" s="136">
        <f>AU196+AU161</f>
        <v>3101791.33</v>
      </c>
      <c r="AW198" s="18">
        <f>AW196+AW161+AW36</f>
        <v>3009367.9959999998</v>
      </c>
      <c r="AY198" s="18">
        <f>+AW198+AS198+2</f>
        <v>154644660.9593333</v>
      </c>
      <c r="BA198" s="18">
        <f>O198-AS198-AW198</f>
        <v>-5746666.3433333114</v>
      </c>
      <c r="BC198" s="8"/>
    </row>
    <row r="199" spans="1:55" ht="7.5" customHeight="1" thickTop="1" x14ac:dyDescent="0.2">
      <c r="A199" s="38"/>
      <c r="B199" s="23"/>
      <c r="C199" s="23"/>
      <c r="U199" s="131"/>
    </row>
    <row r="200" spans="1:55" ht="13.5" thickBot="1" x14ac:dyDescent="0.25">
      <c r="A200" s="126" t="s">
        <v>194</v>
      </c>
      <c r="B200" s="23"/>
      <c r="C200" s="23"/>
      <c r="K200" s="167">
        <f>K198/450</f>
        <v>341297.17025777779</v>
      </c>
      <c r="O200" s="167">
        <f>O198/450</f>
        <v>330884.42803555552</v>
      </c>
      <c r="U200" s="131"/>
      <c r="AC200" s="131"/>
      <c r="AE200" s="267"/>
      <c r="AF200" s="267"/>
      <c r="AG200" s="267"/>
      <c r="AH200" s="267"/>
      <c r="AI200" s="267"/>
      <c r="AJ200" s="267"/>
      <c r="AK200" s="267"/>
      <c r="AL200" s="267"/>
      <c r="AM200" s="267"/>
      <c r="AN200" s="267"/>
      <c r="AO200" s="267"/>
      <c r="AP200" s="267"/>
      <c r="AQ200" s="267"/>
      <c r="AY200" s="167">
        <f>AY198/450</f>
        <v>343654.80213185179</v>
      </c>
    </row>
    <row r="201" spans="1:55" customFormat="1" x14ac:dyDescent="0.2">
      <c r="R201" s="225"/>
      <c r="T201" s="225"/>
      <c r="AC201" s="89"/>
      <c r="AE201" s="89"/>
      <c r="BA201" s="8"/>
    </row>
    <row r="202" spans="1:55" customFormat="1" x14ac:dyDescent="0.2">
      <c r="A202" s="41"/>
      <c r="R202" s="225"/>
      <c r="T202" s="225"/>
      <c r="AA202" s="89"/>
      <c r="AC202" s="89"/>
      <c r="AE202" s="89"/>
      <c r="BA202" s="8"/>
    </row>
    <row r="203" spans="1:55" customFormat="1" x14ac:dyDescent="0.2">
      <c r="A203" s="41"/>
      <c r="Q203" s="89"/>
      <c r="R203" s="225"/>
      <c r="S203" s="89"/>
      <c r="T203" s="225"/>
      <c r="U203" s="89"/>
      <c r="W203" s="89"/>
      <c r="Y203" s="89"/>
      <c r="AA203" s="89"/>
      <c r="AC203" s="89"/>
      <c r="AE203" s="89"/>
      <c r="BA203" s="8"/>
    </row>
    <row r="204" spans="1:55" x14ac:dyDescent="0.2">
      <c r="I204" s="6"/>
      <c r="R204" s="224"/>
      <c r="T204" s="224"/>
      <c r="U204" s="131"/>
      <c r="V204" s="8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8"/>
      <c r="AU204" s="131"/>
      <c r="AW204" s="8"/>
      <c r="AY204" s="8"/>
    </row>
    <row r="205" spans="1:55" s="41" customFormat="1" x14ac:dyDescent="0.2">
      <c r="A205" s="41" t="s">
        <v>422</v>
      </c>
      <c r="G205" s="11"/>
      <c r="K205" s="15">
        <v>0</v>
      </c>
      <c r="M205" s="15"/>
      <c r="O205" s="15">
        <f>SUM(K205:N205)</f>
        <v>0</v>
      </c>
      <c r="Q205" s="134">
        <v>0</v>
      </c>
      <c r="R205" s="244"/>
      <c r="S205" s="134">
        <v>0</v>
      </c>
      <c r="T205" s="244"/>
      <c r="U205" s="134">
        <v>0</v>
      </c>
      <c r="V205" s="15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5">
        <f>SUM(P205:AR205)</f>
        <v>0</v>
      </c>
      <c r="AU205" s="134">
        <v>0</v>
      </c>
      <c r="AW205" s="15">
        <f>IF(+O205-AS205+AU205&gt;0,O205-AS205+AU205,0)</f>
        <v>0</v>
      </c>
      <c r="AY205" s="15">
        <f>+AW205+AS205</f>
        <v>0</v>
      </c>
      <c r="BA205" s="15">
        <f>+O205-AY205</f>
        <v>0</v>
      </c>
    </row>
    <row r="206" spans="1:55" x14ac:dyDescent="0.2">
      <c r="A206" s="41" t="s">
        <v>537</v>
      </c>
      <c r="I206" s="6"/>
      <c r="R206" s="224"/>
      <c r="T206" s="224"/>
      <c r="U206" s="131"/>
      <c r="V206" s="8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33">
        <f>+[1]Deprec!$F$28</f>
        <v>-1714232.390955</v>
      </c>
      <c r="AU206" s="131"/>
      <c r="AW206" s="8"/>
      <c r="AY206" s="15">
        <f>+AS206</f>
        <v>-1714232.390955</v>
      </c>
    </row>
    <row r="207" spans="1:55" ht="13.5" thickBot="1" x14ac:dyDescent="0.25">
      <c r="A207" s="126" t="s">
        <v>424</v>
      </c>
      <c r="B207" s="109"/>
      <c r="I207" s="6"/>
      <c r="K207" s="245">
        <f>+K198+K205</f>
        <v>153583726.616</v>
      </c>
      <c r="M207" s="245">
        <f>+M198+M205</f>
        <v>-4779276</v>
      </c>
      <c r="O207" s="245">
        <f>+O198+O205</f>
        <v>148897992.616</v>
      </c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245">
        <f>+AS198+AS205+AS206</f>
        <v>149921058.57237831</v>
      </c>
      <c r="AU207" s="131"/>
      <c r="AW207" s="245">
        <f>+AW198+AW205</f>
        <v>3009367.9959999998</v>
      </c>
      <c r="AY207" s="245">
        <f>+AY198+AY205+AY206</f>
        <v>152930428.5683783</v>
      </c>
      <c r="BA207" s="245">
        <f>+BA198+BA205</f>
        <v>-5746666.3433333114</v>
      </c>
    </row>
    <row r="208" spans="1:55" ht="4.5" customHeight="1" thickTop="1" x14ac:dyDescent="0.2">
      <c r="A208" s="38"/>
      <c r="B208" s="23"/>
      <c r="I208" s="6"/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8"/>
      <c r="AU208" s="131"/>
      <c r="AW208" s="8"/>
      <c r="AY208" s="8"/>
    </row>
    <row r="209" spans="1:53" ht="13.5" thickBot="1" x14ac:dyDescent="0.25">
      <c r="A209" s="126" t="s">
        <v>421</v>
      </c>
      <c r="B209" s="23"/>
      <c r="I209" s="6"/>
      <c r="K209" s="127">
        <f>K207/$K$3</f>
        <v>347474.49460633483</v>
      </c>
      <c r="O209" s="127">
        <f>O207/$K$3</f>
        <v>336873.28646153846</v>
      </c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8"/>
      <c r="AU209" s="131"/>
      <c r="AW209" s="8"/>
      <c r="AY209" s="127">
        <f>AY207/$K$3</f>
        <v>345996.44472483778</v>
      </c>
    </row>
    <row r="210" spans="1:53" x14ac:dyDescent="0.2">
      <c r="I210" s="6"/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8"/>
      <c r="AU210" s="131"/>
      <c r="AW210" s="8"/>
      <c r="AY210" s="8"/>
    </row>
    <row r="211" spans="1:53" x14ac:dyDescent="0.2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8"/>
      <c r="AU211" s="131"/>
      <c r="AW211" s="8"/>
      <c r="AY211" s="8"/>
      <c r="BA211" s="187" t="str">
        <f ca="1">CELL("filename")</f>
        <v>C:\Users\Felienne\Enron\EnronSpreadsheets\[benjamin_rogers__1010__TVA Wkly Anal - 121499.xls]Brownsville</v>
      </c>
    </row>
    <row r="212" spans="1:53" x14ac:dyDescent="0.2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8"/>
      <c r="AU212" s="131"/>
      <c r="AW212" s="8"/>
      <c r="AY212" s="8"/>
    </row>
    <row r="214" spans="1:53" x14ac:dyDescent="0.2">
      <c r="B214" s="41" t="s">
        <v>474</v>
      </c>
      <c r="I214" s="6"/>
      <c r="R214" s="224"/>
      <c r="T214" s="224"/>
      <c r="U214" s="131"/>
      <c r="V214" s="8"/>
      <c r="W214" s="131"/>
      <c r="X214" s="131"/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  <c r="AL214" s="131"/>
      <c r="AM214" s="131"/>
      <c r="AN214" s="131"/>
      <c r="AO214" s="131"/>
      <c r="AP214" s="131"/>
      <c r="AQ214" s="131"/>
      <c r="AR214" s="131"/>
      <c r="AS214" s="8"/>
      <c r="AU214" s="131"/>
      <c r="AW214" s="8"/>
      <c r="AY214" s="8"/>
    </row>
    <row r="215" spans="1:53" x14ac:dyDescent="0.2"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8"/>
      <c r="AU215" s="131"/>
      <c r="AW215" s="8"/>
      <c r="AY215" s="8"/>
    </row>
    <row r="216" spans="1:53" x14ac:dyDescent="0.2">
      <c r="B216" s="6" t="s">
        <v>475</v>
      </c>
      <c r="I216" s="6"/>
      <c r="O216" s="8">
        <f>8735.19+10772844.84+6382.91+-10779227.75+6859219.62+24454869.33+49086841.63</f>
        <v>80409665.769999996</v>
      </c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8"/>
      <c r="AU216" s="131"/>
      <c r="AW216" s="8"/>
      <c r="AY216" s="8">
        <f>6076683.25+142949312.32</f>
        <v>149025995.56999999</v>
      </c>
    </row>
    <row r="217" spans="1:53" x14ac:dyDescent="0.2">
      <c r="I217" s="6"/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8"/>
      <c r="AU217" s="131"/>
      <c r="AW217" s="8"/>
      <c r="AY217" s="8"/>
    </row>
    <row r="218" spans="1:53" x14ac:dyDescent="0.2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8"/>
      <c r="AU218" s="131"/>
      <c r="AW218" s="8"/>
      <c r="AY218" s="8"/>
    </row>
    <row r="219" spans="1:53" x14ac:dyDescent="0.2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8"/>
      <c r="AU219" s="131"/>
      <c r="AW219" s="8"/>
      <c r="AY219" s="8"/>
    </row>
    <row r="220" spans="1:53" x14ac:dyDescent="0.2">
      <c r="B220" s="6" t="s">
        <v>476</v>
      </c>
      <c r="I220" s="6"/>
      <c r="O220" s="8">
        <f>SUM(O216:O219)</f>
        <v>80409665.769999996</v>
      </c>
      <c r="Q220" s="131">
        <f>AS198</f>
        <v>151635290.96333331</v>
      </c>
      <c r="R220" s="224"/>
      <c r="S220" s="131">
        <f>AU198</f>
        <v>3101791.33</v>
      </c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8"/>
      <c r="AU220" s="131"/>
      <c r="AW220" s="8"/>
      <c r="AY220" s="8">
        <f>+AS207-AI121-AG121-AE121-AC121-AA121-AS125-AK121-1430-AS206-AM121</f>
        <v>150368507.6633333</v>
      </c>
    </row>
    <row r="221" spans="1:53" x14ac:dyDescent="0.2">
      <c r="I221" s="6"/>
      <c r="R221" s="224"/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8"/>
      <c r="AU221" s="131"/>
      <c r="AW221" s="8"/>
      <c r="AY221" s="8"/>
    </row>
    <row r="222" spans="1:53" x14ac:dyDescent="0.2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8"/>
      <c r="AU222" s="131"/>
      <c r="AW222" s="8"/>
      <c r="AY222" s="8"/>
    </row>
    <row r="223" spans="1:53" x14ac:dyDescent="0.2">
      <c r="B223" s="6" t="s">
        <v>477</v>
      </c>
      <c r="I223" s="6"/>
      <c r="O223" s="8" t="e">
        <f>O220-#REF!</f>
        <v>#REF!</v>
      </c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8"/>
      <c r="AU223" s="131"/>
      <c r="AW223" s="8"/>
      <c r="AY223" s="8">
        <f>+AY216-AY220</f>
        <v>-1342512.0933333039</v>
      </c>
    </row>
  </sheetData>
  <printOptions horizontalCentered="1"/>
  <pageMargins left="0.25" right="0.25" top="0.25" bottom="0.25" header="0.5" footer="0.5"/>
  <pageSetup scale="39" fitToHeight="2" orientation="landscape" horizontalDpi="300" verticalDpi="300" r:id="rId1"/>
  <headerFooter alignWithMargins="0"/>
  <rowBreaks count="1" manualBreakCount="1">
    <brk id="119" max="52" man="1"/>
  </rowBreaks>
  <colBreaks count="1" manualBreakCount="1">
    <brk id="53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292"/>
  <sheetViews>
    <sheetView view="pageBreakPreview" zoomScale="60" zoomScaleNormal="75" workbookViewId="0">
      <pane xSplit="9" ySplit="6" topLeftCell="AJ176" activePane="bottomRight" state="frozen"/>
      <selection activeCell="A16" sqref="A16"/>
      <selection pane="topRight" activeCell="A16" sqref="A16"/>
      <selection pane="bottomLeft" activeCell="A16" sqref="A16"/>
      <selection pane="bottomRight" activeCell="AQ221" sqref="AQ221"/>
    </sheetView>
  </sheetViews>
  <sheetFormatPr defaultRowHeight="12.75" x14ac:dyDescent="0.2"/>
  <cols>
    <col min="1" max="1" width="4.7109375" style="6" customWidth="1"/>
    <col min="2" max="2" width="54" style="6" bestFit="1" customWidth="1"/>
    <col min="3" max="3" width="17.140625" style="6" hidden="1" customWidth="1"/>
    <col min="4" max="4" width="0.85546875" style="6" hidden="1" customWidth="1"/>
    <col min="5" max="5" width="16.85546875" style="7" hidden="1" customWidth="1"/>
    <col min="6" max="6" width="0.85546875" style="6" hidden="1" customWidth="1"/>
    <col min="7" max="7" width="17.140625" style="7" hidden="1" customWidth="1"/>
    <col min="8" max="8" width="2" style="6" hidden="1" customWidth="1"/>
    <col min="9" max="9" width="0.140625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8.140625" style="8" hidden="1" customWidth="1"/>
    <col min="16" max="16" width="2.28515625" style="6" customWidth="1"/>
    <col min="17" max="17" width="19.140625" style="143" hidden="1" customWidth="1"/>
    <col min="18" max="18" width="0.85546875" style="228" hidden="1" customWidth="1"/>
    <col min="19" max="19" width="19.140625" style="143" hidden="1" customWidth="1"/>
    <col min="20" max="20" width="0.85546875" style="228" hidden="1" customWidth="1"/>
    <col min="21" max="21" width="19.140625" style="143" hidden="1" customWidth="1"/>
    <col min="22" max="22" width="1" style="8" hidden="1" customWidth="1"/>
    <col min="23" max="23" width="19.140625" style="143" hidden="1" customWidth="1"/>
    <col min="24" max="24" width="0.85546875" style="8" hidden="1" customWidth="1"/>
    <col min="25" max="25" width="19.140625" style="143" hidden="1" customWidth="1"/>
    <col min="26" max="26" width="0.85546875" style="8" hidden="1" customWidth="1"/>
    <col min="27" max="27" width="19.140625" style="143" hidden="1" customWidth="1"/>
    <col min="28" max="28" width="0.85546875" style="8" hidden="1" customWidth="1"/>
    <col min="29" max="29" width="19.140625" style="143" hidden="1" customWidth="1"/>
    <col min="30" max="30" width="0.85546875" style="8" hidden="1" customWidth="1"/>
    <col min="31" max="31" width="19.140625" style="143" hidden="1" customWidth="1"/>
    <col min="32" max="32" width="1.5703125" style="143" hidden="1" customWidth="1"/>
    <col min="33" max="33" width="19.140625" style="143" hidden="1" customWidth="1"/>
    <col min="34" max="34" width="1.5703125" style="143" hidden="1" customWidth="1"/>
    <col min="35" max="35" width="19.140625" style="143" hidden="1" customWidth="1"/>
    <col min="36" max="36" width="1.28515625" style="143" customWidth="1"/>
    <col min="37" max="37" width="19.140625" style="143" customWidth="1"/>
    <col min="38" max="38" width="2" style="143" customWidth="1"/>
    <col min="39" max="39" width="18" style="143" customWidth="1"/>
    <col min="40" max="40" width="2" style="143" customWidth="1"/>
    <col min="41" max="41" width="21.140625" style="143" customWidth="1"/>
    <col min="42" max="42" width="2.28515625" style="143" customWidth="1"/>
    <col min="43" max="43" width="21.140625" style="143" customWidth="1"/>
    <col min="44" max="44" width="2.140625" style="6" customWidth="1"/>
    <col min="45" max="45" width="24.7109375" style="8" customWidth="1"/>
    <col min="46" max="46" width="0.85546875" style="6" customWidth="1"/>
    <col min="47" max="47" width="23.140625" style="143" customWidth="1"/>
    <col min="48" max="48" width="0.85546875" style="6" customWidth="1"/>
    <col min="49" max="49" width="26.140625" style="8" customWidth="1"/>
    <col min="50" max="50" width="1.7109375" style="8" customWidth="1"/>
    <col min="51" max="51" width="20.85546875" style="8" customWidth="1"/>
    <col min="52" max="52" width="1.7109375" style="8" customWidth="1"/>
    <col min="53" max="53" width="21.7109375" style="8" customWidth="1"/>
    <col min="54" max="54" width="0.85546875" style="6" customWidth="1"/>
    <col min="55" max="55" width="63.42578125" style="6" hidden="1" customWidth="1"/>
    <col min="56" max="56" width="15.140625" style="8" hidden="1" customWidth="1"/>
    <col min="57" max="57" width="13.28515625" style="6" hidden="1" customWidth="1"/>
    <col min="58" max="58" width="0" style="6" hidden="1" customWidth="1"/>
    <col min="59" max="16384" width="9.140625" style="6"/>
  </cols>
  <sheetData>
    <row r="1" spans="1:57" s="36" customFormat="1" ht="15.75" x14ac:dyDescent="0.25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69"/>
      <c r="AU1" s="174"/>
      <c r="AW1" s="169"/>
      <c r="AX1" s="169"/>
      <c r="AY1" s="169"/>
      <c r="AZ1" s="169"/>
      <c r="BA1" s="147"/>
      <c r="BD1" s="147"/>
    </row>
    <row r="2" spans="1:57" s="36" customFormat="1" ht="15.75" x14ac:dyDescent="0.25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47"/>
      <c r="AU2" s="174"/>
      <c r="AW2" s="147"/>
      <c r="AX2" s="147"/>
      <c r="AY2" s="147"/>
      <c r="AZ2" s="147"/>
      <c r="BA2" s="147"/>
      <c r="BD2" s="147"/>
    </row>
    <row r="3" spans="1:57" s="36" customFormat="1" ht="15.75" x14ac:dyDescent="0.25">
      <c r="A3" s="219" t="s">
        <v>492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46"/>
      <c r="AU3" s="174"/>
      <c r="AW3" s="46">
        <f ca="1">NOW()</f>
        <v>41885.540662268519</v>
      </c>
      <c r="AY3" s="46"/>
      <c r="BA3" s="169" t="str">
        <f>Summary!A4</f>
        <v>Revision # 56</v>
      </c>
      <c r="BD3" s="147"/>
    </row>
    <row r="4" spans="1:57" s="36" customFormat="1" ht="15.75" x14ac:dyDescent="0.25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339</v>
      </c>
      <c r="V4" s="148"/>
      <c r="W4" s="175" t="s">
        <v>339</v>
      </c>
      <c r="X4" s="148"/>
      <c r="Y4" s="175" t="s">
        <v>339</v>
      </c>
      <c r="Z4" s="148"/>
      <c r="AA4" s="175" t="s">
        <v>339</v>
      </c>
      <c r="AB4" s="148"/>
      <c r="AC4" s="175" t="s">
        <v>339</v>
      </c>
      <c r="AD4" s="148"/>
      <c r="AE4" s="175" t="s">
        <v>339</v>
      </c>
      <c r="AF4" s="175"/>
      <c r="AG4" s="175" t="s">
        <v>339</v>
      </c>
      <c r="AH4" s="175"/>
      <c r="AI4" s="175" t="s">
        <v>339</v>
      </c>
      <c r="AJ4" s="175"/>
      <c r="AK4" s="175" t="s">
        <v>339</v>
      </c>
      <c r="AL4" s="175"/>
      <c r="AM4" s="175" t="s">
        <v>339</v>
      </c>
      <c r="AN4" s="175"/>
      <c r="AO4" s="175" t="s">
        <v>339</v>
      </c>
      <c r="AP4" s="175"/>
      <c r="AQ4" s="175" t="s">
        <v>339</v>
      </c>
      <c r="AS4" s="150"/>
      <c r="AU4" s="149" t="s">
        <v>346</v>
      </c>
      <c r="AW4" s="150"/>
      <c r="AY4" s="150"/>
      <c r="BA4" s="150"/>
      <c r="BD4" s="147"/>
    </row>
    <row r="5" spans="1:57" s="36" customFormat="1" ht="15.75" x14ac:dyDescent="0.25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340</v>
      </c>
      <c r="V5" s="148"/>
      <c r="W5" s="175" t="s">
        <v>340</v>
      </c>
      <c r="X5" s="148"/>
      <c r="Y5" s="175" t="s">
        <v>340</v>
      </c>
      <c r="Z5" s="148"/>
      <c r="AA5" s="175" t="s">
        <v>340</v>
      </c>
      <c r="AB5" s="148"/>
      <c r="AC5" s="175" t="s">
        <v>340</v>
      </c>
      <c r="AD5" s="148"/>
      <c r="AE5" s="175" t="s">
        <v>340</v>
      </c>
      <c r="AF5" s="175"/>
      <c r="AG5" s="175" t="s">
        <v>340</v>
      </c>
      <c r="AH5" s="175"/>
      <c r="AI5" s="175" t="s">
        <v>340</v>
      </c>
      <c r="AJ5" s="175"/>
      <c r="AK5" s="175" t="s">
        <v>340</v>
      </c>
      <c r="AL5" s="175"/>
      <c r="AM5" s="175" t="s">
        <v>340</v>
      </c>
      <c r="AN5" s="175"/>
      <c r="AO5" s="175" t="s">
        <v>340</v>
      </c>
      <c r="AP5" s="175"/>
      <c r="AQ5" s="175" t="s">
        <v>340</v>
      </c>
      <c r="AS5" s="150" t="s">
        <v>190</v>
      </c>
      <c r="AU5" s="149" t="s">
        <v>347</v>
      </c>
      <c r="AW5" s="150" t="s">
        <v>161</v>
      </c>
      <c r="AY5" s="150" t="s">
        <v>367</v>
      </c>
      <c r="BA5" s="150"/>
      <c r="BD5" s="147"/>
    </row>
    <row r="6" spans="1:57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541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55" t="s">
        <v>343</v>
      </c>
      <c r="AU6" s="153" t="s">
        <v>348</v>
      </c>
      <c r="AW6" s="155" t="s">
        <v>110</v>
      </c>
      <c r="AY6" s="155" t="s">
        <v>368</v>
      </c>
      <c r="BA6" s="155" t="s">
        <v>111</v>
      </c>
      <c r="BC6" s="150" t="s">
        <v>5</v>
      </c>
      <c r="BD6" s="147"/>
      <c r="BE6" s="36" t="s">
        <v>408</v>
      </c>
    </row>
    <row r="7" spans="1:57" s="36" customFormat="1" ht="15.75" x14ac:dyDescent="0.25">
      <c r="A7" s="215"/>
      <c r="B7" s="1"/>
      <c r="C7" s="2"/>
      <c r="G7" s="146"/>
      <c r="K7" s="147"/>
      <c r="M7" s="147"/>
      <c r="O7" s="147"/>
      <c r="Q7" s="175" t="s">
        <v>542</v>
      </c>
      <c r="R7" s="227"/>
      <c r="S7" s="175" t="s">
        <v>542</v>
      </c>
      <c r="T7" s="227"/>
      <c r="U7" s="175" t="str">
        <f>+Summary!$O$3</f>
        <v>as of 12/10/99</v>
      </c>
      <c r="V7" s="148"/>
      <c r="W7" s="175" t="str">
        <f>+Summary!$O$3</f>
        <v>as of 12/10/99</v>
      </c>
      <c r="X7" s="148"/>
      <c r="Y7" s="175" t="str">
        <f>+Summary!$O$3</f>
        <v>as of 12/10/99</v>
      </c>
      <c r="Z7" s="148"/>
      <c r="AA7" s="175" t="str">
        <f>+Summary!$O$3</f>
        <v>as of 12/10/99</v>
      </c>
      <c r="AB7" s="148"/>
      <c r="AC7" s="175" t="str">
        <f>+Summary!$O$3</f>
        <v>as of 12/10/99</v>
      </c>
      <c r="AD7" s="148"/>
      <c r="AE7" s="175" t="str">
        <f>+Summary!$O$3</f>
        <v>as of 12/10/99</v>
      </c>
      <c r="AF7" s="175"/>
      <c r="AG7" s="175" t="str">
        <f>+Summary!$O$3</f>
        <v>as of 12/10/99</v>
      </c>
      <c r="AH7" s="175"/>
      <c r="AI7" s="175" t="str">
        <f>+Summary!$O$3</f>
        <v>as of 12/10/99</v>
      </c>
      <c r="AJ7" s="175"/>
      <c r="AK7" s="175" t="str">
        <f>+Summary!$O$3</f>
        <v>as of 12/10/99</v>
      </c>
      <c r="AL7" s="175"/>
      <c r="AM7" s="175" t="str">
        <f>+Summary!$O$3</f>
        <v>as of 12/10/99</v>
      </c>
      <c r="AN7" s="175"/>
      <c r="AO7" s="175" t="str">
        <f>+Summary!$O$3</f>
        <v>as of 12/10/99</v>
      </c>
      <c r="AP7" s="175"/>
      <c r="AQ7" s="175" t="str">
        <f>+Summary!$O$3</f>
        <v>as of 12/10/99</v>
      </c>
      <c r="AS7" s="150" t="str">
        <f>+Summary!$O$3</f>
        <v>as of 12/10/99</v>
      </c>
      <c r="AU7" s="132" t="str">
        <f>+Summary!$O$3</f>
        <v>as of 12/10/99</v>
      </c>
      <c r="AW7" s="150"/>
      <c r="AY7" s="150"/>
      <c r="BA7" s="150"/>
      <c r="BD7" s="147"/>
    </row>
    <row r="8" spans="1:57" x14ac:dyDescent="0.2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6"/>
      <c r="AU8" s="177"/>
      <c r="AW8" s="6"/>
      <c r="AX8" s="6"/>
      <c r="AY8" s="6"/>
      <c r="AZ8" s="6"/>
      <c r="BA8" s="6"/>
    </row>
    <row r="9" spans="1:57" x14ac:dyDescent="0.2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S9" s="45">
        <f>SUM(P9:AR9)</f>
        <v>1347000</v>
      </c>
      <c r="AW9" s="8">
        <f>IF(+O9-AS9+AU9&gt;0,O9-AS9+AU9,0)</f>
        <v>0</v>
      </c>
      <c r="AX9" s="6"/>
      <c r="AY9" s="8">
        <f>+AW9+AS9</f>
        <v>1347000</v>
      </c>
      <c r="AZ9" s="6"/>
      <c r="BA9" s="8">
        <f t="shared" ref="BA9:BA24" si="1">O9-AS9-AW9</f>
        <v>0</v>
      </c>
      <c r="BB9" s="12"/>
      <c r="BC9" s="47" t="s">
        <v>406</v>
      </c>
      <c r="BD9" s="8">
        <v>-1347000</v>
      </c>
      <c r="BE9" s="39">
        <f>+AY9+BD9</f>
        <v>0</v>
      </c>
    </row>
    <row r="10" spans="1:57" x14ac:dyDescent="0.2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S10" s="45">
        <f t="shared" ref="AS10:AS40" si="2">SUM(P10:AR10)</f>
        <v>359732.63</v>
      </c>
      <c r="AU10" s="143">
        <v>0</v>
      </c>
      <c r="AW10" s="8">
        <f>395900-356310</f>
        <v>39590</v>
      </c>
      <c r="AX10" s="6"/>
      <c r="AY10" s="8">
        <f t="shared" ref="AY10:AY120" si="3">+AW10+AS10</f>
        <v>399322.63</v>
      </c>
      <c r="AZ10" s="6"/>
      <c r="BA10" s="8">
        <f t="shared" si="1"/>
        <v>100677.37</v>
      </c>
      <c r="BB10" s="12"/>
      <c r="BC10" s="47" t="s">
        <v>430</v>
      </c>
      <c r="BD10" s="8">
        <v>-611136</v>
      </c>
      <c r="BE10" s="39">
        <f t="shared" ref="BE10:BE24" si="4">+AY10+BD10</f>
        <v>-211813.37</v>
      </c>
    </row>
    <row r="11" spans="1:57" x14ac:dyDescent="0.2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S11" s="45">
        <f t="shared" si="2"/>
        <v>134700</v>
      </c>
      <c r="AW11" s="8">
        <f>IF(+O11-AS11+AU11&gt;0,O11-AS11+AU11,0)</f>
        <v>0</v>
      </c>
      <c r="AX11" s="6"/>
      <c r="AY11" s="8">
        <f t="shared" si="3"/>
        <v>134700</v>
      </c>
      <c r="AZ11" s="6"/>
      <c r="BA11" s="8">
        <f t="shared" si="1"/>
        <v>0</v>
      </c>
      <c r="BB11" s="12"/>
      <c r="BC11" s="47"/>
      <c r="BE11" s="39">
        <f t="shared" si="4"/>
        <v>134700</v>
      </c>
    </row>
    <row r="12" spans="1:57" x14ac:dyDescent="0.2">
      <c r="A12" s="218"/>
      <c r="B12" s="31" t="s">
        <v>371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S12" s="45">
        <f t="shared" si="2"/>
        <v>27502774</v>
      </c>
      <c r="AW12" s="8">
        <v>0</v>
      </c>
      <c r="AX12" s="6"/>
      <c r="AY12" s="8">
        <f t="shared" si="3"/>
        <v>27502774</v>
      </c>
      <c r="AZ12" s="6"/>
      <c r="BA12" s="8">
        <f t="shared" si="1"/>
        <v>226</v>
      </c>
      <c r="BB12" s="12"/>
      <c r="BC12" s="47" t="s">
        <v>116</v>
      </c>
      <c r="BE12" s="39">
        <f t="shared" si="4"/>
        <v>27502774</v>
      </c>
    </row>
    <row r="13" spans="1:57" x14ac:dyDescent="0.2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S13" s="45">
        <f t="shared" si="2"/>
        <v>-700000</v>
      </c>
      <c r="AW13" s="8">
        <f>O13-AS13+AU13</f>
        <v>0</v>
      </c>
      <c r="AX13" s="6"/>
      <c r="AY13" s="131">
        <f t="shared" si="3"/>
        <v>-700000</v>
      </c>
      <c r="AZ13" s="6"/>
      <c r="BA13" s="8">
        <f t="shared" si="1"/>
        <v>0</v>
      </c>
      <c r="BB13" s="12"/>
      <c r="BC13" s="47"/>
      <c r="BE13" s="39">
        <f t="shared" si="4"/>
        <v>-700000</v>
      </c>
    </row>
    <row r="14" spans="1:57" x14ac:dyDescent="0.2">
      <c r="A14" s="218"/>
      <c r="B14" s="31" t="s">
        <v>499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S14" s="45">
        <f t="shared" si="2"/>
        <v>2750277.4</v>
      </c>
      <c r="AW14" s="8">
        <f>IF(+O14-AS14+AU14&gt;0,O14-AS14+AU14,0)</f>
        <v>849722.60000000009</v>
      </c>
      <c r="AX14" s="6"/>
      <c r="AY14" s="8">
        <f t="shared" si="3"/>
        <v>3600000</v>
      </c>
      <c r="AZ14" s="6"/>
      <c r="BA14" s="8">
        <f t="shared" si="1"/>
        <v>0</v>
      </c>
      <c r="BB14" s="12"/>
      <c r="BC14" s="47"/>
      <c r="BE14" s="39">
        <f t="shared" si="4"/>
        <v>3600000</v>
      </c>
    </row>
    <row r="15" spans="1:57" x14ac:dyDescent="0.2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S15" s="45">
        <f t="shared" si="2"/>
        <v>1812450</v>
      </c>
      <c r="AU15" s="143">
        <v>0</v>
      </c>
      <c r="AW15" s="8">
        <f>IF(+O15-AS15+AU15&gt;0,O15-AS15+AU15,0)</f>
        <v>0</v>
      </c>
      <c r="AX15" s="6"/>
      <c r="AY15" s="8">
        <f t="shared" si="3"/>
        <v>1812450</v>
      </c>
      <c r="AZ15" s="6"/>
      <c r="BA15" s="8">
        <f t="shared" si="1"/>
        <v>-504790</v>
      </c>
      <c r="BB15" s="12"/>
      <c r="BC15" s="47"/>
      <c r="BD15" s="8">
        <v>-1375178</v>
      </c>
      <c r="BE15" s="39">
        <f t="shared" si="4"/>
        <v>437272</v>
      </c>
    </row>
    <row r="16" spans="1:57" x14ac:dyDescent="0.2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S16" s="45">
        <f>SUM(P16:AR16)</f>
        <v>3729046.0700000003</v>
      </c>
      <c r="AU16" s="143">
        <f>2254002</f>
        <v>2254002</v>
      </c>
      <c r="AW16" s="8">
        <f>IF(+O16-AS16+AU16&gt;0,O16-AS16+AU16,0)</f>
        <v>0</v>
      </c>
      <c r="AX16" s="6"/>
      <c r="AY16" s="264">
        <f>+AW16+AS16</f>
        <v>3729046.0700000003</v>
      </c>
      <c r="AZ16" s="6"/>
      <c r="BA16" s="8">
        <f t="shared" si="1"/>
        <v>-2455021.0700000003</v>
      </c>
      <c r="BB16" s="12"/>
      <c r="BC16" s="47" t="s">
        <v>407</v>
      </c>
      <c r="BD16" s="8">
        <f>1000000-1274025</f>
        <v>-274025</v>
      </c>
      <c r="BE16" s="39">
        <f>+AY16+BD16</f>
        <v>3455021.0700000003</v>
      </c>
    </row>
    <row r="17" spans="1:57" x14ac:dyDescent="0.2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S17" s="45">
        <f t="shared" si="2"/>
        <v>-200500</v>
      </c>
      <c r="AW17" s="8">
        <f>O17-AS17+AU17</f>
        <v>0</v>
      </c>
      <c r="AX17" s="6"/>
      <c r="AY17" s="131">
        <f t="shared" si="3"/>
        <v>-200500</v>
      </c>
      <c r="AZ17" s="6"/>
      <c r="BA17" s="8">
        <f t="shared" si="1"/>
        <v>0</v>
      </c>
      <c r="BB17" s="12"/>
      <c r="BC17" s="47"/>
      <c r="BE17" s="39">
        <f t="shared" si="4"/>
        <v>-200500</v>
      </c>
    </row>
    <row r="18" spans="1:57" x14ac:dyDescent="0.2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S18" s="45">
        <f t="shared" si="2"/>
        <v>-100000</v>
      </c>
      <c r="AW18" s="8">
        <f>O18-AS18+AU18</f>
        <v>0</v>
      </c>
      <c r="AX18" s="6"/>
      <c r="AY18" s="131">
        <f t="shared" si="3"/>
        <v>-100000</v>
      </c>
      <c r="AZ18" s="6"/>
      <c r="BA18" s="8">
        <f t="shared" si="1"/>
        <v>0</v>
      </c>
      <c r="BB18" s="12"/>
      <c r="BC18" s="47"/>
      <c r="BE18" s="39">
        <f t="shared" si="4"/>
        <v>-100000</v>
      </c>
    </row>
    <row r="19" spans="1:57" x14ac:dyDescent="0.2">
      <c r="A19" s="218"/>
      <c r="B19" s="31" t="s">
        <v>314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S19" s="45">
        <f t="shared" si="2"/>
        <v>14347</v>
      </c>
      <c r="AW19" s="8">
        <f>IF(+O19-AS19+AU19&gt;0,O19-AS19+AU19,0)</f>
        <v>74835</v>
      </c>
      <c r="AX19" s="6"/>
      <c r="AY19" s="8">
        <f t="shared" si="3"/>
        <v>89182</v>
      </c>
      <c r="AZ19" s="6"/>
      <c r="BA19" s="8">
        <f t="shared" si="1"/>
        <v>0</v>
      </c>
      <c r="BB19" s="12"/>
      <c r="BC19" s="47"/>
      <c r="BE19" s="39">
        <f t="shared" si="4"/>
        <v>89182</v>
      </c>
    </row>
    <row r="20" spans="1:57" x14ac:dyDescent="0.2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S20" s="45">
        <f t="shared" si="2"/>
        <v>9167.59</v>
      </c>
      <c r="AW20" s="8">
        <f>IF(+O20-AS20+AU20&gt;0,O20-AS20+AU20,0)</f>
        <v>0</v>
      </c>
      <c r="AX20" s="6"/>
      <c r="AY20" s="8">
        <f t="shared" si="3"/>
        <v>9167.59</v>
      </c>
      <c r="AZ20" s="6"/>
      <c r="BA20" s="8">
        <f t="shared" si="1"/>
        <v>-9167.59</v>
      </c>
      <c r="BB20" s="12"/>
      <c r="BC20" s="8"/>
      <c r="BD20" s="8">
        <v>-10680</v>
      </c>
      <c r="BE20" s="39">
        <f t="shared" si="4"/>
        <v>-1512.4099999999999</v>
      </c>
    </row>
    <row r="21" spans="1:57" x14ac:dyDescent="0.2">
      <c r="A21" s="113"/>
      <c r="B21" s="31" t="s">
        <v>372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S21" s="45">
        <f>SUM(P21:AR21)</f>
        <v>0</v>
      </c>
      <c r="AW21" s="8">
        <f>IF(+O21-AS21+AU21&gt;0,O21-AS21+AU21,0)</f>
        <v>0</v>
      </c>
      <c r="AX21" s="6"/>
      <c r="AY21" s="8">
        <f>+AW21+AS21</f>
        <v>0</v>
      </c>
      <c r="AZ21" s="6"/>
      <c r="BA21" s="8">
        <f t="shared" si="1"/>
        <v>0</v>
      </c>
      <c r="BB21" s="12"/>
      <c r="BC21" s="47"/>
      <c r="BE21" s="39">
        <f t="shared" si="4"/>
        <v>0</v>
      </c>
    </row>
    <row r="22" spans="1:57" x14ac:dyDescent="0.2">
      <c r="A22" s="113"/>
      <c r="B22" s="31" t="s">
        <v>316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S22" s="45">
        <f>SUM(P22:AR22)</f>
        <v>8607522.9600000009</v>
      </c>
      <c r="AW22" s="12">
        <v>-268110</v>
      </c>
      <c r="AX22" s="6"/>
      <c r="AY22" s="264">
        <f>+AW22+AS22</f>
        <v>8339412.9600000009</v>
      </c>
      <c r="AZ22" s="6"/>
      <c r="BA22" s="8">
        <f t="shared" si="1"/>
        <v>-964412.96000000089</v>
      </c>
      <c r="BB22" s="12"/>
      <c r="BC22" s="47" t="s">
        <v>519</v>
      </c>
      <c r="BD22" s="8">
        <f>6725000-185651</f>
        <v>6539349</v>
      </c>
      <c r="BE22" s="39">
        <f t="shared" si="4"/>
        <v>14878761.960000001</v>
      </c>
    </row>
    <row r="23" spans="1:57" x14ac:dyDescent="0.2">
      <c r="A23" s="165"/>
      <c r="B23" s="31" t="s">
        <v>548</v>
      </c>
      <c r="C23" s="114"/>
      <c r="K23" s="5"/>
      <c r="L23" s="5"/>
      <c r="M23" s="5"/>
      <c r="N23" s="5"/>
      <c r="O23" s="5"/>
      <c r="V23" s="12"/>
      <c r="AS23" s="45">
        <f>SUM(P23:AR23)</f>
        <v>0</v>
      </c>
      <c r="AU23" s="143">
        <v>1500000</v>
      </c>
      <c r="AW23" s="8">
        <f>O23-AS23+AU23</f>
        <v>1500000</v>
      </c>
      <c r="AX23" s="6"/>
      <c r="AY23" s="264">
        <f>+AW23+AS23</f>
        <v>1500000</v>
      </c>
      <c r="AZ23" s="6"/>
      <c r="BA23" s="8">
        <f t="shared" si="1"/>
        <v>-1500000</v>
      </c>
      <c r="BB23" s="12"/>
      <c r="BC23" s="47"/>
      <c r="BE23" s="39"/>
    </row>
    <row r="24" spans="1:57" x14ac:dyDescent="0.2">
      <c r="A24" s="218"/>
      <c r="B24" s="31" t="s">
        <v>315</v>
      </c>
      <c r="C24" s="114" t="s">
        <v>317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S24" s="45">
        <f t="shared" si="2"/>
        <v>35464589.010000005</v>
      </c>
      <c r="AW24" s="8">
        <f>+'Parts_Refurb $s'!D43-NewAlbany!AS24+7533720+295000</f>
        <v>-172555.53000000492</v>
      </c>
      <c r="AX24" s="6"/>
      <c r="AY24" s="264">
        <f t="shared" si="3"/>
        <v>35292033.480000004</v>
      </c>
      <c r="AZ24" s="6"/>
      <c r="BA24" s="8">
        <f t="shared" si="1"/>
        <v>-8506637.4800000004</v>
      </c>
      <c r="BB24" s="12"/>
      <c r="BC24" s="143">
        <f>-396000-1291080+126037.25+47164.53+13431.12+56577.48+268566.61+77785.14+536002.1+49578.57+14147.3+680938.26+1339270+2678540+14561.54+81471.53+8313.94+35380.36+3470.23</f>
        <v>4344155.9600000018</v>
      </c>
      <c r="BD24" s="8">
        <v>-1164043</v>
      </c>
      <c r="BE24" s="39">
        <f t="shared" si="4"/>
        <v>34127990.480000004</v>
      </c>
    </row>
    <row r="25" spans="1:57" x14ac:dyDescent="0.2">
      <c r="A25" s="218"/>
      <c r="B25" s="31" t="s">
        <v>405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56819</v>
      </c>
      <c r="AP25" s="172"/>
      <c r="AQ25" s="181">
        <f>SUBTOTAL(9,AQ9:AQ24)</f>
        <v>0</v>
      </c>
      <c r="AS25" s="181">
        <f>SUBTOTAL(9,AS9:AS24)</f>
        <v>80731106.659999996</v>
      </c>
      <c r="AU25" s="181">
        <f>SUBTOTAL(9,AU9:AU24)</f>
        <v>3754002</v>
      </c>
      <c r="AW25" s="181">
        <f>SUM(AW9:AW24)</f>
        <v>2023482.0699999952</v>
      </c>
      <c r="AX25" s="6"/>
      <c r="AY25" s="181">
        <f>SUM(AY9:AY24)</f>
        <v>82754588.730000004</v>
      </c>
      <c r="AZ25" s="6"/>
      <c r="BA25" s="181">
        <f>SUM(BA9:BA24)</f>
        <v>-13839125.73</v>
      </c>
      <c r="BB25" s="8"/>
      <c r="BC25" s="8"/>
      <c r="BD25" s="8">
        <f>SUM(BD9:BD24)</f>
        <v>1757287</v>
      </c>
      <c r="BE25" s="39">
        <f>+AY25+BD25</f>
        <v>84511875.730000004</v>
      </c>
    </row>
    <row r="26" spans="1:57" x14ac:dyDescent="0.2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S26" s="45"/>
      <c r="AX26" s="6"/>
      <c r="AY26" s="131"/>
      <c r="AZ26" s="6"/>
      <c r="BB26" s="12"/>
      <c r="BC26" s="47"/>
    </row>
    <row r="27" spans="1:57" x14ac:dyDescent="0.2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S27" s="45">
        <f t="shared" si="2"/>
        <v>7891256.5300000003</v>
      </c>
      <c r="AW27" s="8">
        <v>0</v>
      </c>
      <c r="AX27" s="6"/>
      <c r="AY27" s="131">
        <f t="shared" si="3"/>
        <v>7891256.5300000003</v>
      </c>
      <c r="AZ27" s="6"/>
      <c r="BA27" s="8">
        <f>O27-AS27-AW27</f>
        <v>-2526156.5300000003</v>
      </c>
      <c r="BB27" s="12"/>
      <c r="BC27" s="47"/>
      <c r="BD27" s="8">
        <v>-5488215</v>
      </c>
      <c r="BE27" s="39">
        <f>+AY27+BD27</f>
        <v>2403041.5300000003</v>
      </c>
    </row>
    <row r="28" spans="1:57" ht="14.25" customHeight="1" x14ac:dyDescent="0.2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S28" s="45">
        <f t="shared" si="2"/>
        <v>0</v>
      </c>
      <c r="AW28" s="8">
        <f>IF(+O28-AS28+AU28&gt;0,O28-AS28+AU28,0)</f>
        <v>0</v>
      </c>
      <c r="AX28" s="6"/>
      <c r="AY28" s="8">
        <f t="shared" si="3"/>
        <v>0</v>
      </c>
      <c r="AZ28" s="6"/>
      <c r="BA28" s="8">
        <f>O28-AS28-AW28</f>
        <v>0</v>
      </c>
      <c r="BB28" s="12"/>
      <c r="BC28" s="47"/>
    </row>
    <row r="29" spans="1:57" ht="14.25" customHeight="1" x14ac:dyDescent="0.2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S29" s="45"/>
      <c r="AX29" s="6"/>
      <c r="AZ29" s="6"/>
      <c r="BB29" s="12"/>
      <c r="BC29" s="47"/>
    </row>
    <row r="30" spans="1:57" x14ac:dyDescent="0.2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S30" s="45">
        <f t="shared" si="2"/>
        <v>6202450.9500000002</v>
      </c>
      <c r="AW30" s="8">
        <v>0</v>
      </c>
      <c r="AX30" s="6"/>
      <c r="AY30" s="264">
        <f t="shared" si="3"/>
        <v>6202450.9500000002</v>
      </c>
      <c r="AZ30" s="6"/>
      <c r="BA30" s="8">
        <f t="shared" ref="BA30:BA40" si="6">O30-AS30-AW30</f>
        <v>-52450.950000000186</v>
      </c>
      <c r="BB30" s="12"/>
      <c r="BC30" s="8"/>
      <c r="BE30" s="39">
        <f t="shared" ref="BE30:BE43" si="7">+AY30+BD30</f>
        <v>6202450.9500000002</v>
      </c>
    </row>
    <row r="31" spans="1:57" x14ac:dyDescent="0.2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S31" s="45">
        <f t="shared" si="2"/>
        <v>165430</v>
      </c>
      <c r="AW31" s="8">
        <f>165430-AS31</f>
        <v>0</v>
      </c>
      <c r="AX31" s="6"/>
      <c r="AY31" s="8">
        <f t="shared" si="3"/>
        <v>165430</v>
      </c>
      <c r="AZ31" s="6"/>
      <c r="BA31" s="8">
        <f t="shared" si="6"/>
        <v>0</v>
      </c>
      <c r="BB31" s="12"/>
      <c r="BC31" s="8"/>
      <c r="BE31" s="39">
        <f t="shared" si="7"/>
        <v>165430</v>
      </c>
    </row>
    <row r="32" spans="1:57" x14ac:dyDescent="0.2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S32" s="45">
        <f t="shared" si="2"/>
        <v>75356</v>
      </c>
      <c r="AW32" s="8">
        <f>75356-AS32</f>
        <v>0</v>
      </c>
      <c r="AX32" s="6"/>
      <c r="AY32" s="8">
        <f t="shared" si="3"/>
        <v>75356</v>
      </c>
      <c r="AZ32" s="6"/>
      <c r="BA32" s="8">
        <f t="shared" si="6"/>
        <v>0</v>
      </c>
      <c r="BB32" s="12"/>
      <c r="BC32" s="8"/>
      <c r="BE32" s="39">
        <f t="shared" si="7"/>
        <v>75356</v>
      </c>
    </row>
    <row r="33" spans="1:57" x14ac:dyDescent="0.2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S33" s="45">
        <f t="shared" si="2"/>
        <v>4177338.96</v>
      </c>
      <c r="AU33" s="143">
        <v>0</v>
      </c>
      <c r="AW33" s="8">
        <v>0</v>
      </c>
      <c r="AX33" s="6"/>
      <c r="AY33" s="8">
        <f t="shared" si="3"/>
        <v>4177338.96</v>
      </c>
      <c r="AZ33" s="6"/>
      <c r="BA33" s="8">
        <f t="shared" si="6"/>
        <v>-17178.959999999963</v>
      </c>
      <c r="BB33" s="12"/>
      <c r="BC33" s="8"/>
      <c r="BE33" s="39">
        <f t="shared" si="7"/>
        <v>4177338.96</v>
      </c>
    </row>
    <row r="34" spans="1:57" x14ac:dyDescent="0.2">
      <c r="A34" s="113"/>
      <c r="B34" s="31" t="s">
        <v>513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S34" s="45">
        <f t="shared" si="2"/>
        <v>0</v>
      </c>
      <c r="AU34" s="143">
        <v>0</v>
      </c>
      <c r="AW34" s="8">
        <f>IF(+O34-AS34+AU34&gt;0,O34-AS34+AU34,0)</f>
        <v>0</v>
      </c>
      <c r="AX34" s="6"/>
      <c r="AY34" s="8">
        <f t="shared" si="3"/>
        <v>0</v>
      </c>
      <c r="AZ34" s="6"/>
      <c r="BA34" s="8">
        <f t="shared" si="6"/>
        <v>0</v>
      </c>
      <c r="BB34" s="12"/>
      <c r="BC34" s="8"/>
      <c r="BE34" s="39"/>
    </row>
    <row r="35" spans="1:57" x14ac:dyDescent="0.2">
      <c r="A35" s="113"/>
      <c r="B35" s="31" t="s">
        <v>516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S35" s="45">
        <f t="shared" si="2"/>
        <v>601800</v>
      </c>
      <c r="AU35" s="143">
        <v>0</v>
      </c>
      <c r="AW35" s="8">
        <f>601800-AS35</f>
        <v>0</v>
      </c>
      <c r="AX35" s="6"/>
      <c r="AY35" s="8">
        <f t="shared" si="3"/>
        <v>601800</v>
      </c>
      <c r="AZ35" s="6"/>
      <c r="BA35" s="8">
        <f t="shared" si="6"/>
        <v>-601800</v>
      </c>
      <c r="BB35" s="12"/>
      <c r="BC35" s="8"/>
      <c r="BE35" s="39"/>
    </row>
    <row r="36" spans="1:57" x14ac:dyDescent="0.2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S36" s="45">
        <f t="shared" si="2"/>
        <v>0</v>
      </c>
      <c r="AW36" s="8">
        <v>0</v>
      </c>
      <c r="AX36" s="6"/>
      <c r="AY36" s="8">
        <f t="shared" si="3"/>
        <v>0</v>
      </c>
      <c r="AZ36" s="6"/>
      <c r="BA36" s="8">
        <f t="shared" si="6"/>
        <v>25000</v>
      </c>
      <c r="BB36" s="12"/>
      <c r="BC36" s="8"/>
      <c r="BE36" s="39">
        <f t="shared" si="7"/>
        <v>0</v>
      </c>
    </row>
    <row r="37" spans="1:57" x14ac:dyDescent="0.2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S37" s="45">
        <f t="shared" si="2"/>
        <v>0</v>
      </c>
      <c r="AW37" s="8">
        <v>0</v>
      </c>
      <c r="AX37" s="6"/>
      <c r="AY37" s="8">
        <f t="shared" si="3"/>
        <v>0</v>
      </c>
      <c r="AZ37" s="6"/>
      <c r="BA37" s="8">
        <f t="shared" si="6"/>
        <v>146850</v>
      </c>
      <c r="BB37" s="12"/>
      <c r="BC37" s="8"/>
      <c r="BE37" s="39">
        <f t="shared" si="7"/>
        <v>0</v>
      </c>
    </row>
    <row r="38" spans="1:57" x14ac:dyDescent="0.2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S38" s="45">
        <f t="shared" si="2"/>
        <v>0</v>
      </c>
      <c r="AW38" s="8">
        <v>0</v>
      </c>
      <c r="AX38" s="6"/>
      <c r="AY38" s="8">
        <f t="shared" si="3"/>
        <v>0</v>
      </c>
      <c r="AZ38" s="6"/>
      <c r="BA38" s="8">
        <f t="shared" si="6"/>
        <v>154950</v>
      </c>
      <c r="BB38" s="12"/>
      <c r="BC38" s="8"/>
      <c r="BE38" s="39">
        <f t="shared" si="7"/>
        <v>0</v>
      </c>
    </row>
    <row r="39" spans="1:57" x14ac:dyDescent="0.2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S39" s="45">
        <f t="shared" si="2"/>
        <v>0</v>
      </c>
      <c r="AW39" s="8">
        <v>0</v>
      </c>
      <c r="AX39" s="6"/>
      <c r="AY39" s="8">
        <f t="shared" si="3"/>
        <v>0</v>
      </c>
      <c r="AZ39" s="6"/>
      <c r="BA39" s="8">
        <f t="shared" si="6"/>
        <v>10000</v>
      </c>
      <c r="BB39" s="12"/>
      <c r="BC39" s="8"/>
      <c r="BE39" s="39">
        <f t="shared" si="7"/>
        <v>0</v>
      </c>
    </row>
    <row r="40" spans="1:57" x14ac:dyDescent="0.2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29">
        <f t="shared" si="2"/>
        <v>114500</v>
      </c>
      <c r="AU40" s="144"/>
      <c r="AW40" s="14">
        <v>0</v>
      </c>
      <c r="AX40" s="6"/>
      <c r="AY40" s="35">
        <f t="shared" si="3"/>
        <v>114500</v>
      </c>
      <c r="AZ40" s="6"/>
      <c r="BA40" s="14">
        <f t="shared" si="6"/>
        <v>-114500</v>
      </c>
      <c r="BB40" s="34"/>
      <c r="BC40" s="21"/>
      <c r="BE40" s="39">
        <f t="shared" si="7"/>
        <v>114500</v>
      </c>
    </row>
    <row r="41" spans="1:57" x14ac:dyDescent="0.2">
      <c r="A41" s="113"/>
      <c r="B41" s="31" t="s">
        <v>470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11336875.91</v>
      </c>
      <c r="AU41" s="20">
        <f>SUM(AU27:AU40)</f>
        <v>0</v>
      </c>
      <c r="AW41" s="20">
        <f>SUM(AW30:AW40)</f>
        <v>0</v>
      </c>
      <c r="AX41" s="6"/>
      <c r="AY41" s="20">
        <f>SUM(AY30:AY40)</f>
        <v>11336875.91</v>
      </c>
      <c r="AZ41" s="6"/>
      <c r="BA41" s="20">
        <f>SUM(BA30:BA40)</f>
        <v>-449129.91000000015</v>
      </c>
      <c r="BB41" s="34"/>
      <c r="BC41" s="21"/>
      <c r="BE41" s="39"/>
    </row>
    <row r="42" spans="1:57" x14ac:dyDescent="0.2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X42" s="6"/>
      <c r="AY42" s="13"/>
      <c r="AZ42" s="6"/>
      <c r="BA42" s="13"/>
      <c r="BB42" s="34"/>
      <c r="BC42" s="21"/>
      <c r="BE42" s="39"/>
    </row>
    <row r="43" spans="1:57" x14ac:dyDescent="0.2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56819</v>
      </c>
      <c r="AP43" s="15"/>
      <c r="AQ43" s="15">
        <f>AQ25+AQ27+AQ28+AQ41</f>
        <v>0</v>
      </c>
      <c r="AS43" s="15">
        <f>AS25+AS27+AS28+AS41</f>
        <v>99959239.099999994</v>
      </c>
      <c r="AU43" s="15">
        <f>+AU41+AU25</f>
        <v>3754002</v>
      </c>
      <c r="AW43" s="15">
        <f>AW25+AW27+AW28+AW41</f>
        <v>2023482.0699999952</v>
      </c>
      <c r="AX43" s="6"/>
      <c r="AY43" s="15">
        <f>AY25+AY27+AY28+AY41</f>
        <v>101982721.17</v>
      </c>
      <c r="AZ43" s="6"/>
      <c r="BA43" s="15">
        <f>BA25+BA27+BA28+BA41</f>
        <v>-16814412.170000002</v>
      </c>
      <c r="BB43" s="12"/>
      <c r="BC43" s="15"/>
      <c r="BD43" s="8">
        <f>SUM(BD25:BD40)</f>
        <v>-3730928</v>
      </c>
      <c r="BE43" s="39">
        <f t="shared" si="7"/>
        <v>98251793.170000002</v>
      </c>
    </row>
    <row r="44" spans="1:57" x14ac:dyDescent="0.2">
      <c r="A44" s="113"/>
      <c r="B44" s="171"/>
      <c r="C44" s="114"/>
      <c r="V44" s="12"/>
      <c r="AS44" s="45"/>
      <c r="AX44" s="6"/>
      <c r="AZ44" s="6"/>
      <c r="BB44" s="8"/>
      <c r="BC44" s="8"/>
    </row>
    <row r="45" spans="1:57" x14ac:dyDescent="0.2">
      <c r="A45" s="112" t="s">
        <v>27</v>
      </c>
      <c r="B45" s="19"/>
      <c r="C45" s="114"/>
      <c r="V45" s="12"/>
      <c r="AS45" s="45"/>
      <c r="AX45" s="6"/>
      <c r="AZ45" s="6"/>
      <c r="BB45" s="8"/>
      <c r="BC45" s="8"/>
    </row>
    <row r="46" spans="1:57" x14ac:dyDescent="0.2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S46" s="45">
        <f>SUM(P46:AR46)</f>
        <v>809698.73999999987</v>
      </c>
      <c r="AU46" s="143">
        <f>570000-397500+72200+189000+34800</f>
        <v>468500</v>
      </c>
      <c r="AW46" s="8">
        <f>IF(+O46-AS46+AU46&gt;0,O46-AS46+AU46,0)</f>
        <v>56301.260000000126</v>
      </c>
      <c r="AX46" s="6"/>
      <c r="AY46" s="8">
        <f t="shared" si="3"/>
        <v>866000</v>
      </c>
      <c r="AZ46" s="6"/>
      <c r="BA46" s="8">
        <f>O46-AS46-AW46</f>
        <v>-468500</v>
      </c>
      <c r="BB46" s="12"/>
      <c r="BC46" s="131"/>
    </row>
    <row r="47" spans="1:57" x14ac:dyDescent="0.2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S47" s="45">
        <f>SUM(P47:AR47)</f>
        <v>0</v>
      </c>
      <c r="AU47" s="143">
        <v>-12200</v>
      </c>
      <c r="AW47" s="8">
        <f>IF(+O47-AS47+AU47&gt;0,O47-AS47+AU47,0)</f>
        <v>0</v>
      </c>
      <c r="AX47" s="6"/>
      <c r="AY47" s="8">
        <f t="shared" si="3"/>
        <v>0</v>
      </c>
      <c r="AZ47" s="6"/>
      <c r="BA47" s="8">
        <f>O47-AS47-AW47</f>
        <v>12200</v>
      </c>
      <c r="BB47" s="12"/>
      <c r="BC47" s="8"/>
    </row>
    <row r="48" spans="1:57" x14ac:dyDescent="0.2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S48" s="45">
        <f>SUM(P48:AR48)</f>
        <v>39063.519999999997</v>
      </c>
      <c r="AU48" s="143">
        <f>47300-24500-7300</f>
        <v>15500</v>
      </c>
      <c r="AW48" s="8">
        <f>IF(+O48-AS48+AU48&gt;0,O48-AS48+AU48,0)</f>
        <v>936.4800000000032</v>
      </c>
      <c r="AX48" s="6"/>
      <c r="AY48" s="8">
        <f t="shared" si="3"/>
        <v>40000</v>
      </c>
      <c r="AZ48" s="6"/>
      <c r="BA48" s="8">
        <f>O48-AS48-AW48</f>
        <v>-15500</v>
      </c>
      <c r="BB48" s="12"/>
      <c r="BC48" s="8"/>
    </row>
    <row r="49" spans="1:57" x14ac:dyDescent="0.2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45">
        <f>SUM(P49:AR49)</f>
        <v>159905.75</v>
      </c>
      <c r="AU49" s="173">
        <f>160000-115300-60000-24652+89652</f>
        <v>49700</v>
      </c>
      <c r="AW49" s="21">
        <f>IF(+O49-AS49+AU49&gt;0,O49-AS49+AU49,0)</f>
        <v>5094.25</v>
      </c>
      <c r="AX49" s="19"/>
      <c r="AY49" s="383">
        <f t="shared" si="3"/>
        <v>165000</v>
      </c>
      <c r="AZ49" s="19"/>
      <c r="BA49" s="8">
        <f>O49-AS49-AW49</f>
        <v>-49700</v>
      </c>
      <c r="BB49" s="34"/>
      <c r="BC49" s="21"/>
    </row>
    <row r="50" spans="1:57" x14ac:dyDescent="0.2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45">
        <f>SUM(P50:AR50)</f>
        <v>128678.89000000001</v>
      </c>
      <c r="AU50" s="144">
        <f>128679-92331</f>
        <v>36348</v>
      </c>
      <c r="AW50" s="14">
        <f>IF(+O50-AS50+AU50&gt;0,O50-AS50+AU50,0)</f>
        <v>0.10999999998603016</v>
      </c>
      <c r="AX50" s="19"/>
      <c r="AY50" s="384">
        <f t="shared" si="3"/>
        <v>128679</v>
      </c>
      <c r="AZ50" s="19"/>
      <c r="BA50" s="8">
        <f>O50-AS50-AW50</f>
        <v>-36348</v>
      </c>
      <c r="BB50" s="34"/>
      <c r="BC50" s="21"/>
    </row>
    <row r="51" spans="1:57" x14ac:dyDescent="0.2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08">
        <f>SUM(AS46:AS50)</f>
        <v>1137346.8999999999</v>
      </c>
      <c r="AU51" s="141">
        <f>SUM(AU46:AU50)</f>
        <v>557848</v>
      </c>
      <c r="AW51" s="15">
        <f>SUM(AW46:AW50)</f>
        <v>62332.100000000115</v>
      </c>
      <c r="AX51" s="6"/>
      <c r="AY51" s="15">
        <f>SUM(AY46:AY50)</f>
        <v>1199679</v>
      </c>
      <c r="AZ51" s="6"/>
      <c r="BA51" s="107">
        <f>SUM(BA46:BA50)</f>
        <v>-557848</v>
      </c>
      <c r="BB51" s="34"/>
      <c r="BC51" s="15"/>
      <c r="BE51" s="39">
        <f>+AY51+BE43</f>
        <v>99451472.170000002</v>
      </c>
    </row>
    <row r="52" spans="1:57" x14ac:dyDescent="0.2">
      <c r="A52" s="120"/>
      <c r="B52" s="31"/>
      <c r="C52" s="114"/>
      <c r="V52" s="12"/>
      <c r="AS52" s="45"/>
      <c r="AX52" s="6"/>
      <c r="AZ52" s="6"/>
      <c r="BB52" s="8"/>
      <c r="BC52" s="8"/>
    </row>
    <row r="53" spans="1:57" x14ac:dyDescent="0.2">
      <c r="A53" s="113"/>
      <c r="B53" s="31"/>
      <c r="C53" s="114"/>
      <c r="G53" s="6"/>
      <c r="V53" s="12"/>
      <c r="AS53" s="45"/>
      <c r="AX53" s="6"/>
      <c r="AZ53" s="6"/>
      <c r="BB53" s="8"/>
      <c r="BC53" s="8"/>
    </row>
    <row r="54" spans="1:57" x14ac:dyDescent="0.2">
      <c r="A54" s="112" t="s">
        <v>34</v>
      </c>
      <c r="B54" s="31"/>
      <c r="C54" s="114"/>
      <c r="G54" s="6"/>
      <c r="V54" s="12"/>
      <c r="AS54" s="45"/>
      <c r="AX54" s="6"/>
      <c r="AZ54" s="6"/>
      <c r="BB54" s="8"/>
      <c r="BC54" s="8"/>
    </row>
    <row r="55" spans="1:57" x14ac:dyDescent="0.2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S55" s="45">
        <f>SUM(P55:AR55)</f>
        <v>0</v>
      </c>
      <c r="AU55" s="143">
        <f>22467+59781+8871-151224</f>
        <v>-60105</v>
      </c>
      <c r="AW55" s="8">
        <f t="shared" ref="AW55:AW79" si="8">IF(+O55-AS55+AU55&gt;0,O55-AS55+AU55,0)</f>
        <v>0</v>
      </c>
      <c r="AX55" s="6"/>
      <c r="AY55" s="8">
        <f t="shared" si="3"/>
        <v>0</v>
      </c>
      <c r="AZ55" s="6"/>
      <c r="BA55" s="8">
        <f t="shared" ref="BA55:BA79" si="9">O55-AS55-AW55</f>
        <v>60105</v>
      </c>
      <c r="BB55" s="12"/>
      <c r="BC55" s="8"/>
    </row>
    <row r="56" spans="1:57" x14ac:dyDescent="0.2">
      <c r="A56" s="113"/>
      <c r="B56" s="31" t="s">
        <v>213</v>
      </c>
      <c r="C56" s="114"/>
      <c r="K56" s="5"/>
      <c r="M56" s="5">
        <v>636961</v>
      </c>
      <c r="O56" s="5">
        <f t="shared" ref="O56:O74" si="10">SUM(K56:N56)</f>
        <v>636961</v>
      </c>
      <c r="V56" s="12"/>
      <c r="AS56" s="45">
        <f t="shared" ref="AS56:AS78" si="11">SUM(P56:AR56)</f>
        <v>0</v>
      </c>
      <c r="AU56" s="143">
        <f>-139681+2608-499888</f>
        <v>-636961</v>
      </c>
      <c r="AW56" s="8">
        <f t="shared" si="8"/>
        <v>0</v>
      </c>
      <c r="AX56" s="6"/>
      <c r="AY56" s="8">
        <f t="shared" si="3"/>
        <v>0</v>
      </c>
      <c r="AZ56" s="6"/>
      <c r="BA56" s="8">
        <f t="shared" si="9"/>
        <v>636961</v>
      </c>
      <c r="BB56" s="12"/>
      <c r="BC56" s="8"/>
    </row>
    <row r="57" spans="1:57" x14ac:dyDescent="0.2">
      <c r="A57" s="113"/>
      <c r="B57" s="31" t="s">
        <v>377</v>
      </c>
      <c r="C57" s="114"/>
      <c r="K57" s="5"/>
      <c r="M57" s="5">
        <v>16500</v>
      </c>
      <c r="O57" s="5">
        <f t="shared" si="10"/>
        <v>16500</v>
      </c>
      <c r="V57" s="12"/>
      <c r="AS57" s="45">
        <f t="shared" si="11"/>
        <v>0</v>
      </c>
      <c r="AU57" s="143">
        <f>10720-224-26996</f>
        <v>-16500</v>
      </c>
      <c r="AW57" s="8">
        <f t="shared" si="8"/>
        <v>0</v>
      </c>
      <c r="AX57" s="6"/>
      <c r="AY57" s="8">
        <f t="shared" si="3"/>
        <v>0</v>
      </c>
      <c r="AZ57" s="6"/>
      <c r="BA57" s="8">
        <f t="shared" si="9"/>
        <v>16500</v>
      </c>
      <c r="BB57" s="12"/>
      <c r="BC57" s="8"/>
    </row>
    <row r="58" spans="1:57" x14ac:dyDescent="0.2">
      <c r="A58" s="113"/>
      <c r="B58" s="31" t="s">
        <v>378</v>
      </c>
      <c r="C58" s="114"/>
      <c r="K58" s="5"/>
      <c r="M58" s="5">
        <v>375110</v>
      </c>
      <c r="O58" s="5">
        <f t="shared" si="10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S58" s="45">
        <f t="shared" si="11"/>
        <v>-0.20000000001164153</v>
      </c>
      <c r="AU58" s="143">
        <f>376211-375110-152824-223387</f>
        <v>-375110</v>
      </c>
      <c r="AW58" s="8">
        <f t="shared" si="8"/>
        <v>0.20000000001164153</v>
      </c>
      <c r="AX58" s="6"/>
      <c r="AY58" s="8">
        <f t="shared" si="3"/>
        <v>0</v>
      </c>
      <c r="AZ58" s="6"/>
      <c r="BA58" s="8">
        <f t="shared" si="9"/>
        <v>375110</v>
      </c>
      <c r="BB58" s="12"/>
      <c r="BC58" s="8"/>
    </row>
    <row r="59" spans="1:57" x14ac:dyDescent="0.2">
      <c r="A59" s="113"/>
      <c r="B59" s="31" t="s">
        <v>225</v>
      </c>
      <c r="C59" s="114"/>
      <c r="K59" s="5"/>
      <c r="M59" s="5">
        <v>132000</v>
      </c>
      <c r="O59" s="5">
        <f t="shared" si="10"/>
        <v>132000</v>
      </c>
      <c r="V59" s="12"/>
      <c r="AS59" s="45">
        <f t="shared" si="11"/>
        <v>0</v>
      </c>
      <c r="AU59" s="143">
        <f>-116457+943-16486</f>
        <v>-132000</v>
      </c>
      <c r="AW59" s="8">
        <f t="shared" si="8"/>
        <v>0</v>
      </c>
      <c r="AX59" s="6"/>
      <c r="AY59" s="8">
        <f t="shared" si="3"/>
        <v>0</v>
      </c>
      <c r="AZ59" s="6"/>
      <c r="BA59" s="8">
        <f t="shared" si="9"/>
        <v>132000</v>
      </c>
      <c r="BB59" s="12"/>
      <c r="BC59" s="8"/>
    </row>
    <row r="60" spans="1:57" x14ac:dyDescent="0.2">
      <c r="A60" s="113"/>
      <c r="B60" s="31" t="s">
        <v>379</v>
      </c>
      <c r="C60" s="114"/>
      <c r="K60" s="5"/>
      <c r="M60" s="5">
        <v>586658</v>
      </c>
      <c r="O60" s="5">
        <f t="shared" si="10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S60" s="45">
        <f t="shared" si="11"/>
        <v>0</v>
      </c>
      <c r="AU60" s="143">
        <f>161754-586658+27872-189626</f>
        <v>-586658</v>
      </c>
      <c r="AW60" s="8">
        <f t="shared" si="8"/>
        <v>0</v>
      </c>
      <c r="AX60" s="6"/>
      <c r="AY60" s="8">
        <f t="shared" si="3"/>
        <v>0</v>
      </c>
      <c r="AZ60" s="6"/>
      <c r="BA60" s="8">
        <f t="shared" si="9"/>
        <v>586658</v>
      </c>
      <c r="BB60" s="12"/>
      <c r="BC60" s="8"/>
    </row>
    <row r="61" spans="1:57" x14ac:dyDescent="0.2">
      <c r="A61" s="113"/>
      <c r="B61" s="31" t="s">
        <v>404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S61" s="45">
        <f>SUM(P61:AR61)</f>
        <v>0</v>
      </c>
      <c r="AU61" s="143">
        <f>7900+12835+31765-14607-37893</f>
        <v>0</v>
      </c>
      <c r="AW61" s="8">
        <f t="shared" si="8"/>
        <v>0</v>
      </c>
      <c r="AX61" s="6"/>
      <c r="AY61" s="8">
        <f>+AW61+AS61</f>
        <v>0</v>
      </c>
      <c r="AZ61" s="6"/>
      <c r="BA61" s="8">
        <f t="shared" si="9"/>
        <v>0</v>
      </c>
      <c r="BB61" s="12"/>
      <c r="BC61" s="8"/>
    </row>
    <row r="62" spans="1:57" x14ac:dyDescent="0.2">
      <c r="A62" s="113"/>
      <c r="B62" s="31" t="s">
        <v>217</v>
      </c>
      <c r="C62" s="114"/>
      <c r="K62" s="5"/>
      <c r="M62" s="5">
        <v>202350</v>
      </c>
      <c r="O62" s="5">
        <f t="shared" si="10"/>
        <v>202350</v>
      </c>
      <c r="V62" s="12"/>
      <c r="AS62" s="45">
        <f t="shared" si="11"/>
        <v>0</v>
      </c>
      <c r="AU62" s="143">
        <f>32701-235051</f>
        <v>-202350</v>
      </c>
      <c r="AW62" s="8">
        <f t="shared" si="8"/>
        <v>0</v>
      </c>
      <c r="AX62" s="6"/>
      <c r="AY62" s="8">
        <f t="shared" si="3"/>
        <v>0</v>
      </c>
      <c r="AZ62" s="6"/>
      <c r="BA62" s="8">
        <f t="shared" si="9"/>
        <v>202350</v>
      </c>
      <c r="BB62" s="12"/>
      <c r="BC62" s="8"/>
    </row>
    <row r="63" spans="1:57" x14ac:dyDescent="0.2">
      <c r="A63" s="113"/>
      <c r="B63" s="31" t="s">
        <v>218</v>
      </c>
      <c r="C63" s="114"/>
      <c r="K63" s="5"/>
      <c r="M63" s="5">
        <v>46416</v>
      </c>
      <c r="O63" s="5">
        <f t="shared" si="10"/>
        <v>46416</v>
      </c>
      <c r="V63" s="12"/>
      <c r="AS63" s="45">
        <f t="shared" si="11"/>
        <v>0</v>
      </c>
      <c r="AU63" s="143">
        <f>-5101-1292-40023</f>
        <v>-46416</v>
      </c>
      <c r="AW63" s="8">
        <f t="shared" si="8"/>
        <v>0</v>
      </c>
      <c r="AX63" s="6"/>
      <c r="AY63" s="8">
        <f t="shared" si="3"/>
        <v>0</v>
      </c>
      <c r="AZ63" s="6"/>
      <c r="BA63" s="8">
        <f t="shared" si="9"/>
        <v>46416</v>
      </c>
      <c r="BB63" s="12"/>
      <c r="BC63" s="8"/>
    </row>
    <row r="64" spans="1:57" x14ac:dyDescent="0.2">
      <c r="A64" s="113"/>
      <c r="B64" s="31" t="s">
        <v>219</v>
      </c>
      <c r="C64" s="114"/>
      <c r="K64" s="5"/>
      <c r="M64" s="5">
        <v>99000</v>
      </c>
      <c r="O64" s="5">
        <f t="shared" si="10"/>
        <v>99000</v>
      </c>
      <c r="V64" s="12"/>
      <c r="AS64" s="45">
        <f t="shared" si="11"/>
        <v>0</v>
      </c>
      <c r="AU64" s="143">
        <f>-45768+1297-54529</f>
        <v>-99000</v>
      </c>
      <c r="AW64" s="8">
        <f t="shared" si="8"/>
        <v>0</v>
      </c>
      <c r="AX64" s="6"/>
      <c r="AY64" s="8">
        <f t="shared" si="3"/>
        <v>0</v>
      </c>
      <c r="AZ64" s="6"/>
      <c r="BA64" s="8">
        <f t="shared" si="9"/>
        <v>99000</v>
      </c>
      <c r="BB64" s="12"/>
      <c r="BC64" s="8"/>
    </row>
    <row r="65" spans="1:55" x14ac:dyDescent="0.2">
      <c r="A65" s="113"/>
      <c r="B65" s="31" t="s">
        <v>380</v>
      </c>
      <c r="C65" s="114"/>
      <c r="K65" s="5"/>
      <c r="M65" s="5">
        <v>57202</v>
      </c>
      <c r="O65" s="5">
        <f t="shared" si="10"/>
        <v>57202</v>
      </c>
      <c r="U65" s="143">
        <f>1000+10290.7</f>
        <v>11290.7</v>
      </c>
      <c r="V65" s="12"/>
      <c r="AG65" s="143">
        <v>-11291</v>
      </c>
      <c r="AS65" s="45">
        <f t="shared" si="11"/>
        <v>-0.2999999999992724</v>
      </c>
      <c r="AU65" s="143">
        <f>-32332-1535-23335</f>
        <v>-57202</v>
      </c>
      <c r="AW65" s="8">
        <f t="shared" si="8"/>
        <v>0.30000000000291038</v>
      </c>
      <c r="AX65" s="6"/>
      <c r="AY65" s="8">
        <f t="shared" si="3"/>
        <v>3.637978807091713E-12</v>
      </c>
      <c r="AZ65" s="6"/>
      <c r="BA65" s="8">
        <f t="shared" si="9"/>
        <v>57202</v>
      </c>
      <c r="BB65" s="12"/>
      <c r="BC65" s="8"/>
    </row>
    <row r="66" spans="1:55" x14ac:dyDescent="0.2">
      <c r="A66" s="113"/>
      <c r="B66" s="31" t="s">
        <v>220</v>
      </c>
      <c r="C66" s="114"/>
      <c r="K66" s="5"/>
      <c r="M66" s="5">
        <v>420261</v>
      </c>
      <c r="O66" s="5">
        <f t="shared" si="10"/>
        <v>420261</v>
      </c>
      <c r="V66" s="12"/>
      <c r="AS66" s="45">
        <f t="shared" si="11"/>
        <v>0</v>
      </c>
      <c r="AU66" s="143">
        <f>-70261-39138-310862</f>
        <v>-420261</v>
      </c>
      <c r="AW66" s="8">
        <f t="shared" si="8"/>
        <v>0</v>
      </c>
      <c r="AX66" s="6"/>
      <c r="AY66" s="8">
        <f t="shared" si="3"/>
        <v>0</v>
      </c>
      <c r="AZ66" s="6"/>
      <c r="BA66" s="8">
        <f t="shared" si="9"/>
        <v>420261</v>
      </c>
      <c r="BB66" s="12"/>
      <c r="BC66" s="8"/>
    </row>
    <row r="67" spans="1:55" x14ac:dyDescent="0.2">
      <c r="A67" s="113"/>
      <c r="B67" s="31" t="s">
        <v>221</v>
      </c>
      <c r="C67" s="114"/>
      <c r="K67" s="5"/>
      <c r="M67" s="5">
        <v>69600</v>
      </c>
      <c r="O67" s="5">
        <f t="shared" si="10"/>
        <v>69600</v>
      </c>
      <c r="V67" s="12"/>
      <c r="AS67" s="45">
        <f t="shared" si="11"/>
        <v>0</v>
      </c>
      <c r="AU67" s="143">
        <f>-67871+315-2044</f>
        <v>-69600</v>
      </c>
      <c r="AW67" s="8">
        <f t="shared" si="8"/>
        <v>0</v>
      </c>
      <c r="AX67" s="6"/>
      <c r="AY67" s="8">
        <f t="shared" si="3"/>
        <v>0</v>
      </c>
      <c r="AZ67" s="6"/>
      <c r="BA67" s="8">
        <f t="shared" si="9"/>
        <v>69600</v>
      </c>
      <c r="BB67" s="12"/>
      <c r="BC67" s="8"/>
    </row>
    <row r="68" spans="1:55" x14ac:dyDescent="0.2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S68" s="45">
        <f>SUM(P68:AR68)</f>
        <v>0</v>
      </c>
      <c r="AU68" s="143">
        <f>8800-30800+1382-10182</f>
        <v>-30800</v>
      </c>
      <c r="AW68" s="8">
        <f t="shared" si="8"/>
        <v>0</v>
      </c>
      <c r="AX68" s="6"/>
      <c r="AY68" s="8">
        <f>+AW68+AS68</f>
        <v>0</v>
      </c>
      <c r="AZ68" s="6"/>
      <c r="BA68" s="8">
        <f t="shared" si="9"/>
        <v>30800</v>
      </c>
      <c r="BB68" s="12"/>
      <c r="BC68" s="8"/>
    </row>
    <row r="69" spans="1:55" x14ac:dyDescent="0.2">
      <c r="A69" s="113"/>
      <c r="B69" s="31" t="s">
        <v>223</v>
      </c>
      <c r="C69" s="114"/>
      <c r="K69" s="5"/>
      <c r="M69" s="5"/>
      <c r="O69" s="5">
        <f t="shared" si="10"/>
        <v>0</v>
      </c>
      <c r="V69" s="12"/>
      <c r="AS69" s="45">
        <f t="shared" si="11"/>
        <v>0</v>
      </c>
      <c r="AW69" s="8">
        <f t="shared" si="8"/>
        <v>0</v>
      </c>
      <c r="AX69" s="6"/>
      <c r="AY69" s="8">
        <f t="shared" si="3"/>
        <v>0</v>
      </c>
      <c r="AZ69" s="6"/>
      <c r="BA69" s="8">
        <f t="shared" si="9"/>
        <v>0</v>
      </c>
      <c r="BB69" s="12"/>
      <c r="BC69" s="8"/>
    </row>
    <row r="70" spans="1:55" x14ac:dyDescent="0.2">
      <c r="A70" s="113"/>
      <c r="B70" s="31" t="s">
        <v>382</v>
      </c>
      <c r="C70" s="114"/>
      <c r="K70" s="5"/>
      <c r="M70" s="5">
        <v>945000</v>
      </c>
      <c r="O70" s="5">
        <f>SUM(K70:N70)</f>
        <v>945000</v>
      </c>
      <c r="V70" s="12"/>
      <c r="AS70" s="45">
        <f>SUM(P70:AR70)</f>
        <v>0</v>
      </c>
      <c r="AU70" s="143">
        <f>16606-945000+8394+65000-5040-84960</f>
        <v>-945000</v>
      </c>
      <c r="AW70" s="8">
        <f t="shared" si="8"/>
        <v>0</v>
      </c>
      <c r="AX70" s="6"/>
      <c r="AY70" s="8">
        <f>+AW70+AS70</f>
        <v>0</v>
      </c>
      <c r="AZ70" s="6"/>
      <c r="BA70" s="8">
        <f t="shared" si="9"/>
        <v>945000</v>
      </c>
      <c r="BB70" s="12"/>
      <c r="BC70" s="8"/>
    </row>
    <row r="71" spans="1:55" x14ac:dyDescent="0.2">
      <c r="A71" s="113"/>
      <c r="B71" s="31" t="s">
        <v>381</v>
      </c>
      <c r="C71" s="114"/>
      <c r="K71" s="5"/>
      <c r="M71" s="5"/>
      <c r="O71" s="5">
        <f t="shared" si="10"/>
        <v>0</v>
      </c>
      <c r="V71" s="12"/>
      <c r="AS71" s="45">
        <f t="shared" si="11"/>
        <v>0</v>
      </c>
      <c r="AU71" s="143">
        <f>142000-120000+2581-24581</f>
        <v>0</v>
      </c>
      <c r="AW71" s="8">
        <f t="shared" si="8"/>
        <v>0</v>
      </c>
      <c r="AX71" s="6"/>
      <c r="AY71" s="8">
        <f t="shared" si="3"/>
        <v>0</v>
      </c>
      <c r="AZ71" s="6"/>
      <c r="BA71" s="8">
        <f t="shared" si="9"/>
        <v>0</v>
      </c>
      <c r="BB71" s="12"/>
      <c r="BC71" s="8"/>
    </row>
    <row r="72" spans="1:55" x14ac:dyDescent="0.2">
      <c r="A72" s="113"/>
      <c r="B72" s="31" t="s">
        <v>383</v>
      </c>
      <c r="C72" s="114"/>
      <c r="K72" s="5"/>
      <c r="M72" s="5">
        <v>549000</v>
      </c>
      <c r="O72" s="5">
        <f t="shared" si="10"/>
        <v>549000</v>
      </c>
      <c r="V72" s="12"/>
      <c r="W72" s="143">
        <v>38094</v>
      </c>
      <c r="AG72" s="143">
        <v>-38094</v>
      </c>
      <c r="AS72" s="45">
        <f t="shared" si="11"/>
        <v>0</v>
      </c>
      <c r="AU72" s="143">
        <f>-139624-409376</f>
        <v>-549000</v>
      </c>
      <c r="AW72" s="8">
        <f t="shared" si="8"/>
        <v>0</v>
      </c>
      <c r="AX72" s="6"/>
      <c r="AY72" s="8">
        <f t="shared" si="3"/>
        <v>0</v>
      </c>
      <c r="AZ72" s="6"/>
      <c r="BA72" s="8">
        <f t="shared" si="9"/>
        <v>549000</v>
      </c>
      <c r="BB72" s="12"/>
      <c r="BC72" s="8"/>
    </row>
    <row r="73" spans="1:55" x14ac:dyDescent="0.2">
      <c r="A73" s="113"/>
      <c r="B73" s="31" t="s">
        <v>384</v>
      </c>
      <c r="C73" s="114"/>
      <c r="K73" s="5"/>
      <c r="M73" s="5">
        <v>120000</v>
      </c>
      <c r="O73" s="5">
        <f t="shared" si="10"/>
        <v>120000</v>
      </c>
      <c r="U73" s="143">
        <v>0</v>
      </c>
      <c r="V73" s="12"/>
      <c r="AS73" s="45">
        <f t="shared" si="11"/>
        <v>0</v>
      </c>
      <c r="AU73" s="143">
        <v>-120000</v>
      </c>
      <c r="AW73" s="8">
        <f t="shared" si="8"/>
        <v>0</v>
      </c>
      <c r="AX73" s="6"/>
      <c r="AY73" s="8">
        <f t="shared" si="3"/>
        <v>0</v>
      </c>
      <c r="AZ73" s="6"/>
      <c r="BA73" s="8">
        <f t="shared" si="9"/>
        <v>120000</v>
      </c>
      <c r="BB73" s="12"/>
      <c r="BC73" s="8"/>
    </row>
    <row r="74" spans="1:55" x14ac:dyDescent="0.2">
      <c r="A74" s="113"/>
      <c r="B74" s="31" t="s">
        <v>228</v>
      </c>
      <c r="C74" s="114"/>
      <c r="K74" s="5"/>
      <c r="M74" s="5">
        <v>6000</v>
      </c>
      <c r="O74" s="5">
        <f t="shared" si="10"/>
        <v>6000</v>
      </c>
      <c r="Q74" s="234"/>
      <c r="S74" s="234">
        <f>11760.8+4410.3</f>
        <v>16171.099999999999</v>
      </c>
      <c r="V74" s="12"/>
      <c r="AG74" s="143">
        <v>-16171</v>
      </c>
      <c r="AS74" s="45">
        <f t="shared" si="11"/>
        <v>9.9999999998544808E-2</v>
      </c>
      <c r="AU74" s="143">
        <f>110718-6000-54528-56190</f>
        <v>-6000</v>
      </c>
      <c r="AW74" s="8">
        <f t="shared" si="8"/>
        <v>0</v>
      </c>
      <c r="AX74" s="6"/>
      <c r="AY74" s="8">
        <f t="shared" si="3"/>
        <v>9.9999999998544808E-2</v>
      </c>
      <c r="AZ74" s="6"/>
      <c r="BA74" s="8">
        <f t="shared" si="9"/>
        <v>5999.9000000000015</v>
      </c>
      <c r="BB74" s="12"/>
      <c r="BC74" s="8"/>
    </row>
    <row r="75" spans="1:55" x14ac:dyDescent="0.2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S75" s="45">
        <f t="shared" si="11"/>
        <v>0</v>
      </c>
      <c r="AW75" s="8">
        <f t="shared" si="8"/>
        <v>0</v>
      </c>
      <c r="AX75" s="6"/>
      <c r="AY75" s="8">
        <f t="shared" si="3"/>
        <v>0</v>
      </c>
      <c r="AZ75" s="6"/>
      <c r="BA75" s="8">
        <f t="shared" si="9"/>
        <v>0</v>
      </c>
      <c r="BB75" s="12"/>
      <c r="BC75" s="8"/>
    </row>
    <row r="76" spans="1:55" x14ac:dyDescent="0.2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S76" s="45">
        <f t="shared" si="11"/>
        <v>0</v>
      </c>
      <c r="AU76" s="143">
        <v>0</v>
      </c>
      <c r="AW76" s="8">
        <f t="shared" si="8"/>
        <v>0</v>
      </c>
      <c r="AX76" s="6"/>
      <c r="AY76" s="8">
        <f t="shared" si="3"/>
        <v>0</v>
      </c>
      <c r="AZ76" s="6"/>
      <c r="BA76" s="8">
        <f t="shared" si="9"/>
        <v>0</v>
      </c>
      <c r="BB76" s="12"/>
      <c r="BC76" s="8"/>
    </row>
    <row r="77" spans="1:55" x14ac:dyDescent="0.2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S77" s="45">
        <f t="shared" si="11"/>
        <v>0</v>
      </c>
      <c r="AW77" s="8">
        <f t="shared" si="8"/>
        <v>0</v>
      </c>
      <c r="AX77" s="6"/>
      <c r="AY77" s="8">
        <f t="shared" si="3"/>
        <v>0</v>
      </c>
      <c r="AZ77" s="6"/>
      <c r="BA77" s="8">
        <f t="shared" si="9"/>
        <v>0</v>
      </c>
      <c r="BB77" s="12"/>
      <c r="BC77" s="8"/>
    </row>
    <row r="78" spans="1:55" x14ac:dyDescent="0.2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45">
        <f t="shared" si="11"/>
        <v>0</v>
      </c>
      <c r="AW78" s="8">
        <f t="shared" si="8"/>
        <v>0</v>
      </c>
      <c r="AX78" s="6"/>
      <c r="AY78" s="8">
        <f t="shared" si="3"/>
        <v>0</v>
      </c>
      <c r="AZ78" s="6"/>
      <c r="BA78" s="8">
        <f t="shared" si="9"/>
        <v>0</v>
      </c>
      <c r="BB78" s="12"/>
      <c r="BC78" s="8"/>
    </row>
    <row r="79" spans="1:55" x14ac:dyDescent="0.2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45">
        <f>SUM(P79:AR79)</f>
        <v>0</v>
      </c>
      <c r="AU79" s="144"/>
      <c r="AW79" s="14">
        <f t="shared" si="8"/>
        <v>0</v>
      </c>
      <c r="AX79" s="6"/>
      <c r="AY79" s="14">
        <f t="shared" si="3"/>
        <v>0</v>
      </c>
      <c r="AZ79" s="6"/>
      <c r="BA79" s="14">
        <f t="shared" si="9"/>
        <v>0</v>
      </c>
      <c r="BB79" s="12"/>
      <c r="BC79" s="8"/>
    </row>
    <row r="80" spans="1:55" x14ac:dyDescent="0.2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08">
        <f>SUM(AS55:AS79)</f>
        <v>-0.40000000001236913</v>
      </c>
      <c r="AU80" s="141">
        <f>SUM(AU55:AU79)</f>
        <v>-4352963</v>
      </c>
      <c r="AW80" s="15">
        <f>SUM(AW55:AW79)</f>
        <v>0.50000000001455192</v>
      </c>
      <c r="AX80" s="6"/>
      <c r="AY80" s="15">
        <f>SUM(AY55:AY79)</f>
        <v>0.10000000000218279</v>
      </c>
      <c r="AZ80" s="6"/>
      <c r="BA80" s="15">
        <f>SUM(BA55:BA79)</f>
        <v>4352962.9000000004</v>
      </c>
      <c r="BB80" s="12"/>
      <c r="BC80" s="15"/>
    </row>
    <row r="81" spans="1:56" x14ac:dyDescent="0.2">
      <c r="A81" s="113"/>
      <c r="B81" s="31"/>
      <c r="C81" s="114"/>
      <c r="G81" s="6"/>
      <c r="V81" s="12"/>
      <c r="AS81" s="45"/>
      <c r="AX81" s="6"/>
      <c r="AZ81" s="6"/>
      <c r="BB81" s="8"/>
      <c r="BC81" s="8"/>
    </row>
    <row r="82" spans="1:56" s="27" customFormat="1" x14ac:dyDescent="0.2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45"/>
      <c r="AU82" s="143"/>
      <c r="AW82" s="45"/>
      <c r="AY82" s="45"/>
      <c r="BA82" s="45"/>
      <c r="BB82" s="45"/>
      <c r="BC82" s="45"/>
      <c r="BD82" s="45"/>
    </row>
    <row r="83" spans="1:56" s="27" customFormat="1" x14ac:dyDescent="0.2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45">
        <f>SUM(P83:AR83)</f>
        <v>0</v>
      </c>
      <c r="AU83" s="143"/>
      <c r="AW83" s="45">
        <f>IF(+O83-AS83+AU83&gt;0,O83-AS83+AU83,0)</f>
        <v>0</v>
      </c>
      <c r="AY83" s="45">
        <f t="shared" si="3"/>
        <v>0</v>
      </c>
      <c r="BA83" s="8">
        <f>O83-AS83-AW83</f>
        <v>0</v>
      </c>
      <c r="BB83" s="82"/>
      <c r="BC83" s="45"/>
      <c r="BD83" s="45"/>
    </row>
    <row r="84" spans="1:56" s="27" customFormat="1" x14ac:dyDescent="0.2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45">
        <f>SUM(P84:AR84)</f>
        <v>0</v>
      </c>
      <c r="AU84" s="143"/>
      <c r="AW84" s="45">
        <f>IF(+O84-AS84+AU84&gt;0,O84-AS84+AU84,0)</f>
        <v>0</v>
      </c>
      <c r="AY84" s="45">
        <f t="shared" si="3"/>
        <v>0</v>
      </c>
      <c r="BA84" s="8">
        <f>O84-AS84-AW84</f>
        <v>0</v>
      </c>
      <c r="BB84" s="82"/>
      <c r="BC84" s="45"/>
      <c r="BD84" s="45"/>
    </row>
    <row r="85" spans="1:56" s="27" customFormat="1" x14ac:dyDescent="0.2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45">
        <f>SUM(P85:AR85)</f>
        <v>0</v>
      </c>
      <c r="AU85" s="143"/>
      <c r="AW85" s="45">
        <f>IF(+O85-AS85+AU85&gt;0,O85-AS85+AU85,0)</f>
        <v>0</v>
      </c>
      <c r="AY85" s="45">
        <f t="shared" si="3"/>
        <v>0</v>
      </c>
      <c r="BA85" s="8">
        <f>O85-AS85-AW85</f>
        <v>0</v>
      </c>
      <c r="BB85" s="82"/>
      <c r="BC85" s="45"/>
      <c r="BD85" s="45"/>
    </row>
    <row r="86" spans="1:56" s="27" customFormat="1" x14ac:dyDescent="0.2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45">
        <f>SUM(P86:AR86)</f>
        <v>0</v>
      </c>
      <c r="AU86" s="144"/>
      <c r="AW86" s="129">
        <f>IF(+O86-AS86+AU86&gt;0,O86-AS86+AU86,0)</f>
        <v>0</v>
      </c>
      <c r="AY86" s="129">
        <f t="shared" si="3"/>
        <v>0</v>
      </c>
      <c r="BA86" s="14">
        <f>O86-AS86-AW86</f>
        <v>0</v>
      </c>
      <c r="BB86" s="183"/>
      <c r="BC86" s="172"/>
      <c r="BD86" s="45"/>
    </row>
    <row r="87" spans="1:56" s="27" customFormat="1" x14ac:dyDescent="0.2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08">
        <f>SUM(AS83:AS86)</f>
        <v>0</v>
      </c>
      <c r="AU87" s="141">
        <f>SUM(AU83:AU86)</f>
        <v>0</v>
      </c>
      <c r="AW87" s="29">
        <f>SUM(AW83:AW86)</f>
        <v>0</v>
      </c>
      <c r="AY87" s="29">
        <f>SUM(AY83:AY86)</f>
        <v>0</v>
      </c>
      <c r="BA87" s="29">
        <f>SUM(BA83:BA86)</f>
        <v>0</v>
      </c>
      <c r="BB87" s="82"/>
      <c r="BC87" s="29"/>
      <c r="BD87" s="45"/>
    </row>
    <row r="88" spans="1:56" s="27" customFormat="1" x14ac:dyDescent="0.2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45"/>
      <c r="AU88" s="143"/>
      <c r="AW88" s="45"/>
      <c r="AY88" s="45"/>
      <c r="BA88" s="45"/>
      <c r="BB88" s="45"/>
      <c r="BC88" s="45"/>
      <c r="BD88" s="45"/>
    </row>
    <row r="89" spans="1:56" s="27" customFormat="1" x14ac:dyDescent="0.2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45"/>
      <c r="AU89" s="143"/>
      <c r="AW89" s="45"/>
      <c r="AY89" s="45"/>
      <c r="BA89" s="45"/>
      <c r="BB89" s="45"/>
      <c r="BC89" s="45"/>
      <c r="BD89" s="45"/>
    </row>
    <row r="90" spans="1:56" s="27" customFormat="1" x14ac:dyDescent="0.2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2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45">
        <f t="shared" ref="AS90:AS112" si="13">SUM(P90:AR90)</f>
        <v>911058</v>
      </c>
      <c r="AU90" s="143">
        <f>503700-491386+28414+651300-255000+23957-104497+91598</f>
        <v>448086</v>
      </c>
      <c r="AW90" s="45">
        <f t="shared" ref="AW90:AW120" si="14">IF(+O90-AS90+AU90&gt;0,O90-AS90+AU90,0)</f>
        <v>0</v>
      </c>
      <c r="AY90" s="45">
        <f t="shared" si="3"/>
        <v>911058</v>
      </c>
      <c r="BA90" s="8">
        <f t="shared" ref="BA90:BA120" si="15">O90-AS90-AW90</f>
        <v>-448086</v>
      </c>
      <c r="BB90" s="45"/>
      <c r="BC90" s="45"/>
      <c r="BD90" s="45"/>
    </row>
    <row r="91" spans="1:56" s="27" customFormat="1" x14ac:dyDescent="0.2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2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45">
        <f t="shared" si="13"/>
        <v>246160</v>
      </c>
      <c r="AU91" s="143">
        <f>479771-532399-100027-142782+8830-139173</f>
        <v>-425780</v>
      </c>
      <c r="AW91" s="82">
        <f>IF(+O91-AS91+AU91&gt;0,O91-AS91+AU91,0)</f>
        <v>0</v>
      </c>
      <c r="AY91" s="45">
        <f t="shared" si="3"/>
        <v>246160</v>
      </c>
      <c r="BA91" s="8">
        <f t="shared" si="15"/>
        <v>286239</v>
      </c>
      <c r="BB91" s="45"/>
      <c r="BC91" s="45"/>
      <c r="BD91" s="45"/>
    </row>
    <row r="92" spans="1:56" s="27" customFormat="1" x14ac:dyDescent="0.2">
      <c r="A92" s="121"/>
      <c r="B92" s="31" t="s">
        <v>386</v>
      </c>
      <c r="C92" s="114"/>
      <c r="E92" s="28"/>
      <c r="I92" s="28"/>
      <c r="K92" s="45"/>
      <c r="M92" s="45">
        <v>738930</v>
      </c>
      <c r="O92" s="182">
        <f t="shared" si="12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45">
        <f t="shared" si="13"/>
        <v>471391</v>
      </c>
      <c r="AU92" s="143">
        <f>-10000-83395-148747-2321+52164-75240</f>
        <v>-267539</v>
      </c>
      <c r="AW92" s="45">
        <f t="shared" si="14"/>
        <v>0</v>
      </c>
      <c r="AY92" s="45">
        <f t="shared" si="3"/>
        <v>471391</v>
      </c>
      <c r="BA92" s="8">
        <f t="shared" si="15"/>
        <v>267539</v>
      </c>
      <c r="BB92" s="45"/>
      <c r="BC92" s="45"/>
      <c r="BD92" s="45"/>
    </row>
    <row r="93" spans="1:56" s="27" customFormat="1" x14ac:dyDescent="0.2">
      <c r="A93" s="121"/>
      <c r="B93" s="31" t="s">
        <v>387</v>
      </c>
      <c r="C93" s="114"/>
      <c r="E93" s="28"/>
      <c r="I93" s="28"/>
      <c r="K93" s="45"/>
      <c r="M93" s="45">
        <v>401168</v>
      </c>
      <c r="O93" s="182">
        <f t="shared" si="12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45">
        <f t="shared" si="13"/>
        <v>260819</v>
      </c>
      <c r="AU93" s="143">
        <f>371835-401168-21811-80259+5424-832-15767+2229</f>
        <v>-140349</v>
      </c>
      <c r="AW93" s="45">
        <f t="shared" si="14"/>
        <v>0</v>
      </c>
      <c r="AY93" s="45">
        <f t="shared" si="3"/>
        <v>260819</v>
      </c>
      <c r="BA93" s="8">
        <f t="shared" si="15"/>
        <v>140349</v>
      </c>
      <c r="BB93" s="45"/>
      <c r="BC93" s="45"/>
      <c r="BD93" s="45"/>
    </row>
    <row r="94" spans="1:56" s="27" customFormat="1" x14ac:dyDescent="0.2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2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45">
        <f t="shared" si="13"/>
        <v>1428156</v>
      </c>
      <c r="AU94" s="143">
        <f>1541099-1766324+121244-154855+1610-1100-83542+3700</f>
        <v>-338168</v>
      </c>
      <c r="AW94" s="45">
        <f t="shared" si="14"/>
        <v>0</v>
      </c>
      <c r="AY94" s="45">
        <f t="shared" si="3"/>
        <v>1428156</v>
      </c>
      <c r="BA94" s="8">
        <f t="shared" si="15"/>
        <v>338168</v>
      </c>
      <c r="BB94" s="45"/>
      <c r="BC94" s="45"/>
      <c r="BD94" s="45"/>
    </row>
    <row r="95" spans="1:56" s="27" customFormat="1" x14ac:dyDescent="0.2">
      <c r="A95" s="121"/>
      <c r="B95" s="31" t="s">
        <v>388</v>
      </c>
      <c r="C95" s="114"/>
      <c r="E95" s="28"/>
      <c r="I95" s="28"/>
      <c r="K95" s="45"/>
      <c r="M95" s="45">
        <v>72583</v>
      </c>
      <c r="O95" s="182">
        <f t="shared" si="12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45">
        <f t="shared" si="13"/>
        <v>32747</v>
      </c>
      <c r="AU95" s="143">
        <f>-10531-21133-6522-1650</f>
        <v>-39836</v>
      </c>
      <c r="AW95" s="45">
        <f t="shared" si="14"/>
        <v>0</v>
      </c>
      <c r="AY95" s="45">
        <f t="shared" si="3"/>
        <v>32747</v>
      </c>
      <c r="BA95" s="8">
        <f t="shared" si="15"/>
        <v>39836</v>
      </c>
      <c r="BB95" s="45"/>
      <c r="BC95" s="45"/>
      <c r="BD95" s="45"/>
    </row>
    <row r="96" spans="1:56" s="27" customFormat="1" x14ac:dyDescent="0.2">
      <c r="A96" s="121"/>
      <c r="B96" s="31" t="s">
        <v>389</v>
      </c>
      <c r="C96" s="114"/>
      <c r="E96" s="28"/>
      <c r="I96" s="28"/>
      <c r="K96" s="45"/>
      <c r="M96" s="45">
        <v>24454</v>
      </c>
      <c r="O96" s="182">
        <f t="shared" si="12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45">
        <f t="shared" si="13"/>
        <v>116546</v>
      </c>
      <c r="AU96" s="143">
        <f>62086+32108-2102</f>
        <v>92092</v>
      </c>
      <c r="AW96" s="45">
        <f t="shared" si="14"/>
        <v>0</v>
      </c>
      <c r="AY96" s="45">
        <f t="shared" si="3"/>
        <v>116546</v>
      </c>
      <c r="BA96" s="8">
        <f t="shared" si="15"/>
        <v>-92092</v>
      </c>
      <c r="BB96" s="45"/>
      <c r="BC96" s="45"/>
      <c r="BD96" s="45"/>
    </row>
    <row r="97" spans="1:56" s="27" customFormat="1" x14ac:dyDescent="0.2">
      <c r="A97" s="121"/>
      <c r="B97" s="31" t="s">
        <v>390</v>
      </c>
      <c r="C97" s="114"/>
      <c r="E97" s="28"/>
      <c r="I97" s="28"/>
      <c r="K97" s="45"/>
      <c r="M97" s="45">
        <v>35400</v>
      </c>
      <c r="O97" s="182">
        <f t="shared" si="12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45">
        <f t="shared" si="13"/>
        <v>62370</v>
      </c>
      <c r="AU97" s="143">
        <f>24600+6925-4524-324+293</f>
        <v>26970</v>
      </c>
      <c r="AW97" s="45">
        <f t="shared" si="14"/>
        <v>0</v>
      </c>
      <c r="AY97" s="45">
        <f t="shared" si="3"/>
        <v>62370</v>
      </c>
      <c r="BA97" s="8">
        <f t="shared" si="15"/>
        <v>-26970</v>
      </c>
      <c r="BB97" s="45"/>
      <c r="BC97" s="45"/>
      <c r="BD97" s="45"/>
    </row>
    <row r="98" spans="1:56" s="27" customFormat="1" x14ac:dyDescent="0.2">
      <c r="A98" s="121"/>
      <c r="B98" s="31" t="s">
        <v>391</v>
      </c>
      <c r="C98" s="114"/>
      <c r="E98" s="28"/>
      <c r="I98" s="28"/>
      <c r="K98" s="45"/>
      <c r="M98" s="45">
        <v>297005</v>
      </c>
      <c r="O98" s="182">
        <f t="shared" si="12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45">
        <f t="shared" si="13"/>
        <v>441094</v>
      </c>
      <c r="AU98" s="143">
        <f>93111+24201+18128+7101</f>
        <v>142541</v>
      </c>
      <c r="AW98" s="45">
        <f t="shared" si="14"/>
        <v>0</v>
      </c>
      <c r="AY98" s="45">
        <f t="shared" si="3"/>
        <v>441094</v>
      </c>
      <c r="BA98" s="8">
        <f t="shared" si="15"/>
        <v>-144089</v>
      </c>
      <c r="BB98" s="45"/>
      <c r="BC98" s="45"/>
      <c r="BD98" s="45"/>
    </row>
    <row r="99" spans="1:56" s="27" customFormat="1" x14ac:dyDescent="0.2">
      <c r="A99" s="121"/>
      <c r="B99" s="31" t="s">
        <v>238</v>
      </c>
      <c r="C99" s="114"/>
      <c r="E99" s="28"/>
      <c r="I99" s="28"/>
      <c r="K99" s="45"/>
      <c r="M99" s="45"/>
      <c r="O99" s="182">
        <f t="shared" si="12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45">
        <f t="shared" si="13"/>
        <v>0</v>
      </c>
      <c r="AU99" s="143"/>
      <c r="AW99" s="45">
        <f t="shared" si="14"/>
        <v>0</v>
      </c>
      <c r="AY99" s="45">
        <f t="shared" si="3"/>
        <v>0</v>
      </c>
      <c r="BA99" s="8">
        <f t="shared" si="15"/>
        <v>0</v>
      </c>
      <c r="BB99" s="45"/>
      <c r="BC99" s="45"/>
      <c r="BD99" s="45"/>
    </row>
    <row r="100" spans="1:56" s="27" customFormat="1" x14ac:dyDescent="0.2">
      <c r="A100" s="121"/>
      <c r="B100" s="31" t="s">
        <v>392</v>
      </c>
      <c r="C100" s="114"/>
      <c r="E100" s="28"/>
      <c r="I100" s="28"/>
      <c r="K100" s="45"/>
      <c r="M100" s="45">
        <v>53364</v>
      </c>
      <c r="O100" s="182">
        <f t="shared" si="12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45">
        <f t="shared" si="13"/>
        <v>243038</v>
      </c>
      <c r="AU100" s="143">
        <f>23319+8681-216+151224-100+7075-7898+7589</f>
        <v>189674</v>
      </c>
      <c r="AW100" s="45">
        <f t="shared" si="14"/>
        <v>0</v>
      </c>
      <c r="AY100" s="45">
        <f t="shared" si="3"/>
        <v>243038</v>
      </c>
      <c r="BA100" s="8">
        <f t="shared" si="15"/>
        <v>-189674</v>
      </c>
      <c r="BB100" s="45"/>
      <c r="BC100" s="45"/>
      <c r="BD100" s="45"/>
    </row>
    <row r="101" spans="1:56" s="27" customFormat="1" x14ac:dyDescent="0.2">
      <c r="A101" s="121"/>
      <c r="B101" s="31" t="s">
        <v>393</v>
      </c>
      <c r="C101" s="114"/>
      <c r="E101" s="28"/>
      <c r="I101" s="28"/>
      <c r="K101" s="45"/>
      <c r="M101" s="45">
        <v>0</v>
      </c>
      <c r="O101" s="182">
        <f t="shared" si="12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45">
        <f t="shared" si="13"/>
        <v>0</v>
      </c>
      <c r="AU101" s="143">
        <f>5000-5000</f>
        <v>0</v>
      </c>
      <c r="AW101" s="45">
        <f t="shared" si="14"/>
        <v>0</v>
      </c>
      <c r="AY101" s="45">
        <f t="shared" si="3"/>
        <v>0</v>
      </c>
      <c r="BA101" s="8">
        <f t="shared" si="15"/>
        <v>0</v>
      </c>
      <c r="BB101" s="45"/>
      <c r="BC101" s="45"/>
      <c r="BD101" s="45"/>
    </row>
    <row r="102" spans="1:56" s="27" customFormat="1" x14ac:dyDescent="0.2">
      <c r="A102" s="121"/>
      <c r="B102" s="31" t="s">
        <v>394</v>
      </c>
      <c r="C102" s="114"/>
      <c r="E102" s="28"/>
      <c r="I102" s="28"/>
      <c r="K102" s="45"/>
      <c r="M102" s="45">
        <v>84253</v>
      </c>
      <c r="O102" s="182">
        <f t="shared" si="12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45">
        <f t="shared" si="13"/>
        <v>110625</v>
      </c>
      <c r="AU102" s="143">
        <f>28848+12551-5570-9457</f>
        <v>26372</v>
      </c>
      <c r="AW102" s="45">
        <f t="shared" si="14"/>
        <v>0</v>
      </c>
      <c r="AY102" s="45">
        <f t="shared" si="3"/>
        <v>110625</v>
      </c>
      <c r="BA102" s="8">
        <f t="shared" si="15"/>
        <v>-26372</v>
      </c>
      <c r="BB102" s="45"/>
      <c r="BC102" s="45"/>
      <c r="BD102" s="45"/>
    </row>
    <row r="103" spans="1:56" s="27" customFormat="1" x14ac:dyDescent="0.2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2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45">
        <f t="shared" si="13"/>
        <v>0</v>
      </c>
      <c r="AU103" s="143"/>
      <c r="AW103" s="45">
        <f t="shared" si="14"/>
        <v>0</v>
      </c>
      <c r="AY103" s="45">
        <f t="shared" si="3"/>
        <v>0</v>
      </c>
      <c r="BA103" s="8">
        <f t="shared" si="15"/>
        <v>0</v>
      </c>
      <c r="BB103" s="45"/>
      <c r="BC103" s="45"/>
      <c r="BD103" s="45"/>
    </row>
    <row r="104" spans="1:56" s="27" customFormat="1" x14ac:dyDescent="0.2">
      <c r="A104" s="121"/>
      <c r="B104" s="31" t="s">
        <v>392</v>
      </c>
      <c r="C104" s="114"/>
      <c r="E104" s="28"/>
      <c r="I104" s="28"/>
      <c r="K104" s="45"/>
      <c r="M104" s="45">
        <v>597175</v>
      </c>
      <c r="O104" s="182">
        <f t="shared" si="12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45">
        <f t="shared" si="13"/>
        <v>1088795</v>
      </c>
      <c r="AU104" s="143">
        <f>1013275-597175-197392-330032-11244+499888+26996+223387+16486+189626+37893+235051+40023+54529+267268-15268+444+322-1-25403-252020-747401+62368</f>
        <v>491620</v>
      </c>
      <c r="AW104" s="45">
        <f t="shared" si="14"/>
        <v>0</v>
      </c>
      <c r="AY104" s="271">
        <f t="shared" si="3"/>
        <v>1088795</v>
      </c>
      <c r="BA104" s="8">
        <f t="shared" si="15"/>
        <v>-491620</v>
      </c>
      <c r="BB104" s="45"/>
      <c r="BC104" s="45"/>
      <c r="BD104" s="45"/>
    </row>
    <row r="105" spans="1:56" s="27" customFormat="1" x14ac:dyDescent="0.2">
      <c r="A105" s="121"/>
      <c r="B105" s="31" t="s">
        <v>393</v>
      </c>
      <c r="C105" s="114"/>
      <c r="E105" s="28"/>
      <c r="I105" s="28"/>
      <c r="K105" s="45"/>
      <c r="M105" s="45">
        <v>190000</v>
      </c>
      <c r="O105" s="182">
        <f t="shared" si="12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45">
        <f t="shared" si="13"/>
        <v>0</v>
      </c>
      <c r="AU105" s="143">
        <f>12000+50000-252000+314125-314125</f>
        <v>-190000</v>
      </c>
      <c r="AW105" s="45">
        <f t="shared" si="14"/>
        <v>0</v>
      </c>
      <c r="AY105" s="45">
        <f t="shared" si="3"/>
        <v>0</v>
      </c>
      <c r="BA105" s="8">
        <f t="shared" si="15"/>
        <v>190000</v>
      </c>
      <c r="BB105" s="45"/>
      <c r="BC105" s="45"/>
      <c r="BD105" s="45"/>
    </row>
    <row r="106" spans="1:56" s="27" customFormat="1" x14ac:dyDescent="0.2">
      <c r="A106" s="121"/>
      <c r="B106" s="31" t="s">
        <v>394</v>
      </c>
      <c r="C106" s="114"/>
      <c r="E106" s="28"/>
      <c r="I106" s="28"/>
      <c r="K106" s="45"/>
      <c r="M106" s="45">
        <v>538044</v>
      </c>
      <c r="O106" s="182">
        <f t="shared" si="12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45">
        <f t="shared" si="13"/>
        <v>589786</v>
      </c>
      <c r="AU106" s="143">
        <f>10026+71314-3064-81670+55136</f>
        <v>51742</v>
      </c>
      <c r="AW106" s="45">
        <f t="shared" si="14"/>
        <v>0</v>
      </c>
      <c r="AY106" s="45">
        <f t="shared" si="3"/>
        <v>589786</v>
      </c>
      <c r="BA106" s="8">
        <f t="shared" si="15"/>
        <v>-51742</v>
      </c>
      <c r="BB106" s="45"/>
      <c r="BC106" s="45"/>
      <c r="BD106" s="45"/>
    </row>
    <row r="107" spans="1:56" s="27" customFormat="1" x14ac:dyDescent="0.2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2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45">
        <f t="shared" si="13"/>
        <v>393514</v>
      </c>
      <c r="AU107" s="143">
        <f>-113047-41116+23335+310862+2044+21+15991-12401-24202+1595</f>
        <v>163082</v>
      </c>
      <c r="AW107" s="45">
        <f t="shared" si="14"/>
        <v>0</v>
      </c>
      <c r="AY107" s="271">
        <f t="shared" si="3"/>
        <v>393514</v>
      </c>
      <c r="BA107" s="8">
        <f t="shared" si="15"/>
        <v>-163082</v>
      </c>
      <c r="BB107" s="45"/>
      <c r="BC107" s="45"/>
      <c r="BD107" s="45"/>
    </row>
    <row r="108" spans="1:56" s="27" customFormat="1" x14ac:dyDescent="0.2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2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45">
        <f t="shared" si="13"/>
        <v>0</v>
      </c>
      <c r="AU108" s="143">
        <f>-315058-14900</f>
        <v>-329958</v>
      </c>
      <c r="AW108" s="45">
        <f t="shared" si="14"/>
        <v>0</v>
      </c>
      <c r="AY108" s="45">
        <f t="shared" si="3"/>
        <v>0</v>
      </c>
      <c r="BA108" s="8">
        <f t="shared" si="15"/>
        <v>329958</v>
      </c>
      <c r="BB108" s="45"/>
      <c r="BC108" s="45"/>
      <c r="BD108" s="45"/>
    </row>
    <row r="109" spans="1:56" s="27" customFormat="1" x14ac:dyDescent="0.2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2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45">
        <f t="shared" si="13"/>
        <v>64650</v>
      </c>
      <c r="AU109" s="143">
        <f>120135+12000-12000-176350</f>
        <v>-56215</v>
      </c>
      <c r="AW109" s="45">
        <f t="shared" si="14"/>
        <v>0</v>
      </c>
      <c r="AY109" s="45">
        <f t="shared" si="3"/>
        <v>64650</v>
      </c>
      <c r="BA109" s="8">
        <f t="shared" si="15"/>
        <v>56215</v>
      </c>
      <c r="BB109" s="45"/>
      <c r="BC109" s="45"/>
      <c r="BD109" s="45"/>
    </row>
    <row r="110" spans="1:56" s="27" customFormat="1" x14ac:dyDescent="0.2">
      <c r="A110" s="121"/>
      <c r="B110" s="31" t="s">
        <v>395</v>
      </c>
      <c r="C110" s="114"/>
      <c r="E110" s="28"/>
      <c r="I110" s="28"/>
      <c r="K110" s="45"/>
      <c r="M110" s="45">
        <v>1099682</v>
      </c>
      <c r="O110" s="182">
        <f t="shared" si="12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45">
        <f t="shared" si="13"/>
        <v>0</v>
      </c>
      <c r="AU110" s="143">
        <v>-1099682</v>
      </c>
      <c r="AW110" s="45">
        <f t="shared" si="14"/>
        <v>0</v>
      </c>
      <c r="AY110" s="45">
        <f t="shared" si="3"/>
        <v>0</v>
      </c>
      <c r="BA110" s="8">
        <f t="shared" si="15"/>
        <v>1099682</v>
      </c>
      <c r="BB110" s="45"/>
      <c r="BC110" s="45"/>
      <c r="BD110" s="45"/>
    </row>
    <row r="111" spans="1:56" s="27" customFormat="1" x14ac:dyDescent="0.2">
      <c r="A111" s="121"/>
      <c r="B111" s="31" t="s">
        <v>396</v>
      </c>
      <c r="C111" s="114"/>
      <c r="E111" s="28"/>
      <c r="I111" s="28"/>
      <c r="K111" s="45"/>
      <c r="M111" s="45">
        <v>105810</v>
      </c>
      <c r="O111" s="182">
        <f t="shared" si="12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45">
        <f t="shared" si="13"/>
        <v>3131103</v>
      </c>
      <c r="AU111" s="143">
        <f>2323080-105810+85506+2361586-14919+10182+84960+24581+409376+56190+165+568+674-2424215-515319+728688</f>
        <v>3025293</v>
      </c>
      <c r="AW111" s="271">
        <f t="shared" si="14"/>
        <v>0</v>
      </c>
      <c r="AY111" s="271">
        <f t="shared" si="3"/>
        <v>3131103</v>
      </c>
      <c r="BA111" s="8">
        <f t="shared" si="15"/>
        <v>-3025293</v>
      </c>
      <c r="BB111" s="45"/>
      <c r="BC111" s="45"/>
      <c r="BD111" s="45"/>
    </row>
    <row r="112" spans="1:56" s="27" customFormat="1" x14ac:dyDescent="0.2">
      <c r="A112" s="121"/>
      <c r="B112" s="31" t="s">
        <v>398</v>
      </c>
      <c r="C112" s="114"/>
      <c r="E112" s="28"/>
      <c r="I112" s="28"/>
      <c r="K112" s="45"/>
      <c r="M112" s="45">
        <v>0</v>
      </c>
      <c r="O112" s="182">
        <f t="shared" si="12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45">
        <f t="shared" si="13"/>
        <v>60091</v>
      </c>
      <c r="AU112" s="143">
        <f>35068+20233+44675+19927-1202-58610</f>
        <v>60091</v>
      </c>
      <c r="AW112" s="45">
        <f t="shared" si="14"/>
        <v>0</v>
      </c>
      <c r="AY112" s="45">
        <f>+AW112+AS112</f>
        <v>60091</v>
      </c>
      <c r="BA112" s="8">
        <f t="shared" si="15"/>
        <v>-60091</v>
      </c>
      <c r="BB112" s="45"/>
      <c r="BC112" s="45"/>
      <c r="BD112" s="45"/>
    </row>
    <row r="113" spans="1:56" s="27" customFormat="1" x14ac:dyDescent="0.2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6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45">
        <f t="shared" ref="AS113:AS120" si="17">SUM(P113:AR113)</f>
        <v>0</v>
      </c>
      <c r="AU113" s="143"/>
      <c r="AW113" s="45">
        <f t="shared" si="14"/>
        <v>0</v>
      </c>
      <c r="AY113" s="45">
        <f t="shared" si="3"/>
        <v>0</v>
      </c>
      <c r="BA113" s="8">
        <f t="shared" si="15"/>
        <v>0</v>
      </c>
      <c r="BB113" s="82"/>
      <c r="BC113" s="45"/>
      <c r="BD113" s="45"/>
    </row>
    <row r="114" spans="1:56" s="27" customFormat="1" x14ac:dyDescent="0.2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6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45">
        <f t="shared" si="17"/>
        <v>0</v>
      </c>
      <c r="AU114" s="143"/>
      <c r="AW114" s="45">
        <f t="shared" si="14"/>
        <v>0</v>
      </c>
      <c r="AY114" s="45">
        <f t="shared" si="3"/>
        <v>0</v>
      </c>
      <c r="BA114" s="8">
        <f t="shared" si="15"/>
        <v>0</v>
      </c>
      <c r="BB114" s="82"/>
      <c r="BC114" s="45"/>
      <c r="BD114" s="45"/>
    </row>
    <row r="115" spans="1:56" s="27" customFormat="1" x14ac:dyDescent="0.2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6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45">
        <f t="shared" si="17"/>
        <v>0</v>
      </c>
      <c r="AU115" s="143"/>
      <c r="AW115" s="45">
        <f t="shared" si="14"/>
        <v>0</v>
      </c>
      <c r="AY115" s="45">
        <f t="shared" si="3"/>
        <v>0</v>
      </c>
      <c r="BA115" s="8">
        <f t="shared" si="15"/>
        <v>0</v>
      </c>
      <c r="BB115" s="82"/>
      <c r="BC115" s="45"/>
      <c r="BD115" s="45"/>
    </row>
    <row r="116" spans="1:56" s="27" customFormat="1" x14ac:dyDescent="0.2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6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45">
        <f t="shared" si="17"/>
        <v>0</v>
      </c>
      <c r="AU116" s="143"/>
      <c r="AW116" s="45">
        <f t="shared" si="14"/>
        <v>0</v>
      </c>
      <c r="AY116" s="45">
        <f t="shared" si="3"/>
        <v>0</v>
      </c>
      <c r="BA116" s="8">
        <f t="shared" si="15"/>
        <v>0</v>
      </c>
      <c r="BB116" s="82"/>
      <c r="BC116" s="45"/>
      <c r="BD116" s="45"/>
    </row>
    <row r="117" spans="1:56" s="27" customFormat="1" x14ac:dyDescent="0.2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6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45">
        <f t="shared" si="17"/>
        <v>0</v>
      </c>
      <c r="AU117" s="143"/>
      <c r="AW117" s="45">
        <f t="shared" si="14"/>
        <v>0</v>
      </c>
      <c r="AY117" s="45">
        <f t="shared" si="3"/>
        <v>0</v>
      </c>
      <c r="BA117" s="8">
        <f t="shared" si="15"/>
        <v>0</v>
      </c>
      <c r="BB117" s="82"/>
      <c r="BC117" s="45"/>
      <c r="BD117" s="45"/>
    </row>
    <row r="118" spans="1:56" s="27" customFormat="1" x14ac:dyDescent="0.2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6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45">
        <f t="shared" si="17"/>
        <v>8308145.4000000004</v>
      </c>
      <c r="AU118" s="143">
        <f>-354593+203856+6755-204261+90809</f>
        <v>-257434</v>
      </c>
      <c r="AW118" s="45">
        <f t="shared" si="14"/>
        <v>0</v>
      </c>
      <c r="AY118" s="45">
        <f t="shared" si="3"/>
        <v>8308145.4000000004</v>
      </c>
      <c r="BA118" s="8">
        <f t="shared" si="15"/>
        <v>257433.59999999963</v>
      </c>
      <c r="BB118" s="82"/>
      <c r="BC118" s="45"/>
      <c r="BD118" s="45"/>
    </row>
    <row r="119" spans="1:56" x14ac:dyDescent="0.2">
      <c r="A119" s="113"/>
      <c r="B119" s="31" t="s">
        <v>523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6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2">
        <f t="shared" si="17"/>
        <v>2528260</v>
      </c>
      <c r="AT119" s="19"/>
      <c r="AU119" s="173">
        <f>1692567+2459246-1623553</f>
        <v>2528260</v>
      </c>
      <c r="AV119" s="19"/>
      <c r="AW119" s="21">
        <f t="shared" si="14"/>
        <v>0</v>
      </c>
      <c r="AX119" s="19"/>
      <c r="AY119" s="21">
        <f t="shared" si="3"/>
        <v>2528260</v>
      </c>
      <c r="AZ119" s="19"/>
      <c r="BA119" s="21">
        <f t="shared" si="15"/>
        <v>-2528260</v>
      </c>
      <c r="BB119" s="34"/>
      <c r="BC119" s="21"/>
    </row>
    <row r="120" spans="1:56" x14ac:dyDescent="0.2">
      <c r="A120" s="113"/>
      <c r="B120" s="31" t="s">
        <v>535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2">
        <f t="shared" si="17"/>
        <v>221704.52000000002</v>
      </c>
      <c r="AU120" s="144"/>
      <c r="AW120" s="14">
        <f t="shared" si="14"/>
        <v>0</v>
      </c>
      <c r="AX120" s="6"/>
      <c r="AY120" s="14">
        <f t="shared" si="3"/>
        <v>221704.52000000002</v>
      </c>
      <c r="AZ120" s="6"/>
      <c r="BA120" s="14">
        <f t="shared" si="15"/>
        <v>-221704.52000000002</v>
      </c>
      <c r="BB120" s="34"/>
      <c r="BC120" s="21"/>
    </row>
    <row r="121" spans="1:56" x14ac:dyDescent="0.2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20710052.919999998</v>
      </c>
      <c r="AU121" s="15">
        <f>SUM(AU90:AU119)</f>
        <v>4100862</v>
      </c>
      <c r="AW121" s="15">
        <f>SUM(AW90:AW120)</f>
        <v>0</v>
      </c>
      <c r="AX121" s="6"/>
      <c r="AY121" s="15">
        <f>SUM(AY90:AY120)</f>
        <v>20710052.919999998</v>
      </c>
      <c r="AZ121" s="6"/>
      <c r="BA121" s="15">
        <f>SUM(BA90:BA120)</f>
        <v>-4463655.92</v>
      </c>
      <c r="BB121" s="12"/>
      <c r="BC121" s="15"/>
    </row>
    <row r="122" spans="1:56" x14ac:dyDescent="0.2">
      <c r="A122" s="113"/>
      <c r="B122" s="31"/>
      <c r="C122" s="114"/>
      <c r="G122" s="6"/>
      <c r="V122" s="12"/>
      <c r="AS122" s="45"/>
      <c r="AX122" s="6"/>
      <c r="AZ122" s="6"/>
      <c r="BB122" s="8"/>
      <c r="BC122" s="8"/>
    </row>
    <row r="123" spans="1:56" s="27" customFormat="1" x14ac:dyDescent="0.2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45"/>
      <c r="AU123" s="143"/>
      <c r="AW123" s="45"/>
      <c r="AY123" s="45"/>
      <c r="BA123" s="45"/>
      <c r="BB123" s="45"/>
      <c r="BC123" s="45"/>
      <c r="BD123" s="45"/>
    </row>
    <row r="124" spans="1:56" s="27" customFormat="1" x14ac:dyDescent="0.2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45"/>
      <c r="AU124" s="143"/>
      <c r="AW124" s="45"/>
      <c r="AY124" s="82"/>
      <c r="BA124" s="8"/>
      <c r="BB124" s="45"/>
      <c r="BC124" s="45"/>
      <c r="BD124" s="45"/>
    </row>
    <row r="125" spans="1:56" s="27" customFormat="1" x14ac:dyDescent="0.2">
      <c r="A125" s="121"/>
      <c r="B125" s="31" t="s">
        <v>397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/>
      <c r="AS125" s="45">
        <f>SUM(P125:AR125)</f>
        <v>423221</v>
      </c>
      <c r="AU125" s="143">
        <f>88085-91209-97940-39686-10472-159204</f>
        <v>-310426</v>
      </c>
      <c r="AW125" s="82">
        <f>IF(+O125-AS125+AU125&gt;0,O125-AS125+AU125,0)+1842444</f>
        <v>1842444</v>
      </c>
      <c r="AY125" s="271">
        <f>+AW125+AS125</f>
        <v>2265665</v>
      </c>
      <c r="BA125" s="8">
        <f t="shared" ref="BA125:BA131" si="19">O125-AS125-AW125</f>
        <v>-1908837</v>
      </c>
      <c r="BB125" s="45"/>
      <c r="BC125" s="45"/>
      <c r="BD125" s="45"/>
    </row>
    <row r="126" spans="1:56" s="27" customFormat="1" x14ac:dyDescent="0.2">
      <c r="A126" s="121"/>
      <c r="B126" s="31" t="s">
        <v>399</v>
      </c>
      <c r="C126" s="114"/>
      <c r="E126" s="28"/>
      <c r="I126" s="28"/>
      <c r="K126" s="45"/>
      <c r="M126" s="45">
        <v>1194879</v>
      </c>
      <c r="O126" s="182">
        <f t="shared" ref="O126:O131" si="20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45">
        <f t="shared" ref="AS126:AS131" si="21">SUM(P126:AR126)</f>
        <v>956021</v>
      </c>
      <c r="AU126" s="143">
        <f>951863-1194879-111197+54246+46516+36245-148214+126562</f>
        <v>-238858</v>
      </c>
      <c r="AW126" s="45">
        <f t="shared" ref="AW126:AW131" si="22">IF(+O126-AS126+AU126&gt;0,O126-AS126+AU126,0)</f>
        <v>0</v>
      </c>
      <c r="AY126" s="45">
        <f>+AW126+AS126</f>
        <v>956021</v>
      </c>
      <c r="BA126" s="8">
        <f t="shared" si="19"/>
        <v>238858</v>
      </c>
      <c r="BB126" s="45"/>
      <c r="BC126" s="45"/>
      <c r="BD126" s="45"/>
    </row>
    <row r="127" spans="1:56" s="27" customFormat="1" ht="13.5" customHeight="1" x14ac:dyDescent="0.2">
      <c r="A127" s="121"/>
      <c r="B127" s="31" t="s">
        <v>529</v>
      </c>
      <c r="C127" s="114"/>
      <c r="E127" s="28"/>
      <c r="I127" s="28"/>
      <c r="K127" s="45"/>
      <c r="M127" s="45">
        <f>2998745+1312553+1463286</f>
        <v>5774584</v>
      </c>
      <c r="O127" s="182">
        <f t="shared" si="20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45">
        <f t="shared" si="21"/>
        <v>6733611</v>
      </c>
      <c r="AU127" s="143">
        <f>2862030-2998745+351093-378248+155246+314000-273311-13504+115571</f>
        <v>134132</v>
      </c>
      <c r="AW127" s="45">
        <f t="shared" si="22"/>
        <v>0</v>
      </c>
      <c r="AY127" s="45">
        <f>+AW127+AS127</f>
        <v>6733611</v>
      </c>
      <c r="BA127" s="8">
        <f t="shared" si="19"/>
        <v>-959027</v>
      </c>
      <c r="BB127" s="45"/>
      <c r="BC127" s="45"/>
      <c r="BD127" s="45"/>
    </row>
    <row r="128" spans="1:56" s="27" customFormat="1" x14ac:dyDescent="0.2">
      <c r="A128" s="121"/>
      <c r="B128" s="31" t="s">
        <v>528</v>
      </c>
      <c r="C128" s="114"/>
      <c r="E128" s="28"/>
      <c r="I128" s="28"/>
      <c r="K128" s="45"/>
      <c r="M128" s="45">
        <f>1110485+1095310</f>
        <v>2205795</v>
      </c>
      <c r="O128" s="182">
        <f t="shared" si="20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45">
        <f t="shared" si="21"/>
        <v>2062725</v>
      </c>
      <c r="AU128" s="143">
        <f>847378-1110485-113+147785+316190-568870+400000-10364-330743+112532+32000-235394+257014</f>
        <v>-143070</v>
      </c>
      <c r="AW128" s="45">
        <f t="shared" si="22"/>
        <v>0</v>
      </c>
      <c r="AY128" s="45">
        <f>+AW128+AS128</f>
        <v>2062725</v>
      </c>
      <c r="BA128" s="8">
        <f t="shared" si="19"/>
        <v>143070</v>
      </c>
      <c r="BB128" s="45"/>
      <c r="BC128" s="45"/>
      <c r="BD128" s="45"/>
    </row>
    <row r="129" spans="1:57" s="27" customFormat="1" x14ac:dyDescent="0.2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0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45">
        <f t="shared" si="21"/>
        <v>0</v>
      </c>
      <c r="AU129" s="143"/>
      <c r="AW129" s="45">
        <f t="shared" si="22"/>
        <v>0</v>
      </c>
      <c r="AY129" s="45">
        <f t="shared" ref="AY129:AY189" si="23">+AW129+AS129</f>
        <v>0</v>
      </c>
      <c r="BA129" s="8">
        <f t="shared" si="19"/>
        <v>0</v>
      </c>
      <c r="BB129" s="82"/>
      <c r="BC129" s="45"/>
      <c r="BD129" s="45"/>
    </row>
    <row r="130" spans="1:57" s="27" customFormat="1" x14ac:dyDescent="0.2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0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45">
        <f t="shared" si="21"/>
        <v>0</v>
      </c>
      <c r="AU130" s="143"/>
      <c r="AW130" s="45">
        <f t="shared" si="22"/>
        <v>0</v>
      </c>
      <c r="AY130" s="45">
        <f t="shared" si="23"/>
        <v>0</v>
      </c>
      <c r="BA130" s="8">
        <f t="shared" si="19"/>
        <v>0</v>
      </c>
      <c r="BB130" s="82"/>
      <c r="BC130" s="45"/>
      <c r="BD130" s="45"/>
    </row>
    <row r="131" spans="1:57" s="27" customFormat="1" x14ac:dyDescent="0.2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0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45">
        <f t="shared" si="21"/>
        <v>0</v>
      </c>
      <c r="AU131" s="144"/>
      <c r="AW131" s="129">
        <f t="shared" si="22"/>
        <v>0</v>
      </c>
      <c r="AY131" s="129">
        <f t="shared" si="23"/>
        <v>0</v>
      </c>
      <c r="BA131" s="14">
        <f t="shared" si="19"/>
        <v>0</v>
      </c>
      <c r="BB131" s="183"/>
      <c r="BC131" s="172"/>
      <c r="BD131" s="45"/>
    </row>
    <row r="132" spans="1:57" s="27" customFormat="1" x14ac:dyDescent="0.2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0</v>
      </c>
      <c r="AS132" s="108">
        <f>SUM(AS124:AS131)</f>
        <v>10175578</v>
      </c>
      <c r="AU132" s="29">
        <f>SUM(AU124:AU131)</f>
        <v>-558222</v>
      </c>
      <c r="AW132" s="29">
        <f>SUM(AW124:AW131)</f>
        <v>1842444</v>
      </c>
      <c r="AY132" s="29">
        <f>SUM(AY124:AY131)</f>
        <v>12018022</v>
      </c>
      <c r="BA132" s="108">
        <f>SUM(BA124:BA131)</f>
        <v>-2485936</v>
      </c>
      <c r="BB132" s="183"/>
      <c r="BC132" s="29"/>
      <c r="BD132" s="45"/>
    </row>
    <row r="133" spans="1:57" s="27" customFormat="1" x14ac:dyDescent="0.2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29"/>
      <c r="AU133" s="141"/>
      <c r="AW133" s="29"/>
      <c r="AY133" s="29"/>
      <c r="BA133" s="29"/>
      <c r="BB133" s="29"/>
      <c r="BC133" s="29"/>
      <c r="BD133" s="45"/>
    </row>
    <row r="134" spans="1:57" x14ac:dyDescent="0.2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45">
        <f>SUM(P134:AR134)</f>
        <v>536925.14999999991</v>
      </c>
      <c r="AU134" s="141">
        <f>-458401+20326</f>
        <v>-438075</v>
      </c>
      <c r="AW134" s="15">
        <f>IF(+O134-AS134+AU134&gt;0,O134-AS134+AU134,0)</f>
        <v>0</v>
      </c>
      <c r="AX134" s="6"/>
      <c r="AY134" s="15">
        <f t="shared" si="23"/>
        <v>536925.14999999991</v>
      </c>
      <c r="AZ134" s="6"/>
      <c r="BA134" s="8">
        <f>O134-AS134-AW134</f>
        <v>438074.85000000009</v>
      </c>
      <c r="BB134" s="34"/>
      <c r="BC134" s="15"/>
    </row>
    <row r="135" spans="1:57" x14ac:dyDescent="0.2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45">
        <f>SUM(P135:AR135)</f>
        <v>0</v>
      </c>
      <c r="AU135" s="141"/>
      <c r="AW135" s="15">
        <f>IF(+O135-AS135+AU135&gt;0,O135-AS135+AU135,0)</f>
        <v>0</v>
      </c>
      <c r="AX135" s="6"/>
      <c r="AY135" s="15">
        <f t="shared" si="23"/>
        <v>0</v>
      </c>
      <c r="AZ135" s="6"/>
      <c r="BA135" s="8">
        <f>O135-AS135-AW135</f>
        <v>0</v>
      </c>
      <c r="BB135" s="34"/>
      <c r="BC135" s="15"/>
    </row>
    <row r="136" spans="1:57" x14ac:dyDescent="0.2">
      <c r="A136" s="121"/>
      <c r="B136" s="31"/>
      <c r="C136" s="114"/>
      <c r="K136" s="5"/>
      <c r="M136" s="5"/>
      <c r="O136" s="5"/>
      <c r="V136" s="12"/>
      <c r="AS136" s="45"/>
      <c r="AX136" s="6"/>
      <c r="AZ136" s="6"/>
      <c r="BB136" s="8"/>
      <c r="BC136" s="8"/>
    </row>
    <row r="137" spans="1:57" x14ac:dyDescent="0.2">
      <c r="A137" s="121" t="s">
        <v>545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S137" s="45">
        <f>SUM(P137:AR137)</f>
        <v>0</v>
      </c>
      <c r="AU137" s="143">
        <v>0</v>
      </c>
      <c r="AW137" s="15">
        <v>260000</v>
      </c>
      <c r="AX137" s="6"/>
      <c r="AY137" s="15">
        <f t="shared" si="23"/>
        <v>260000</v>
      </c>
      <c r="AZ137" s="6"/>
      <c r="BA137" s="8">
        <f>O137-AS137-AW137</f>
        <v>-260000</v>
      </c>
      <c r="BB137" s="8"/>
      <c r="BC137" s="8"/>
    </row>
    <row r="138" spans="1:57" x14ac:dyDescent="0.2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29"/>
      <c r="AU138" s="141"/>
      <c r="AW138" s="15"/>
      <c r="AX138" s="6"/>
      <c r="AY138" s="15"/>
      <c r="AZ138" s="6"/>
      <c r="BA138" s="21"/>
      <c r="BB138" s="34"/>
      <c r="BC138" s="15"/>
    </row>
    <row r="139" spans="1:57" hidden="1" x14ac:dyDescent="0.2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45">
        <f>SUM(P139:AR139)</f>
        <v>0</v>
      </c>
      <c r="AU139" s="141"/>
      <c r="AW139" s="16">
        <f>IF(+O139-AS139+AU139&gt;0,O139-AS139+AU139,0)</f>
        <v>0</v>
      </c>
      <c r="AX139" s="6"/>
      <c r="AY139" s="16">
        <f t="shared" si="23"/>
        <v>0</v>
      </c>
      <c r="AZ139" s="6"/>
      <c r="BA139" s="8">
        <f>O139-AS139-AW139</f>
        <v>0</v>
      </c>
      <c r="BB139" s="34"/>
      <c r="BC139" s="15"/>
    </row>
    <row r="140" spans="1:57" hidden="1" x14ac:dyDescent="0.2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29"/>
      <c r="AU140" s="141"/>
      <c r="AW140" s="15"/>
      <c r="AX140" s="6"/>
      <c r="AY140" s="15"/>
      <c r="AZ140" s="6"/>
      <c r="BB140" s="12"/>
      <c r="BC140" s="15"/>
    </row>
    <row r="141" spans="1:57" x14ac:dyDescent="0.2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0</v>
      </c>
      <c r="AS141" s="29">
        <f>AS139+AS135+AS134+AS132+AS121+AS87+AS80+AS137</f>
        <v>31422555.670000002</v>
      </c>
      <c r="AU141" s="141">
        <f>AU139+AU135+AU134+AU132+AU121+AU87+AU80+AU137</f>
        <v>-1248398</v>
      </c>
      <c r="AW141" s="29">
        <f>AW139+AW135+AW134+AW132+AW121+AW87+AW80+AW13-1</f>
        <v>1842443.5</v>
      </c>
      <c r="AX141" s="6"/>
      <c r="AY141" s="29">
        <f>AY139+AY135+AY134+AY132+AY121+AY87+AY80+AY137</f>
        <v>33525000.170000002</v>
      </c>
      <c r="AZ141" s="6"/>
      <c r="BA141" s="29">
        <f>BA139+BA135+BA134+BA132+BA121+BA87+BA80+BA137</f>
        <v>-2418554.17</v>
      </c>
      <c r="BB141" s="34"/>
      <c r="BC141" s="15"/>
      <c r="BE141" s="39">
        <f>+AY141+BE51</f>
        <v>132976472.34</v>
      </c>
    </row>
    <row r="142" spans="1:57" x14ac:dyDescent="0.2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29"/>
      <c r="AU142" s="141"/>
      <c r="AW142" s="15"/>
      <c r="AX142" s="6"/>
      <c r="AY142" s="15"/>
      <c r="AZ142" s="6"/>
      <c r="BA142" s="15"/>
      <c r="BB142" s="15"/>
      <c r="BC142" s="15"/>
    </row>
    <row r="143" spans="1:57" s="27" customFormat="1" x14ac:dyDescent="0.2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1214926.1299999999</v>
      </c>
      <c r="AP143" s="140"/>
      <c r="AQ143" s="140">
        <f>AQ141+AQ51+AQ43</f>
        <v>51444.89</v>
      </c>
      <c r="AR143" s="23"/>
      <c r="AS143" s="25">
        <f>AS141+AS51+AS43</f>
        <v>132519141.66999999</v>
      </c>
      <c r="AT143" s="23"/>
      <c r="AU143" s="140">
        <f>AU141+AU51+AU43</f>
        <v>3063452</v>
      </c>
      <c r="AV143" s="23"/>
      <c r="AW143" s="25">
        <f>AW141+AW51+AW43+AW137</f>
        <v>4188257.6699999953</v>
      </c>
      <c r="AX143" s="23"/>
      <c r="AY143" s="25">
        <f t="shared" si="23"/>
        <v>136707399.33999997</v>
      </c>
      <c r="AZ143" s="23"/>
      <c r="BA143" s="25">
        <f>BA141+BA51+BA43</f>
        <v>-19790814.340000004</v>
      </c>
      <c r="BB143" s="25"/>
      <c r="BC143" s="29"/>
      <c r="BD143" s="45">
        <f>+BD43</f>
        <v>-3730928</v>
      </c>
      <c r="BE143" s="39">
        <f>+AY143+BD143</f>
        <v>132976471.33999997</v>
      </c>
    </row>
    <row r="144" spans="1:57" x14ac:dyDescent="0.2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29"/>
      <c r="AU144" s="141"/>
      <c r="AW144" s="29"/>
      <c r="AX144" s="27"/>
      <c r="AY144" s="29"/>
      <c r="AZ144" s="27"/>
      <c r="BA144" s="29"/>
      <c r="BB144" s="29"/>
      <c r="BC144" s="29"/>
    </row>
    <row r="145" spans="1:56" x14ac:dyDescent="0.2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45">
        <f>SUM(P145:AR145)</f>
        <v>786608.59</v>
      </c>
      <c r="AU145" s="141">
        <f>706219-668000+83333.33-35845</f>
        <v>85707.33</v>
      </c>
      <c r="AW145" s="8">
        <f>IF(+O145-AS145+AU145&gt;0,O145-AS145+AU145,0)</f>
        <v>0</v>
      </c>
      <c r="AX145" s="27"/>
      <c r="AY145" s="15">
        <f t="shared" si="23"/>
        <v>786608.59</v>
      </c>
      <c r="AZ145" s="27"/>
      <c r="BA145" s="8">
        <f>O145-AS145-AW145</f>
        <v>-118608.58999999997</v>
      </c>
      <c r="BB145" s="12"/>
      <c r="BC145" s="27" t="s">
        <v>369</v>
      </c>
    </row>
    <row r="146" spans="1:56" x14ac:dyDescent="0.2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45">
        <f>SUM(P146:AR146)</f>
        <v>0</v>
      </c>
      <c r="AU146" s="141">
        <v>-25000</v>
      </c>
      <c r="AW146" s="8">
        <f>IF(+O146-AS146+AU146&gt;0,O146-AS146+AU146,0)</f>
        <v>0</v>
      </c>
      <c r="AX146" s="27"/>
      <c r="AY146" s="15">
        <f t="shared" si="23"/>
        <v>0</v>
      </c>
      <c r="AZ146" s="27"/>
      <c r="BA146" s="8">
        <f>O146-AS146-AW146</f>
        <v>25000</v>
      </c>
      <c r="BB146" s="12"/>
      <c r="BC146" s="27" t="s">
        <v>369</v>
      </c>
    </row>
    <row r="147" spans="1:56" x14ac:dyDescent="0.2">
      <c r="A147" s="112"/>
      <c r="B147" s="115" t="s">
        <v>473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786608.59</v>
      </c>
      <c r="AU147" s="107">
        <f>SUM(AU145:AU146)</f>
        <v>60707.33</v>
      </c>
      <c r="AW147" s="107">
        <f>SUM(AW145:AW146)</f>
        <v>0</v>
      </c>
      <c r="AX147" s="27"/>
      <c r="AY147" s="107">
        <f>SUM(AY145:AY146)</f>
        <v>786608.59</v>
      </c>
      <c r="AZ147" s="27"/>
      <c r="BA147" s="107">
        <f>SUM(BA145:BA146)</f>
        <v>-93608.589999999967</v>
      </c>
      <c r="BB147" s="12"/>
      <c r="BC147" s="27"/>
    </row>
    <row r="148" spans="1:56" x14ac:dyDescent="0.2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29"/>
      <c r="AU148" s="141"/>
      <c r="AW148" s="29"/>
      <c r="AX148" s="27"/>
      <c r="AY148" s="29"/>
      <c r="AZ148" s="27"/>
      <c r="BA148" s="29"/>
      <c r="BB148" s="29"/>
      <c r="BC148" s="29"/>
    </row>
    <row r="149" spans="1:56" x14ac:dyDescent="0.2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45">
        <f>SUM(P149:AR149)</f>
        <v>748288.08</v>
      </c>
      <c r="AU149" s="141"/>
      <c r="AW149" s="8">
        <f>IF(+O149-AS149+AU149&gt;0,O149-AS149+AU149,0)</f>
        <v>64761.920000000042</v>
      </c>
      <c r="AX149" s="27"/>
      <c r="AY149" s="8">
        <f t="shared" si="23"/>
        <v>813050</v>
      </c>
      <c r="AZ149" s="27"/>
      <c r="BA149" s="8">
        <f>O149-AS149-AW149</f>
        <v>0</v>
      </c>
      <c r="BB149" s="12"/>
      <c r="BC149" s="29" t="s">
        <v>121</v>
      </c>
    </row>
    <row r="150" spans="1:56" x14ac:dyDescent="0.2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S150" s="45"/>
      <c r="AX150" s="27"/>
      <c r="AZ150" s="27"/>
      <c r="BB150" s="12"/>
      <c r="BC150" s="29"/>
    </row>
    <row r="151" spans="1:56" x14ac:dyDescent="0.2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S151" s="45">
        <f t="shared" ref="AS151:AS159" si="24">SUM(P151:AR151)</f>
        <v>172609.34</v>
      </c>
      <c r="AW151" s="8">
        <f>IF(+O151-AS151+AU151&gt;0,O151-AS151+AU151,0)</f>
        <v>0</v>
      </c>
      <c r="AX151" s="6"/>
      <c r="AY151" s="8">
        <f t="shared" si="23"/>
        <v>172609.34</v>
      </c>
      <c r="AZ151" s="6"/>
      <c r="BA151" s="8">
        <f>O151-AS151-AW151</f>
        <v>-3334.3399999999965</v>
      </c>
      <c r="BB151" s="12"/>
      <c r="BC151" s="8" t="s">
        <v>122</v>
      </c>
    </row>
    <row r="152" spans="1:56" s="43" customFormat="1" x14ac:dyDescent="0.2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45">
        <f t="shared" si="24"/>
        <v>0</v>
      </c>
      <c r="AU152" s="143"/>
      <c r="AW152" s="8">
        <v>0</v>
      </c>
      <c r="AX152" s="6"/>
      <c r="AY152" s="8">
        <f t="shared" si="23"/>
        <v>0</v>
      </c>
      <c r="AZ152" s="6"/>
      <c r="BA152" s="8">
        <f>O152-AS152-AW152</f>
        <v>150000</v>
      </c>
      <c r="BB152" s="12"/>
      <c r="BC152" s="12"/>
      <c r="BD152" s="12"/>
    </row>
    <row r="153" spans="1:56" s="43" customFormat="1" x14ac:dyDescent="0.2">
      <c r="A153" s="124"/>
      <c r="B153" s="19" t="s">
        <v>471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172609.34</v>
      </c>
      <c r="AU153" s="107">
        <f>SUM(AU151:AU152)</f>
        <v>0</v>
      </c>
      <c r="AW153" s="107">
        <f>SUM(AW151:AW152)</f>
        <v>0</v>
      </c>
      <c r="AX153" s="6"/>
      <c r="AY153" s="107">
        <f>SUM(AY151:AY152)</f>
        <v>172609.34</v>
      </c>
      <c r="AZ153" s="6"/>
      <c r="BA153" s="107">
        <f>SUM(BA151:BA152)</f>
        <v>146665.66</v>
      </c>
      <c r="BB153" s="12"/>
      <c r="BC153" s="12"/>
      <c r="BD153" s="12"/>
    </row>
    <row r="154" spans="1:56" x14ac:dyDescent="0.2">
      <c r="A154" s="113"/>
      <c r="B154" s="31"/>
      <c r="C154" s="114"/>
      <c r="K154" s="15"/>
      <c r="M154" s="15"/>
      <c r="O154" s="15"/>
      <c r="AS154" s="45"/>
      <c r="AX154" s="6"/>
      <c r="AZ154" s="6"/>
      <c r="BB154" s="8"/>
      <c r="BC154" s="8"/>
    </row>
    <row r="155" spans="1:56" x14ac:dyDescent="0.2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S155" s="45">
        <f t="shared" si="24"/>
        <v>244098.71000000002</v>
      </c>
      <c r="AW155" s="8">
        <f>IF(+O155-AS155+AU155&gt;0,O155-AS155+AU155,0)</f>
        <v>0</v>
      </c>
      <c r="AX155" s="6"/>
      <c r="AY155" s="8">
        <f t="shared" si="23"/>
        <v>244098.71000000002</v>
      </c>
      <c r="AZ155" s="6"/>
      <c r="BA155" s="8">
        <f>O155-AS155-AW155</f>
        <v>-54098.710000000021</v>
      </c>
      <c r="BB155" s="12"/>
      <c r="BC155" s="8"/>
    </row>
    <row r="156" spans="1:56" x14ac:dyDescent="0.2">
      <c r="A156" s="113"/>
      <c r="B156" s="31" t="s">
        <v>335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S156" s="45">
        <f t="shared" si="24"/>
        <v>110804.75</v>
      </c>
      <c r="AW156" s="8">
        <f>IF(+O156-AS156+AU156&gt;0,O156-AS156+AU156,0)</f>
        <v>0</v>
      </c>
      <c r="AX156" s="6"/>
      <c r="AY156" s="8">
        <f t="shared" si="23"/>
        <v>110804.75</v>
      </c>
      <c r="AZ156" s="6"/>
      <c r="BA156" s="8">
        <f>O156-AS156-AW156</f>
        <v>-110804.75</v>
      </c>
      <c r="BB156" s="8"/>
      <c r="BC156" s="8"/>
    </row>
    <row r="157" spans="1:56" x14ac:dyDescent="0.2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354903.46</v>
      </c>
      <c r="AU157" s="107">
        <f>SUM(AU155:AU156)</f>
        <v>0</v>
      </c>
      <c r="AW157" s="107">
        <f>SUM(AW155:AW156)</f>
        <v>0</v>
      </c>
      <c r="AX157" s="6"/>
      <c r="AY157" s="107">
        <f>SUM(AY155:AY156)</f>
        <v>354903.46</v>
      </c>
      <c r="AZ157" s="6"/>
      <c r="BA157" s="107">
        <f>SUM(BA155:BA156)</f>
        <v>-164903.46000000002</v>
      </c>
      <c r="BB157" s="8"/>
      <c r="BC157" s="8"/>
    </row>
    <row r="158" spans="1:56" x14ac:dyDescent="0.2">
      <c r="A158" s="113"/>
      <c r="B158" s="31"/>
      <c r="C158" s="114"/>
      <c r="K158" s="15"/>
      <c r="M158" s="15"/>
      <c r="O158" s="15"/>
      <c r="AS158" s="45"/>
      <c r="AX158" s="6"/>
      <c r="AZ158" s="6"/>
      <c r="BB158" s="8"/>
      <c r="BC158" s="8"/>
    </row>
    <row r="159" spans="1:56" x14ac:dyDescent="0.2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S159" s="45">
        <f t="shared" si="24"/>
        <v>0</v>
      </c>
      <c r="AW159" s="8">
        <f>IF(+O159-AS159+AU159&gt;0,O159-AS159+AU159,0)</f>
        <v>0</v>
      </c>
      <c r="AX159" s="6"/>
      <c r="AY159" s="8">
        <f t="shared" si="23"/>
        <v>0</v>
      </c>
      <c r="AZ159" s="6"/>
      <c r="BA159" s="8">
        <f>O159-AS159-AW159</f>
        <v>0</v>
      </c>
      <c r="BB159" s="12"/>
      <c r="BC159" s="8" t="s">
        <v>124</v>
      </c>
    </row>
    <row r="160" spans="1:56" x14ac:dyDescent="0.2">
      <c r="A160" s="113"/>
      <c r="B160" s="31"/>
      <c r="C160" s="114"/>
      <c r="K160" s="15"/>
      <c r="M160" s="15"/>
      <c r="O160" s="15"/>
      <c r="AS160" s="45"/>
      <c r="AX160" s="6"/>
      <c r="AZ160" s="6"/>
      <c r="BB160" s="8"/>
      <c r="BC160" s="8"/>
    </row>
    <row r="161" spans="1:55" x14ac:dyDescent="0.2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S161" s="45"/>
      <c r="AX161" s="6"/>
      <c r="AY161" s="8">
        <f t="shared" si="23"/>
        <v>0</v>
      </c>
      <c r="AZ161" s="6"/>
      <c r="BB161" s="8"/>
      <c r="BC161" s="6" t="s">
        <v>78</v>
      </c>
    </row>
    <row r="162" spans="1:55" x14ac:dyDescent="0.2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S162" s="45">
        <f t="shared" ref="AS162:AS177" si="25">SUM(P162:AR162)</f>
        <v>1719875.44</v>
      </c>
      <c r="AW162" s="8">
        <f>IF(+O162-AS162+AU162&gt;0,O162-AS162+AU162,0)</f>
        <v>0</v>
      </c>
      <c r="AX162" s="6"/>
      <c r="AY162" s="8">
        <f t="shared" si="23"/>
        <v>1719875.44</v>
      </c>
      <c r="AZ162" s="6"/>
      <c r="BA162" s="8">
        <f>O162-AS162-AW162</f>
        <v>-45336.439999999944</v>
      </c>
      <c r="BB162" s="12"/>
      <c r="BC162" s="8"/>
    </row>
    <row r="163" spans="1:55" x14ac:dyDescent="0.2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S163" s="45">
        <f t="shared" si="25"/>
        <v>247034.29</v>
      </c>
      <c r="AW163" s="8">
        <f>IF(+O163-AS163+AU163&gt;0,O163-AS163+AU163,0)</f>
        <v>114666.13399999999</v>
      </c>
      <c r="AX163" s="6"/>
      <c r="AY163" s="8">
        <f t="shared" si="23"/>
        <v>361700.424</v>
      </c>
      <c r="AZ163" s="6"/>
      <c r="BA163" s="8">
        <f>O163-AS163-AW163</f>
        <v>0</v>
      </c>
      <c r="BB163" s="12"/>
      <c r="BC163" s="8"/>
    </row>
    <row r="164" spans="1:55" x14ac:dyDescent="0.2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S164" s="45">
        <f t="shared" si="25"/>
        <v>11826</v>
      </c>
      <c r="AW164" s="8">
        <f>IF(+O164-AS164+AU164&gt;0,O164-AS164+AU164,0)</f>
        <v>0</v>
      </c>
      <c r="AX164" s="6"/>
      <c r="AY164" s="8">
        <f t="shared" si="23"/>
        <v>11826</v>
      </c>
      <c r="AZ164" s="6"/>
      <c r="BA164" s="8">
        <f>O164-AS164-AW164</f>
        <v>0</v>
      </c>
      <c r="BB164" s="12"/>
      <c r="BC164" s="8"/>
    </row>
    <row r="165" spans="1:55" x14ac:dyDescent="0.2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S165" s="45">
        <f t="shared" si="25"/>
        <v>57404.800000000003</v>
      </c>
      <c r="AW165" s="8">
        <f>IF(+O165-AS165+AU165&gt;0,O165-AS165+AU165,0)</f>
        <v>0</v>
      </c>
      <c r="AX165" s="6"/>
      <c r="AY165" s="8">
        <f t="shared" si="23"/>
        <v>57404.800000000003</v>
      </c>
      <c r="AZ165" s="6"/>
      <c r="BA165" s="8">
        <f>O165-AS165-AW165</f>
        <v>-23636.800000000003</v>
      </c>
      <c r="BB165" s="12"/>
      <c r="BC165" s="8"/>
    </row>
    <row r="166" spans="1:55" x14ac:dyDescent="0.2">
      <c r="A166" s="112"/>
      <c r="B166" s="19" t="s">
        <v>472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2036140.53</v>
      </c>
      <c r="AU166" s="107">
        <f>SUM(AU162:AU165)</f>
        <v>0</v>
      </c>
      <c r="AW166" s="107">
        <f>SUM(AW162:AW165)</f>
        <v>114666.13399999999</v>
      </c>
      <c r="AX166" s="6"/>
      <c r="AY166" s="107">
        <f>SUM(AY162:AY165)</f>
        <v>2150806.6639999999</v>
      </c>
      <c r="AZ166" s="6"/>
      <c r="BA166" s="107">
        <f>SUM(BA162:BA165)</f>
        <v>-68973.239999999947</v>
      </c>
      <c r="BB166" s="12"/>
      <c r="BC166" s="8"/>
    </row>
    <row r="167" spans="1:55" x14ac:dyDescent="0.2">
      <c r="A167" s="113"/>
      <c r="B167" s="31"/>
      <c r="C167" s="114"/>
      <c r="K167" s="15"/>
      <c r="M167" s="15"/>
      <c r="O167" s="15"/>
      <c r="AS167" s="45"/>
      <c r="AX167" s="6"/>
      <c r="AZ167" s="6"/>
      <c r="BB167" s="8"/>
      <c r="BC167" s="8"/>
    </row>
    <row r="168" spans="1:55" x14ac:dyDescent="0.2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S168" s="45">
        <f t="shared" si="25"/>
        <v>317836.07</v>
      </c>
      <c r="AU168" s="143">
        <f>-131132+100000</f>
        <v>-31132</v>
      </c>
      <c r="AW168" s="12">
        <f>IF(+O168-AS168+AU168&gt;0,O168-AS168+AU168,0)-231868</f>
        <v>-217836.07</v>
      </c>
      <c r="AX168" s="6"/>
      <c r="AY168" s="8">
        <f t="shared" si="23"/>
        <v>100000</v>
      </c>
      <c r="AZ168" s="6"/>
      <c r="BA168" s="8">
        <f>O168-AS168-AW168</f>
        <v>263000</v>
      </c>
      <c r="BB168" s="12"/>
      <c r="BC168" s="8"/>
    </row>
    <row r="169" spans="1:55" x14ac:dyDescent="0.2">
      <c r="A169" s="113"/>
      <c r="B169" s="31"/>
      <c r="C169" s="114"/>
      <c r="K169" s="15"/>
      <c r="M169" s="15"/>
      <c r="O169" s="15"/>
      <c r="AS169" s="45"/>
      <c r="AX169" s="6"/>
      <c r="AZ169" s="6"/>
      <c r="BB169" s="8"/>
      <c r="BC169" s="8"/>
    </row>
    <row r="170" spans="1:55" x14ac:dyDescent="0.2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S170" s="45">
        <f t="shared" si="25"/>
        <v>290638.74</v>
      </c>
      <c r="AU170" s="143">
        <f>55279-64752</f>
        <v>-9473</v>
      </c>
      <c r="AW170" s="8">
        <f>336000+AU170-AS170</f>
        <v>35888.260000000009</v>
      </c>
      <c r="AX170" s="6"/>
      <c r="AY170" s="8">
        <f t="shared" si="23"/>
        <v>326527</v>
      </c>
      <c r="AZ170" s="6"/>
      <c r="BA170" s="8">
        <f>O170-AS170-AW170</f>
        <v>-171248</v>
      </c>
      <c r="BB170" s="12"/>
      <c r="BC170" s="8"/>
    </row>
    <row r="171" spans="1:55" x14ac:dyDescent="0.2">
      <c r="A171" s="120"/>
      <c r="B171" s="19"/>
      <c r="C171" s="114"/>
      <c r="K171" s="15"/>
      <c r="M171" s="15"/>
      <c r="O171" s="15"/>
      <c r="AS171" s="45"/>
      <c r="AX171" s="6"/>
      <c r="AZ171" s="6"/>
      <c r="BB171" s="8"/>
      <c r="BC171" s="8"/>
    </row>
    <row r="172" spans="1:55" x14ac:dyDescent="0.2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S172" s="45">
        <f t="shared" si="25"/>
        <v>63623.9</v>
      </c>
      <c r="AU172" s="143">
        <v>-29999</v>
      </c>
      <c r="AW172" s="8">
        <v>0</v>
      </c>
      <c r="AX172" s="6"/>
      <c r="AY172" s="8">
        <f t="shared" si="23"/>
        <v>63623.9</v>
      </c>
      <c r="AZ172" s="6"/>
      <c r="BA172" s="8">
        <f>O172-AS172-AW172</f>
        <v>49709.1</v>
      </c>
      <c r="BB172" s="12"/>
      <c r="BC172" s="8"/>
    </row>
    <row r="173" spans="1:55" x14ac:dyDescent="0.2">
      <c r="A173" s="120"/>
      <c r="B173" s="19"/>
      <c r="C173" s="114"/>
      <c r="K173" s="15"/>
      <c r="M173" s="15"/>
      <c r="O173" s="15"/>
      <c r="AS173" s="45"/>
      <c r="AX173" s="6"/>
      <c r="AZ173" s="6"/>
      <c r="BB173" s="8"/>
      <c r="BC173" s="8"/>
    </row>
    <row r="174" spans="1:55" x14ac:dyDescent="0.2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2">
        <f t="shared" si="25"/>
        <v>4163904.83</v>
      </c>
      <c r="AT174" s="19"/>
      <c r="AU174" s="173">
        <v>0</v>
      </c>
      <c r="AV174" s="19"/>
      <c r="AW174" s="21">
        <f>IF(+O174-AS174+AU174&gt;0,O174-AS174+AU174,0)</f>
        <v>0</v>
      </c>
      <c r="AX174" s="19"/>
      <c r="AY174" s="21">
        <f t="shared" si="23"/>
        <v>4163904.83</v>
      </c>
      <c r="AZ174" s="19"/>
      <c r="BA174" s="21">
        <f>O174-AS174-AW174</f>
        <v>-1.2628455748781562</v>
      </c>
      <c r="BB174" s="34"/>
      <c r="BC174" s="21"/>
    </row>
    <row r="175" spans="1:55" x14ac:dyDescent="0.2">
      <c r="A175" s="112"/>
      <c r="B175" s="19" t="s">
        <v>487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2">
        <f t="shared" si="25"/>
        <v>-159283</v>
      </c>
      <c r="AT175" s="19"/>
      <c r="AU175" s="173"/>
      <c r="AV175" s="19"/>
      <c r="AW175" s="21">
        <v>0</v>
      </c>
      <c r="AX175" s="19"/>
      <c r="AY175" s="21">
        <f t="shared" si="23"/>
        <v>-159283</v>
      </c>
      <c r="AZ175" s="19"/>
      <c r="BA175" s="21">
        <f>O175-AS175-AW175</f>
        <v>64384</v>
      </c>
      <c r="BB175" s="34"/>
      <c r="BC175" s="21"/>
    </row>
    <row r="176" spans="1:55" x14ac:dyDescent="0.2">
      <c r="A176" s="112" t="s">
        <v>484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2">
        <f t="shared" si="25"/>
        <v>24072.18</v>
      </c>
      <c r="AU176" s="173"/>
      <c r="AW176" s="21">
        <f>IF(+O176-AS176+AU176&gt;0,O176-AS176+AU176,0)</f>
        <v>0</v>
      </c>
      <c r="AX176" s="6"/>
      <c r="AY176" s="21">
        <f t="shared" si="23"/>
        <v>24072.18</v>
      </c>
      <c r="AZ176" s="6"/>
      <c r="BA176" s="21">
        <f>O176-AS176-AW176</f>
        <v>-0.18000000000029104</v>
      </c>
      <c r="BB176" s="34"/>
      <c r="BC176" s="21"/>
    </row>
    <row r="177" spans="1:55" x14ac:dyDescent="0.2">
      <c r="A177" s="112" t="s">
        <v>485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2">
        <f t="shared" si="25"/>
        <v>-15668.37</v>
      </c>
      <c r="AU177" s="173"/>
      <c r="AW177" s="21">
        <f>IF(+O177-AS177+AU177&gt;0,O177-AS177+AU177,0)</f>
        <v>0.37000000000080036</v>
      </c>
      <c r="AX177" s="6"/>
      <c r="AY177" s="21">
        <f t="shared" si="23"/>
        <v>-15668</v>
      </c>
      <c r="AZ177" s="6"/>
      <c r="BA177" s="21">
        <f>O177-AS177-AW177</f>
        <v>0</v>
      </c>
      <c r="BB177" s="34"/>
      <c r="BC177" s="21"/>
    </row>
    <row r="178" spans="1:55" x14ac:dyDescent="0.2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72"/>
      <c r="AU178" s="173"/>
      <c r="AW178" s="21"/>
      <c r="AX178" s="6"/>
      <c r="AY178" s="21"/>
      <c r="AZ178" s="6"/>
      <c r="BA178" s="21"/>
      <c r="BB178" s="34"/>
      <c r="BC178" s="21"/>
    </row>
    <row r="179" spans="1:55" x14ac:dyDescent="0.2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1373932.9999999998</v>
      </c>
      <c r="AP179" s="16"/>
      <c r="AQ179" s="107">
        <f>SUM(AQ145:AQ177)+AQ143-AQ153-AQ166-AQ147-AQ157</f>
        <v>56702.119999999995</v>
      </c>
      <c r="AS179" s="107">
        <f>SUM(AS145:AS177)+AS143-AS153-AS166-AS147-AS157</f>
        <v>141302816.01999998</v>
      </c>
      <c r="AU179" s="15">
        <f>SUM(AU145:AU174)+AU143-AU153-AU166-AU147-AU157</f>
        <v>3053555.33</v>
      </c>
      <c r="AW179" s="107">
        <f>SUM(AW145:AW177)+AW143-AW153-AW166-AW147-AW157</f>
        <v>4185738.2839999949</v>
      </c>
      <c r="AX179" s="6"/>
      <c r="AY179" s="107">
        <f>SUM(AY145:AY177)+AY143-AY153-AY166-AY147-AY157</f>
        <v>145488554.30399996</v>
      </c>
      <c r="AZ179" s="6"/>
      <c r="BA179" s="107">
        <f>SUM(BA145:BA177)+BA143-BA153-BA166-BA147-BA157</f>
        <v>-19765790.31284558</v>
      </c>
      <c r="BB179" s="12"/>
      <c r="BC179" s="15"/>
    </row>
    <row r="180" spans="1:55" x14ac:dyDescent="0.2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29"/>
      <c r="AU180" s="141"/>
      <c r="AW180" s="15"/>
      <c r="AX180" s="6"/>
      <c r="AY180" s="15"/>
      <c r="AZ180" s="6"/>
      <c r="BA180" s="15"/>
      <c r="BB180" s="15"/>
      <c r="BC180" s="15"/>
    </row>
    <row r="181" spans="1:55" x14ac:dyDescent="0.2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29"/>
      <c r="AU181" s="141"/>
      <c r="AW181" s="15"/>
      <c r="AX181" s="6"/>
      <c r="AY181" s="15"/>
      <c r="AZ181" s="6"/>
      <c r="BA181" s="15"/>
      <c r="BB181" s="15"/>
      <c r="BC181" s="15"/>
    </row>
    <row r="182" spans="1:55" x14ac:dyDescent="0.2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29"/>
      <c r="AU182" s="141"/>
      <c r="AW182" s="15"/>
      <c r="AX182" s="6"/>
      <c r="AY182" s="15"/>
      <c r="AZ182" s="6"/>
      <c r="BA182" s="15"/>
      <c r="BB182" s="15"/>
      <c r="BC182" s="15"/>
    </row>
    <row r="183" spans="1:55" x14ac:dyDescent="0.2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S183" s="45">
        <f t="shared" ref="AS183:AS188" si="26">SUM(P183:AR183)</f>
        <v>889583.33</v>
      </c>
      <c r="AU183" s="141">
        <v>-193750</v>
      </c>
      <c r="AW183" s="45">
        <f>IF(+O183-AS183+AU183&gt;0,O183-AS183+AU183,0)</f>
        <v>0</v>
      </c>
      <c r="AX183" s="6"/>
      <c r="AY183" s="45">
        <f t="shared" si="23"/>
        <v>889583.33</v>
      </c>
      <c r="AZ183" s="6"/>
      <c r="BA183" s="8">
        <f t="shared" ref="BA183:BA188" si="27">O183-AS183-AW183</f>
        <v>110416.67000000004</v>
      </c>
      <c r="BB183" s="12"/>
      <c r="BC183" s="15"/>
    </row>
    <row r="184" spans="1:55" x14ac:dyDescent="0.2">
      <c r="A184" s="112"/>
      <c r="B184" s="19" t="s">
        <v>332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45">
        <f t="shared" si="26"/>
        <v>55979.166666666664</v>
      </c>
      <c r="AU184" s="173">
        <v>0</v>
      </c>
      <c r="AW184" s="45">
        <f>IF(+O184-AS184+AU184&gt;0,O184-AS184+AU184,0)</f>
        <v>0</v>
      </c>
      <c r="AX184" s="6"/>
      <c r="AY184" s="45">
        <f t="shared" si="23"/>
        <v>55979.166666666664</v>
      </c>
      <c r="AZ184" s="6"/>
      <c r="BA184" s="8">
        <f t="shared" si="27"/>
        <v>-55979.166666666664</v>
      </c>
      <c r="BB184" s="12"/>
      <c r="BC184" s="15"/>
    </row>
    <row r="185" spans="1:55" x14ac:dyDescent="0.2">
      <c r="A185" s="112"/>
      <c r="B185" s="19" t="s">
        <v>333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45">
        <f t="shared" si="26"/>
        <v>85866.66333333333</v>
      </c>
      <c r="AU185" s="173">
        <v>352817</v>
      </c>
      <c r="AW185" s="45">
        <v>0</v>
      </c>
      <c r="AX185" s="6"/>
      <c r="AY185" s="45">
        <f t="shared" si="23"/>
        <v>85866.66333333333</v>
      </c>
      <c r="AZ185" s="6"/>
      <c r="BA185" s="8">
        <f t="shared" si="27"/>
        <v>-85866.66333333333</v>
      </c>
      <c r="BB185" s="12"/>
      <c r="BC185" s="15"/>
    </row>
    <row r="186" spans="1:55" x14ac:dyDescent="0.2">
      <c r="A186" s="112"/>
      <c r="B186" s="19" t="s">
        <v>334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45">
        <f t="shared" si="26"/>
        <v>3333.3333333333335</v>
      </c>
      <c r="AU186" s="173">
        <v>0</v>
      </c>
      <c r="AW186" s="45">
        <f>IF(+O186-AS186+AU186&gt;0,O186-AS186+AU186,0)</f>
        <v>0</v>
      </c>
      <c r="AX186" s="6"/>
      <c r="AY186" s="45">
        <f t="shared" si="23"/>
        <v>3333.3333333333335</v>
      </c>
      <c r="AZ186" s="6"/>
      <c r="BA186" s="8">
        <f t="shared" si="27"/>
        <v>-3333.3333333333335</v>
      </c>
      <c r="BB186" s="12"/>
      <c r="BC186" s="15"/>
    </row>
    <row r="187" spans="1:55" x14ac:dyDescent="0.2">
      <c r="A187" s="112"/>
      <c r="B187" s="19" t="s">
        <v>520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45">
        <f t="shared" si="26"/>
        <v>0</v>
      </c>
      <c r="AU187" s="173"/>
      <c r="AW187" s="45">
        <f>IF(+O187-AS187+AU187&gt;0,O187-AS187+AU187,0)</f>
        <v>0</v>
      </c>
      <c r="AX187" s="6"/>
      <c r="AY187" s="45">
        <f t="shared" si="23"/>
        <v>0</v>
      </c>
      <c r="AZ187" s="6"/>
      <c r="BA187" s="8">
        <f t="shared" si="27"/>
        <v>0</v>
      </c>
      <c r="BB187" s="12"/>
      <c r="BC187" s="15"/>
    </row>
    <row r="188" spans="1:55" x14ac:dyDescent="0.2">
      <c r="A188" s="112"/>
      <c r="B188" s="19" t="s">
        <v>370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45">
        <f t="shared" si="26"/>
        <v>119007.20999999999</v>
      </c>
      <c r="AU188" s="144">
        <f>25000+4207+4787</f>
        <v>33994</v>
      </c>
      <c r="AW188" s="45">
        <v>0</v>
      </c>
      <c r="AX188" s="6"/>
      <c r="AY188" s="45">
        <f t="shared" si="23"/>
        <v>119007.20999999999</v>
      </c>
      <c r="AZ188" s="6"/>
      <c r="BA188" s="8">
        <f t="shared" si="27"/>
        <v>-119007.20999999999</v>
      </c>
      <c r="BB188" s="12"/>
      <c r="BC188" s="8" t="s">
        <v>336</v>
      </c>
    </row>
    <row r="189" spans="1:55" x14ac:dyDescent="0.2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107679.56</v>
      </c>
      <c r="AS189" s="181">
        <f>SUBTOTAL(9,AS183:AS188)</f>
        <v>1153769.7033333334</v>
      </c>
      <c r="AU189" s="173">
        <f>SUBTOTAL(9,AU183:AU188)</f>
        <v>193061</v>
      </c>
      <c r="AW189" s="181">
        <f>SUBTOTAL(9,AW183:AW188)</f>
        <v>0</v>
      </c>
      <c r="AX189" s="6"/>
      <c r="AY189" s="181">
        <f t="shared" si="23"/>
        <v>1153769.7033333334</v>
      </c>
      <c r="AZ189" s="6"/>
      <c r="BA189" s="181">
        <f>SUBTOTAL(9,BA183:BA188)</f>
        <v>-153769.70333333328</v>
      </c>
      <c r="BB189" s="12"/>
      <c r="BC189" s="15"/>
    </row>
    <row r="190" spans="1:55" x14ac:dyDescent="0.2">
      <c r="A190" s="113"/>
      <c r="B190" s="31"/>
      <c r="C190" s="114"/>
      <c r="AS190" s="45"/>
      <c r="AX190" s="6"/>
      <c r="AZ190" s="6"/>
      <c r="BB190" s="8"/>
      <c r="BC190" s="8"/>
    </row>
    <row r="191" spans="1:55" x14ac:dyDescent="0.2">
      <c r="A191" s="121" t="s">
        <v>328</v>
      </c>
      <c r="B191" s="31"/>
      <c r="C191" s="114" t="s">
        <v>0</v>
      </c>
      <c r="G191" s="7" t="s">
        <v>330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45">
        <f>SUM(P191:AR191)</f>
        <v>62709.15</v>
      </c>
      <c r="AU191" s="141">
        <v>-826</v>
      </c>
      <c r="AW191" s="15">
        <f>IF(+O191-AS191+AU191&gt;0,O191-AS191+AU191,0)</f>
        <v>0</v>
      </c>
      <c r="AX191" s="6"/>
      <c r="AY191" s="15">
        <f t="shared" ref="AY191:AY218" si="28">+AW191+AS191</f>
        <v>62709.15</v>
      </c>
      <c r="AZ191" s="6"/>
      <c r="BA191" s="8">
        <f>O191-AS191-AW191</f>
        <v>826</v>
      </c>
      <c r="BB191" s="12"/>
      <c r="BC191" s="8"/>
    </row>
    <row r="192" spans="1:55" x14ac:dyDescent="0.2">
      <c r="A192" s="113"/>
      <c r="B192" s="31"/>
      <c r="C192" s="114"/>
      <c r="AS192" s="45"/>
      <c r="AX192" s="6"/>
      <c r="AZ192" s="6"/>
      <c r="BB192" s="8"/>
      <c r="BC192" s="8"/>
    </row>
    <row r="193" spans="1:55" x14ac:dyDescent="0.2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S193" s="45"/>
      <c r="AX193" s="6"/>
      <c r="AY193" s="8">
        <f t="shared" si="28"/>
        <v>0</v>
      </c>
      <c r="AZ193" s="6"/>
      <c r="BB193" s="8"/>
      <c r="BC193" s="8"/>
    </row>
    <row r="194" spans="1:55" x14ac:dyDescent="0.2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S194" s="45">
        <f t="shared" ref="AS194:AS204" si="29">SUM(P194:AR194)</f>
        <v>52307.299999999996</v>
      </c>
      <c r="AX194" s="6"/>
      <c r="AY194" s="8">
        <f t="shared" si="28"/>
        <v>52307.299999999996</v>
      </c>
      <c r="AZ194" s="6"/>
      <c r="BB194" s="8"/>
      <c r="BC194" s="8"/>
    </row>
    <row r="195" spans="1:55" x14ac:dyDescent="0.2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S195" s="45">
        <f t="shared" si="29"/>
        <v>5024</v>
      </c>
      <c r="AX195" s="6"/>
      <c r="AY195" s="8">
        <f t="shared" si="28"/>
        <v>5024</v>
      </c>
      <c r="AZ195" s="6"/>
      <c r="BB195" s="12"/>
      <c r="BC195" s="8"/>
    </row>
    <row r="196" spans="1:55" x14ac:dyDescent="0.2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S196" s="45">
        <f t="shared" si="29"/>
        <v>42373.19</v>
      </c>
      <c r="AX196" s="6"/>
      <c r="AY196" s="8">
        <f t="shared" si="28"/>
        <v>42373.19</v>
      </c>
      <c r="AZ196" s="6"/>
      <c r="BB196" s="12"/>
      <c r="BC196" s="8"/>
    </row>
    <row r="197" spans="1:55" x14ac:dyDescent="0.2">
      <c r="A197" s="112"/>
      <c r="B197" s="19" t="s">
        <v>506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S197" s="45">
        <f t="shared" si="29"/>
        <v>225234.77000000002</v>
      </c>
      <c r="AX197" s="6"/>
      <c r="AY197" s="8">
        <f t="shared" si="28"/>
        <v>225234.77000000002</v>
      </c>
      <c r="AZ197" s="6"/>
      <c r="BB197" s="12"/>
      <c r="BC197" s="8"/>
    </row>
    <row r="198" spans="1:55" x14ac:dyDescent="0.2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S198" s="45">
        <f t="shared" si="29"/>
        <v>147575.69</v>
      </c>
      <c r="AX198" s="6"/>
      <c r="AY198" s="8">
        <f t="shared" si="28"/>
        <v>147575.69</v>
      </c>
      <c r="AZ198" s="6"/>
      <c r="BB198" s="12"/>
      <c r="BC198" s="8" t="s">
        <v>126</v>
      </c>
    </row>
    <row r="199" spans="1:55" x14ac:dyDescent="0.2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S199" s="45">
        <f t="shared" si="29"/>
        <v>415.84999999999854</v>
      </c>
      <c r="AX199" s="6"/>
      <c r="AY199" s="8">
        <f t="shared" si="28"/>
        <v>415.84999999999854</v>
      </c>
      <c r="AZ199" s="6"/>
      <c r="BB199" s="12"/>
      <c r="BC199" s="8"/>
    </row>
    <row r="200" spans="1:55" x14ac:dyDescent="0.2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S200" s="45">
        <f t="shared" si="29"/>
        <v>18003.849999999999</v>
      </c>
      <c r="AX200" s="6"/>
      <c r="AY200" s="8">
        <f t="shared" si="28"/>
        <v>18003.849999999999</v>
      </c>
      <c r="AZ200" s="6"/>
      <c r="BB200" s="12"/>
      <c r="BC200" s="8"/>
    </row>
    <row r="201" spans="1:55" x14ac:dyDescent="0.2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S201" s="45">
        <f t="shared" si="29"/>
        <v>47453.27</v>
      </c>
      <c r="AX201" s="6"/>
      <c r="AY201" s="8">
        <f t="shared" si="28"/>
        <v>47453.27</v>
      </c>
      <c r="AZ201" s="6"/>
      <c r="BB201" s="12"/>
      <c r="BC201" s="8"/>
    </row>
    <row r="202" spans="1:55" x14ac:dyDescent="0.2">
      <c r="A202" s="112"/>
      <c r="B202" s="19" t="s">
        <v>335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S202" s="45">
        <f t="shared" si="29"/>
        <v>99486.93</v>
      </c>
      <c r="AX202" s="6"/>
      <c r="AY202" s="8">
        <f t="shared" si="28"/>
        <v>99486.93</v>
      </c>
      <c r="AZ202" s="6"/>
      <c r="BB202" s="12"/>
      <c r="BC202" s="8"/>
    </row>
    <row r="203" spans="1:55" x14ac:dyDescent="0.2">
      <c r="A203" s="112"/>
      <c r="B203" s="19" t="s">
        <v>539</v>
      </c>
      <c r="C203" s="114"/>
      <c r="K203" s="6"/>
      <c r="M203" s="6"/>
      <c r="O203" s="6"/>
      <c r="V203" s="12"/>
      <c r="X203" s="12"/>
      <c r="Z203" s="12"/>
      <c r="AB203" s="12"/>
      <c r="AD203" s="12"/>
      <c r="AS203" s="45">
        <f t="shared" si="29"/>
        <v>0</v>
      </c>
      <c r="AX203" s="6"/>
      <c r="AY203" s="8">
        <f t="shared" si="28"/>
        <v>0</v>
      </c>
      <c r="AZ203" s="6"/>
      <c r="BB203" s="12"/>
      <c r="BC203" s="8"/>
    </row>
    <row r="204" spans="1:55" x14ac:dyDescent="0.2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45">
        <f t="shared" si="29"/>
        <v>307</v>
      </c>
      <c r="AU204" s="144"/>
      <c r="AW204" s="14"/>
      <c r="AX204" s="6"/>
      <c r="AY204" s="14">
        <f t="shared" si="28"/>
        <v>307</v>
      </c>
      <c r="AZ204" s="6"/>
      <c r="BA204" s="14"/>
      <c r="BB204" s="21"/>
      <c r="BC204" s="8"/>
    </row>
    <row r="205" spans="1:55" x14ac:dyDescent="0.2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08">
        <f>SUBTOTAL(9,AS194:AS204)</f>
        <v>638181.84999999986</v>
      </c>
      <c r="AU205" s="141">
        <f>SUBTOTAL(9,AU194:AU204)</f>
        <v>0</v>
      </c>
      <c r="AW205" s="15">
        <f>IF(+O205-AS205+AU205&gt;0,O205-AS205+AU205,0)</f>
        <v>0</v>
      </c>
      <c r="AX205" s="6"/>
      <c r="AY205" s="15">
        <f t="shared" si="28"/>
        <v>638181.84999999986</v>
      </c>
      <c r="AZ205" s="6"/>
      <c r="BA205" s="8">
        <f>O205-AS205-AW205</f>
        <v>-338181.84999999986</v>
      </c>
      <c r="BB205" s="12"/>
      <c r="BC205" s="8"/>
    </row>
    <row r="206" spans="1:55" x14ac:dyDescent="0.2">
      <c r="A206" s="112"/>
      <c r="B206" s="19"/>
      <c r="C206" s="114"/>
      <c r="K206" s="6"/>
      <c r="M206" s="6"/>
      <c r="O206" s="6"/>
      <c r="AS206" s="45"/>
      <c r="AX206" s="6"/>
      <c r="AZ206" s="6"/>
      <c r="BB206" s="8"/>
      <c r="BC206" s="8"/>
    </row>
    <row r="207" spans="1:55" x14ac:dyDescent="0.2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2"/>
      <c r="AU207" s="173"/>
      <c r="AW207" s="21"/>
      <c r="AX207" s="6"/>
      <c r="AY207" s="21"/>
      <c r="AZ207" s="6"/>
      <c r="BA207" s="21"/>
      <c r="BB207" s="21"/>
      <c r="BC207" s="21"/>
    </row>
    <row r="208" spans="1:55" x14ac:dyDescent="0.2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45">
        <f t="shared" ref="AS208:AS213" si="30">SUM(P208:AR208)</f>
        <v>5126.21</v>
      </c>
      <c r="AU208" s="173"/>
      <c r="AW208" s="21"/>
      <c r="AX208" s="6"/>
      <c r="AY208" s="21">
        <f t="shared" si="28"/>
        <v>5126.21</v>
      </c>
      <c r="AZ208" s="6"/>
      <c r="BA208" s="21"/>
      <c r="BB208" s="21"/>
      <c r="BC208" s="21"/>
    </row>
    <row r="209" spans="1:56" x14ac:dyDescent="0.2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S209" s="45">
        <f t="shared" si="30"/>
        <v>178829.97</v>
      </c>
      <c r="AX209" s="6"/>
      <c r="AY209" s="8">
        <f t="shared" si="28"/>
        <v>178829.97</v>
      </c>
      <c r="AZ209" s="6"/>
      <c r="BB209" s="12"/>
      <c r="BC209" s="21"/>
    </row>
    <row r="210" spans="1:56" x14ac:dyDescent="0.2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S210" s="45">
        <f t="shared" si="30"/>
        <v>0</v>
      </c>
      <c r="AX210" s="6"/>
      <c r="AY210" s="8">
        <f t="shared" si="28"/>
        <v>0</v>
      </c>
      <c r="AZ210" s="6"/>
      <c r="BB210" s="12"/>
      <c r="BC210" s="21"/>
    </row>
    <row r="211" spans="1:56" x14ac:dyDescent="0.2">
      <c r="A211" s="112"/>
      <c r="B211" s="19" t="s">
        <v>325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S211" s="45">
        <f t="shared" si="30"/>
        <v>5964.94</v>
      </c>
      <c r="AX211" s="6"/>
      <c r="AY211" s="8">
        <f t="shared" si="28"/>
        <v>5964.94</v>
      </c>
      <c r="AZ211" s="6"/>
      <c r="BB211" s="12"/>
      <c r="BC211" s="21"/>
    </row>
    <row r="212" spans="1:56" x14ac:dyDescent="0.2">
      <c r="A212" s="112"/>
      <c r="B212" s="19" t="s">
        <v>335</v>
      </c>
      <c r="C212" s="114"/>
      <c r="K212" s="21"/>
      <c r="M212" s="21"/>
      <c r="O212" s="21"/>
      <c r="Q212" s="143">
        <v>0</v>
      </c>
      <c r="V212" s="12"/>
      <c r="W212" s="143">
        <v>133167</v>
      </c>
      <c r="X212" s="12"/>
      <c r="Z212" s="12"/>
      <c r="AB212" s="12"/>
      <c r="AC212" s="143">
        <f>7285.44+70.62-91.29</f>
        <v>7264.7699999999995</v>
      </c>
      <c r="AD212" s="12"/>
      <c r="AG212" s="143">
        <f>4433.7+3681+610+12507.56</f>
        <v>21232.260000000002</v>
      </c>
      <c r="AK212" s="143">
        <f>2747.71+316.3</f>
        <v>3064.01</v>
      </c>
      <c r="AM212" s="143">
        <f>532.87+2141.83+299.21</f>
        <v>2973.91</v>
      </c>
      <c r="AO212" s="143">
        <v>2233.33</v>
      </c>
      <c r="AS212" s="45">
        <f t="shared" si="30"/>
        <v>169935.28</v>
      </c>
      <c r="AX212" s="6"/>
      <c r="AY212" s="8">
        <f t="shared" si="28"/>
        <v>169935.28</v>
      </c>
      <c r="AZ212" s="6"/>
      <c r="BB212" s="12"/>
      <c r="BC212" s="21"/>
    </row>
    <row r="213" spans="1:56" x14ac:dyDescent="0.2">
      <c r="A213" s="112"/>
      <c r="B213" s="19" t="s">
        <v>107</v>
      </c>
      <c r="C213" s="114"/>
      <c r="K213" s="14"/>
      <c r="M213" s="14"/>
      <c r="O213" s="14"/>
      <c r="Q213" s="144">
        <f>696.51+80.17+4421.02+2229.14+2089.52+240.5+6687.43+3737.58+7511.74</f>
        <v>27693.61</v>
      </c>
      <c r="R213" s="235"/>
      <c r="S213" s="144"/>
      <c r="T213" s="235"/>
      <c r="U213" s="144">
        <f>4398.29+1099.57</f>
        <v>5497.86</v>
      </c>
      <c r="V213" s="34"/>
      <c r="W213" s="144"/>
      <c r="X213" s="34"/>
      <c r="Y213" s="144"/>
      <c r="Z213" s="34"/>
      <c r="AA213" s="144"/>
      <c r="AB213" s="34"/>
      <c r="AC213" s="144">
        <f>1811.08+3575.02+11710.69+119286.95</f>
        <v>136383.74</v>
      </c>
      <c r="AD213" s="34"/>
      <c r="AE213" s="144"/>
      <c r="AF213" s="173"/>
      <c r="AG213" s="144"/>
      <c r="AH213" s="173"/>
      <c r="AI213" s="144"/>
      <c r="AJ213" s="173"/>
      <c r="AK213" s="144">
        <f>3574.3+2014.19</f>
        <v>5588.49</v>
      </c>
      <c r="AL213" s="144"/>
      <c r="AM213" s="144"/>
      <c r="AN213" s="173"/>
      <c r="AO213" s="144">
        <v>3946.28</v>
      </c>
      <c r="AP213" s="173"/>
      <c r="AQ213" s="144"/>
      <c r="AS213" s="45">
        <f t="shared" si="30"/>
        <v>179109.97999999998</v>
      </c>
      <c r="AU213" s="144"/>
      <c r="AW213" s="14"/>
      <c r="AX213" s="6"/>
      <c r="AY213" s="14">
        <f t="shared" si="28"/>
        <v>179109.97999999998</v>
      </c>
      <c r="AZ213" s="6"/>
      <c r="BA213" s="14"/>
      <c r="BB213" s="34"/>
      <c r="BC213" s="21"/>
    </row>
    <row r="214" spans="1:56" x14ac:dyDescent="0.2">
      <c r="A214" s="112"/>
      <c r="B214" s="19" t="s">
        <v>128</v>
      </c>
      <c r="C214" s="114"/>
      <c r="K214" s="16">
        <v>850000</v>
      </c>
      <c r="M214" s="16">
        <v>-550000</v>
      </c>
      <c r="O214" s="16">
        <f>SUM(K214:N214)</f>
        <v>300000</v>
      </c>
      <c r="Q214" s="141">
        <f>SUBTOTAL(9,Q208:Q213)</f>
        <v>112430.84000000001</v>
      </c>
      <c r="R214" s="231"/>
      <c r="S214" s="141">
        <f>SUBTOTAL(9,S208:S213)</f>
        <v>0</v>
      </c>
      <c r="T214" s="231"/>
      <c r="U214" s="141">
        <f>SUBTOTAL(9,U208:U213)</f>
        <v>5497.86</v>
      </c>
      <c r="V214" s="30"/>
      <c r="W214" s="141">
        <f>SUBTOTAL(9,W208:W213)</f>
        <v>133167</v>
      </c>
      <c r="X214" s="30"/>
      <c r="Y214" s="141">
        <f>SUBTOTAL(9,Y208:Y213)</f>
        <v>0</v>
      </c>
      <c r="Z214" s="30"/>
      <c r="AA214" s="141">
        <f>SUBTOTAL(9,AA208:AA213)</f>
        <v>0</v>
      </c>
      <c r="AB214" s="30"/>
      <c r="AC214" s="141">
        <f>SUBTOTAL(9,AC208:AC213)</f>
        <v>190115.28999999998</v>
      </c>
      <c r="AD214" s="30"/>
      <c r="AE214" s="141">
        <f>SUBTOTAL(9,AE208:AE213)</f>
        <v>0</v>
      </c>
      <c r="AF214" s="141"/>
      <c r="AG214" s="141">
        <f>SUBTOTAL(9,AG208:AG213)</f>
        <v>54870.5</v>
      </c>
      <c r="AH214" s="141"/>
      <c r="AI214" s="141">
        <f>SUBTOTAL(9,AI208:AI213)</f>
        <v>0</v>
      </c>
      <c r="AJ214" s="141"/>
      <c r="AK214" s="141">
        <f>SUBTOTAL(9,AK208:AK213)</f>
        <v>33731.369999999995</v>
      </c>
      <c r="AL214" s="141"/>
      <c r="AM214" s="141">
        <f>SUBTOTAL(9,AM208:AM213)</f>
        <v>2973.91</v>
      </c>
      <c r="AN214" s="141"/>
      <c r="AO214" s="141">
        <f>SUBTOTAL(9,AO208:AO213)</f>
        <v>6179.6100000000006</v>
      </c>
      <c r="AP214" s="141"/>
      <c r="AQ214" s="141">
        <f>SUBTOTAL(9,AQ208:AQ213)</f>
        <v>0</v>
      </c>
      <c r="AS214" s="108">
        <f>SUBTOTAL(9,AS208:AS213)</f>
        <v>538966.38</v>
      </c>
      <c r="AU214" s="141">
        <f>SUBTOTAL(9,AU208:AU213)</f>
        <v>0</v>
      </c>
      <c r="AW214" s="16">
        <f>IF(+O214-AS214+AU214&gt;0,O214-AS214+AU214,0)</f>
        <v>0</v>
      </c>
      <c r="AX214" s="6"/>
      <c r="AY214" s="16">
        <f t="shared" si="28"/>
        <v>538966.38</v>
      </c>
      <c r="AZ214" s="6"/>
      <c r="BA214" s="8">
        <f>O214-AS214-AW214</f>
        <v>-238966.38</v>
      </c>
      <c r="BB214" s="12"/>
      <c r="BC214" s="21"/>
    </row>
    <row r="215" spans="1:56" x14ac:dyDescent="0.2">
      <c r="A215" s="112"/>
      <c r="B215" s="19"/>
      <c r="C215" s="114"/>
      <c r="K215" s="21"/>
      <c r="M215" s="21"/>
      <c r="O215" s="21"/>
      <c r="Q215" s="173"/>
      <c r="R215" s="235"/>
      <c r="S215" s="173"/>
      <c r="T215" s="235"/>
      <c r="U215" s="173"/>
      <c r="V215" s="21"/>
      <c r="W215" s="173"/>
      <c r="X215" s="21"/>
      <c r="Y215" s="173"/>
      <c r="Z215" s="21"/>
      <c r="AA215" s="173"/>
      <c r="AB215" s="21"/>
      <c r="AC215" s="173"/>
      <c r="AD215" s="21"/>
      <c r="AE215" s="173"/>
      <c r="AF215" s="173"/>
      <c r="AG215" s="173"/>
      <c r="AH215" s="173"/>
      <c r="AI215" s="173"/>
      <c r="AJ215" s="173"/>
      <c r="AK215" s="173"/>
      <c r="AL215" s="173"/>
      <c r="AM215" s="173"/>
      <c r="AN215" s="173"/>
      <c r="AO215" s="173"/>
      <c r="AP215" s="173"/>
      <c r="AQ215" s="173"/>
      <c r="AS215" s="172"/>
      <c r="AU215" s="173"/>
      <c r="AW215" s="21"/>
      <c r="AX215" s="6"/>
      <c r="AY215" s="21"/>
      <c r="AZ215" s="6"/>
      <c r="BA215" s="21"/>
      <c r="BB215" s="21"/>
      <c r="BC215" s="21"/>
    </row>
    <row r="216" spans="1:56" x14ac:dyDescent="0.2">
      <c r="A216" s="112" t="s">
        <v>365</v>
      </c>
      <c r="B216" s="19"/>
      <c r="C216" s="114" t="s">
        <v>0</v>
      </c>
      <c r="G216" s="7" t="s">
        <v>366</v>
      </c>
      <c r="K216" s="15">
        <v>0</v>
      </c>
      <c r="M216" s="15">
        <v>1000000</v>
      </c>
      <c r="O216" s="15">
        <f>SUM(K216:N216)</f>
        <v>1000000</v>
      </c>
      <c r="Q216" s="134">
        <v>0</v>
      </c>
      <c r="S216" s="134">
        <v>0</v>
      </c>
      <c r="U216" s="134">
        <v>0</v>
      </c>
      <c r="W216" s="134"/>
      <c r="X216" s="131"/>
      <c r="Y216" s="134"/>
      <c r="Z216" s="131"/>
      <c r="AA216" s="134">
        <v>50000</v>
      </c>
      <c r="AB216" s="131"/>
      <c r="AC216" s="134">
        <v>54683.74</v>
      </c>
      <c r="AD216" s="131"/>
      <c r="AE216" s="134">
        <f>-50000+181581</f>
        <v>131581</v>
      </c>
      <c r="AF216" s="134"/>
      <c r="AG216" s="134">
        <v>138751</v>
      </c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8">
        <f>SUM(P216:AR216)</f>
        <v>375015.74</v>
      </c>
      <c r="AU216" s="134">
        <v>-650000</v>
      </c>
      <c r="AW216" s="8">
        <f>IF(+O216-AS216+AU216&gt;0,O216-AS216+AU216,0)</f>
        <v>0</v>
      </c>
      <c r="AX216" s="6"/>
      <c r="AY216" s="8">
        <f t="shared" si="28"/>
        <v>375015.74</v>
      </c>
      <c r="AZ216" s="6"/>
      <c r="BA216" s="8">
        <f>O216-AS216-AW216</f>
        <v>624984.26</v>
      </c>
    </row>
    <row r="217" spans="1:56" x14ac:dyDescent="0.2">
      <c r="A217" s="112"/>
      <c r="B217" s="19"/>
      <c r="C217" s="114"/>
      <c r="K217" s="21"/>
      <c r="M217" s="21"/>
      <c r="O217" s="21"/>
      <c r="Q217" s="173"/>
      <c r="R217" s="235"/>
      <c r="S217" s="173"/>
      <c r="T217" s="235"/>
      <c r="U217" s="173"/>
      <c r="V217" s="21"/>
      <c r="W217" s="173"/>
      <c r="X217" s="21"/>
      <c r="Y217" s="173"/>
      <c r="Z217" s="21"/>
      <c r="AA217" s="173"/>
      <c r="AB217" s="21"/>
      <c r="AC217" s="173"/>
      <c r="AD217" s="21"/>
      <c r="AE217" s="173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S217" s="172"/>
      <c r="AU217" s="173"/>
      <c r="AW217" s="21"/>
      <c r="AX217" s="6"/>
      <c r="AY217" s="21"/>
      <c r="AZ217" s="6"/>
      <c r="BA217" s="21"/>
      <c r="BB217" s="21"/>
      <c r="BC217" s="21"/>
    </row>
    <row r="218" spans="1:56" x14ac:dyDescent="0.2">
      <c r="A218" s="113"/>
      <c r="B218" s="166" t="s">
        <v>108</v>
      </c>
      <c r="C218" s="114"/>
      <c r="G218" s="6"/>
      <c r="K218" s="15">
        <f>K214+K205+K189+K191+K216</f>
        <v>2850000</v>
      </c>
      <c r="M218" s="15">
        <f>M214+M205+M189+M191+M216</f>
        <v>-186464.85000000009</v>
      </c>
      <c r="O218" s="15">
        <f>O214+O205+O189+O191+O216</f>
        <v>2663535.15</v>
      </c>
      <c r="Q218" s="141">
        <f>Q214+Q205+Q189+Q191+Q216</f>
        <v>361366.52</v>
      </c>
      <c r="R218" s="231"/>
      <c r="S218" s="141">
        <f>S214+S205+S189+S191+S216</f>
        <v>69820.943333333329</v>
      </c>
      <c r="T218" s="231"/>
      <c r="U218" s="141">
        <f>U214+U205+U189+U191+U216</f>
        <v>845882.42</v>
      </c>
      <c r="V218" s="15"/>
      <c r="W218" s="141">
        <f>W214+W205+W189+W191+W216</f>
        <v>137965.43</v>
      </c>
      <c r="X218" s="15"/>
      <c r="Y218" s="141">
        <f>Y214+Y205+Y189+Y191+Y216</f>
        <v>-13959.160000000002</v>
      </c>
      <c r="Z218" s="15"/>
      <c r="AA218" s="141">
        <f>AA214+AA205+AA189+AA191+AA216</f>
        <v>54496.99</v>
      </c>
      <c r="AB218" s="15"/>
      <c r="AC218" s="141">
        <f>AC214+AC205+AC189+AC191+AC216</f>
        <v>476723.32</v>
      </c>
      <c r="AD218" s="15"/>
      <c r="AE218" s="141">
        <f>AE214+AE205+AE189+AE191+AE216</f>
        <v>174393.63</v>
      </c>
      <c r="AF218" s="141"/>
      <c r="AG218" s="141">
        <f>AG214+AG205+AG189+AG191+AG216</f>
        <v>282662.29000000004</v>
      </c>
      <c r="AH218" s="141"/>
      <c r="AI218" s="141">
        <f>AI214+AI205+AI189+AI191+AI216</f>
        <v>78710.03</v>
      </c>
      <c r="AJ218" s="141"/>
      <c r="AK218" s="141">
        <f>AK214+AK205+AK189+AK191+AK216</f>
        <v>88957.17</v>
      </c>
      <c r="AL218" s="141"/>
      <c r="AM218" s="141">
        <f>AM214+AM205+AM189+AM191+AM216</f>
        <v>11068.16</v>
      </c>
      <c r="AN218" s="141"/>
      <c r="AO218" s="141">
        <f>AO214+AO205+AO189+AO191+AO216</f>
        <v>92875.520000000004</v>
      </c>
      <c r="AP218" s="141"/>
      <c r="AQ218" s="141">
        <f>AQ214+AQ205+AQ189+AQ191+AQ216</f>
        <v>107679.56</v>
      </c>
      <c r="AS218" s="29">
        <f>AS214+AS205+AS189+AS191+AS216</f>
        <v>2768642.8233333332</v>
      </c>
      <c r="AU218" s="141">
        <f>AU214+AU205+AU189+AU191+AU216</f>
        <v>-457765</v>
      </c>
      <c r="AW218" s="29">
        <f>AW214+AW205+AW189+AW191+AW216</f>
        <v>0</v>
      </c>
      <c r="AX218" s="6"/>
      <c r="AY218" s="29">
        <f t="shared" si="28"/>
        <v>2768642.8233333332</v>
      </c>
      <c r="AZ218" s="6"/>
      <c r="BA218" s="29">
        <f>BA214+BA205+BA189+BA191+BA216</f>
        <v>-105107.67333333311</v>
      </c>
      <c r="BB218" s="15"/>
      <c r="BC218" s="15"/>
    </row>
    <row r="219" spans="1:56" x14ac:dyDescent="0.2">
      <c r="A219" s="113"/>
      <c r="B219" s="162"/>
      <c r="C219" s="114"/>
      <c r="G219" s="6"/>
      <c r="K219" s="15"/>
      <c r="M219" s="15"/>
      <c r="O219" s="15"/>
      <c r="Q219" s="141"/>
      <c r="R219" s="231"/>
      <c r="S219" s="141"/>
      <c r="T219" s="231"/>
      <c r="U219" s="141"/>
      <c r="V219" s="15"/>
      <c r="W219" s="141"/>
      <c r="X219" s="15"/>
      <c r="Y219" s="141"/>
      <c r="Z219" s="15"/>
      <c r="AA219" s="141"/>
      <c r="AB219" s="15"/>
      <c r="AC219" s="141"/>
      <c r="AD219" s="15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S219" s="29"/>
      <c r="AU219" s="141"/>
      <c r="AW219" s="15"/>
      <c r="AX219" s="6"/>
      <c r="AY219" s="15"/>
      <c r="AZ219" s="6"/>
      <c r="BA219" s="15"/>
      <c r="BB219" s="15"/>
      <c r="BC219" s="15"/>
    </row>
    <row r="220" spans="1:56" ht="13.5" thickBot="1" x14ac:dyDescent="0.25">
      <c r="A220" s="126" t="s">
        <v>129</v>
      </c>
      <c r="B220" s="109"/>
      <c r="C220" s="110"/>
      <c r="K220" s="18">
        <f>K218+K179</f>
        <v>109972038.99115443</v>
      </c>
      <c r="M220" s="18">
        <f>M218+M179</f>
        <v>23779361.149999999</v>
      </c>
      <c r="O220" s="18">
        <f>O218+O179</f>
        <v>128386300.14115444</v>
      </c>
      <c r="Q220" s="179">
        <f>Q179+Q218</f>
        <v>63865966.150000006</v>
      </c>
      <c r="R220" s="239"/>
      <c r="S220" s="179">
        <f>S179+S218</f>
        <v>1102894.513333333</v>
      </c>
      <c r="T220" s="239"/>
      <c r="U220" s="179">
        <f>U179+U218</f>
        <v>19590654.100000001</v>
      </c>
      <c r="V220" s="16"/>
      <c r="W220" s="179">
        <f>W179+W218</f>
        <v>572532.99</v>
      </c>
      <c r="X220" s="16"/>
      <c r="Y220" s="179">
        <f>Y179+Y218</f>
        <v>-106875.7799999993</v>
      </c>
      <c r="Z220" s="16"/>
      <c r="AA220" s="179">
        <f>AA179+AA218</f>
        <v>8307659.9100000001</v>
      </c>
      <c r="AB220" s="16"/>
      <c r="AC220" s="179">
        <f>AC179+AC218</f>
        <v>15855933.020000003</v>
      </c>
      <c r="AD220" s="16"/>
      <c r="AE220" s="179">
        <f>AE179+AE218</f>
        <v>8226098.6399999987</v>
      </c>
      <c r="AF220" s="178"/>
      <c r="AG220" s="179">
        <f>AG179+AG218</f>
        <v>10079974.000000004</v>
      </c>
      <c r="AH220" s="178"/>
      <c r="AI220" s="179">
        <f>AI179+AI218</f>
        <v>5897944.9499999993</v>
      </c>
      <c r="AJ220" s="178"/>
      <c r="AK220" s="179">
        <f>AK179+AK218</f>
        <v>6912179.6100000003</v>
      </c>
      <c r="AL220" s="179"/>
      <c r="AM220" s="179">
        <f>AM179+AM218</f>
        <v>2135306.54</v>
      </c>
      <c r="AN220" s="178"/>
      <c r="AO220" s="179">
        <f>AO179+AO218</f>
        <v>1466808.5199999998</v>
      </c>
      <c r="AP220" s="178"/>
      <c r="AQ220" s="179">
        <f>AQ179+AQ218</f>
        <v>164381.68</v>
      </c>
      <c r="AS220" s="83">
        <f>AS179+AS218</f>
        <v>144071458.8433333</v>
      </c>
      <c r="AU220" s="179">
        <f>AU179+AU218</f>
        <v>2595790.33</v>
      </c>
      <c r="AW220" s="83">
        <f>AW179+AW218</f>
        <v>4185738.2839999949</v>
      </c>
      <c r="AX220" s="6"/>
      <c r="AY220" s="83">
        <f>+AW220+AS220</f>
        <v>148257197.12733331</v>
      </c>
      <c r="AZ220" s="6"/>
      <c r="BA220" s="83">
        <f>BA179+BA218</f>
        <v>-19870897.986178912</v>
      </c>
      <c r="BB220" s="34"/>
      <c r="BC220" s="16"/>
    </row>
    <row r="221" spans="1:56" ht="5.25" customHeight="1" thickTop="1" x14ac:dyDescent="0.2">
      <c r="A221" s="38"/>
      <c r="B221" s="23"/>
      <c r="C221" s="23"/>
      <c r="U221" s="143" t="s">
        <v>329</v>
      </c>
      <c r="W221" s="143" t="s">
        <v>329</v>
      </c>
      <c r="Y221" s="143" t="s">
        <v>329</v>
      </c>
      <c r="AA221" s="143" t="s">
        <v>329</v>
      </c>
      <c r="AC221" s="143" t="s">
        <v>329</v>
      </c>
      <c r="AE221" s="143" t="s">
        <v>329</v>
      </c>
      <c r="AG221" s="143" t="s">
        <v>329</v>
      </c>
      <c r="AI221" s="143" t="s">
        <v>329</v>
      </c>
      <c r="AK221" s="143" t="s">
        <v>329</v>
      </c>
      <c r="AM221" s="143" t="s">
        <v>329</v>
      </c>
      <c r="AO221" s="143" t="s">
        <v>329</v>
      </c>
      <c r="AQ221" s="143" t="s">
        <v>329</v>
      </c>
      <c r="AS221" s="45" t="s">
        <v>329</v>
      </c>
      <c r="AU221" s="143" t="s">
        <v>329</v>
      </c>
      <c r="AX221" s="6"/>
      <c r="AZ221" s="6"/>
      <c r="BB221" s="8"/>
      <c r="BC221" s="8"/>
    </row>
    <row r="222" spans="1:56" ht="14.25" customHeight="1" thickBot="1" x14ac:dyDescent="0.25">
      <c r="A222" s="126" t="s">
        <v>194</v>
      </c>
      <c r="B222" s="23"/>
      <c r="C222" s="23"/>
      <c r="K222" s="167">
        <f>K220/390</f>
        <v>281979.58715680626</v>
      </c>
      <c r="O222" s="167">
        <f>O220/390</f>
        <v>329195.64138757548</v>
      </c>
      <c r="AS222" s="45"/>
      <c r="AX222" s="6"/>
      <c r="AY222" s="167">
        <f>AY220/390</f>
        <v>380146.65930085466</v>
      </c>
      <c r="AZ222" s="6"/>
      <c r="BB222" s="8"/>
      <c r="BC222" s="8"/>
    </row>
    <row r="223" spans="1:56" customFormat="1" x14ac:dyDescent="0.2">
      <c r="A223" s="41"/>
      <c r="Q223" s="141"/>
      <c r="R223" s="231"/>
      <c r="S223" s="141"/>
      <c r="T223" s="231"/>
      <c r="U223" s="141"/>
      <c r="V223" s="15"/>
      <c r="W223" s="141"/>
      <c r="X223" s="15"/>
      <c r="Y223" s="141"/>
      <c r="Z223" s="15"/>
      <c r="AA223" s="141"/>
      <c r="AB223" s="15"/>
      <c r="AC223" s="141"/>
      <c r="AE223" s="89"/>
      <c r="BA223" s="8"/>
    </row>
    <row r="224" spans="1:56" x14ac:dyDescent="0.2">
      <c r="A224" s="41"/>
      <c r="E224" s="6"/>
      <c r="I224" s="6"/>
      <c r="Q224" s="134"/>
      <c r="R224" s="224"/>
      <c r="S224" s="134"/>
      <c r="T224" s="224"/>
      <c r="U224" s="134"/>
      <c r="W224" s="134"/>
      <c r="X224" s="131"/>
      <c r="Y224" s="134"/>
      <c r="Z224" s="131"/>
      <c r="AA224" s="134"/>
      <c r="AB224" s="131"/>
      <c r="AC224" s="134"/>
      <c r="AD224" s="131"/>
      <c r="AE224" s="89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U224" s="131"/>
      <c r="AX224" s="6"/>
      <c r="AZ224" s="6"/>
      <c r="BD224" s="6"/>
    </row>
    <row r="225" spans="1:56" s="41" customFormat="1" x14ac:dyDescent="0.2">
      <c r="A225" s="41" t="s">
        <v>422</v>
      </c>
      <c r="G225" s="11"/>
      <c r="K225" s="15">
        <v>0</v>
      </c>
      <c r="M225" s="15"/>
      <c r="O225" s="15">
        <f>SUM(K225:N225)</f>
        <v>0</v>
      </c>
      <c r="Q225" s="143"/>
      <c r="R225" s="228"/>
      <c r="S225" s="143"/>
      <c r="T225" s="244"/>
      <c r="U225" s="134">
        <v>0</v>
      </c>
      <c r="V225" s="15"/>
      <c r="W225" s="134"/>
      <c r="X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5">
        <f>SUM(P225:AR225)</f>
        <v>0</v>
      </c>
      <c r="AU225" s="134">
        <v>0</v>
      </c>
      <c r="AW225" s="15">
        <f>IF(+O225-AS225+AU225&gt;0,O225-AS225+AU225,0)</f>
        <v>0</v>
      </c>
      <c r="AY225" s="15">
        <f>+AW225+AS225</f>
        <v>0</v>
      </c>
      <c r="BA225" s="15">
        <f>+O225-AY225</f>
        <v>0</v>
      </c>
    </row>
    <row r="226" spans="1:56" x14ac:dyDescent="0.2">
      <c r="A226" s="41" t="s">
        <v>538</v>
      </c>
      <c r="E226" s="6"/>
      <c r="I226" s="6"/>
      <c r="T226" s="224"/>
      <c r="U226" s="131"/>
      <c r="W226" s="131"/>
      <c r="X226" s="131"/>
      <c r="Y226" s="131"/>
      <c r="Z226" s="131"/>
      <c r="AA226" s="131"/>
      <c r="AB226" s="131"/>
      <c r="AC226" s="131"/>
      <c r="AD226" s="131"/>
      <c r="AE226" s="131"/>
      <c r="AF226" s="131"/>
      <c r="AG226" s="131"/>
      <c r="AH226" s="131"/>
      <c r="AI226" s="131"/>
      <c r="AJ226" s="131"/>
      <c r="AK226" s="131"/>
      <c r="AL226" s="131"/>
      <c r="AM226" s="131"/>
      <c r="AN226" s="131"/>
      <c r="AO226" s="131"/>
      <c r="AP226" s="131"/>
      <c r="AQ226" s="131"/>
      <c r="AR226" s="131"/>
      <c r="AS226" s="33">
        <f>+[1]Deprec!$H$28</f>
        <v>-1462905.5417733332</v>
      </c>
      <c r="AU226" s="131"/>
      <c r="AX226" s="6"/>
      <c r="AY226" s="15">
        <f>+AS226</f>
        <v>-1462905.5417733332</v>
      </c>
      <c r="AZ226" s="6"/>
      <c r="BD226" s="6"/>
    </row>
    <row r="227" spans="1:56" ht="13.5" thickBot="1" x14ac:dyDescent="0.25">
      <c r="A227" s="126" t="s">
        <v>427</v>
      </c>
      <c r="B227" s="109"/>
      <c r="E227" s="6"/>
      <c r="I227" s="6"/>
      <c r="K227" s="245">
        <f>+K220+K225</f>
        <v>109972038.99115443</v>
      </c>
      <c r="M227" s="245">
        <f>+M220+M225</f>
        <v>23779361.149999999</v>
      </c>
      <c r="O227" s="245">
        <f>+O220+O225</f>
        <v>128386300.14115444</v>
      </c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245">
        <f>+AS220+AS225+AS226</f>
        <v>142608553.30155998</v>
      </c>
      <c r="AU227" s="131"/>
      <c r="AW227" s="245">
        <f>+AW220+AW225</f>
        <v>4185738.2839999949</v>
      </c>
      <c r="AX227" s="6"/>
      <c r="AY227" s="245">
        <f>+AY220+AY225+AY226</f>
        <v>146794291.58555999</v>
      </c>
      <c r="AZ227" s="6"/>
      <c r="BA227" s="245">
        <f>+BA220+BA225</f>
        <v>-19870897.986178912</v>
      </c>
      <c r="BD227" s="6"/>
    </row>
    <row r="228" spans="1:56" ht="4.5" customHeight="1" thickTop="1" x14ac:dyDescent="0.2">
      <c r="A228" s="38"/>
      <c r="B228" s="23"/>
      <c r="E228" s="6"/>
      <c r="I228" s="6"/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U228" s="131"/>
      <c r="AX228" s="6"/>
      <c r="AZ228" s="6"/>
      <c r="BD228" s="6"/>
    </row>
    <row r="229" spans="1:56" ht="13.5" thickBot="1" x14ac:dyDescent="0.25">
      <c r="A229" s="126" t="s">
        <v>421</v>
      </c>
      <c r="B229" s="23"/>
      <c r="E229" s="6"/>
      <c r="I229" s="6"/>
      <c r="K229" s="127">
        <f>K227/$K$3</f>
        <v>284165.47542933963</v>
      </c>
      <c r="O229" s="127">
        <f>O227/$K$3</f>
        <v>331747.54558437841</v>
      </c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U229" s="131"/>
      <c r="AX229" s="6"/>
      <c r="AY229" s="127">
        <f>AY227/$K$3</f>
        <v>379313.41494976741</v>
      </c>
      <c r="AZ229" s="6"/>
      <c r="BD229" s="6"/>
    </row>
    <row r="230" spans="1:56" x14ac:dyDescent="0.2">
      <c r="E230" s="6"/>
      <c r="I230" s="6"/>
      <c r="T230" s="224"/>
      <c r="U230" s="131"/>
      <c r="W230" s="131"/>
      <c r="X230" s="131"/>
      <c r="Y230" s="134">
        <f>SUM(Q224:Y224)</f>
        <v>0</v>
      </c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U230" s="131"/>
      <c r="AX230" s="6"/>
      <c r="AZ230" s="6"/>
      <c r="BD230" s="6"/>
    </row>
    <row r="231" spans="1:56" x14ac:dyDescent="0.2">
      <c r="E231" s="6"/>
      <c r="I231" s="6"/>
      <c r="T231" s="224"/>
      <c r="U231" s="131"/>
      <c r="W231" s="131"/>
      <c r="X231" s="131"/>
      <c r="Y231" s="131"/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U231" s="131"/>
      <c r="AX231" s="6"/>
      <c r="AZ231" s="6"/>
      <c r="BA231" s="187" t="str">
        <f ca="1">CELL("filename")</f>
        <v>C:\Users\Felienne\Enron\EnronSpreadsheets\[benjamin_rogers__1010__TVA Wkly Anal - 121499.xls]Brownsville</v>
      </c>
      <c r="BD231" s="6"/>
    </row>
    <row r="232" spans="1:56" x14ac:dyDescent="0.2">
      <c r="AS232" s="45"/>
      <c r="AX232" s="6"/>
      <c r="AZ232" s="6"/>
      <c r="BB232" s="8"/>
      <c r="BC232" s="8"/>
    </row>
    <row r="233" spans="1:56" x14ac:dyDescent="0.2">
      <c r="AS233" s="45"/>
      <c r="AX233" s="6"/>
      <c r="AZ233" s="6"/>
      <c r="BB233" s="8"/>
      <c r="BC233" s="8"/>
    </row>
    <row r="234" spans="1:56" x14ac:dyDescent="0.2">
      <c r="B234" s="41" t="s">
        <v>474</v>
      </c>
      <c r="E234" s="6"/>
      <c r="I234" s="6"/>
      <c r="T234" s="224"/>
      <c r="U234" s="131"/>
      <c r="W234" s="131"/>
      <c r="X234" s="131"/>
      <c r="Y234" s="131"/>
      <c r="Z234" s="131"/>
      <c r="AA234" s="131"/>
      <c r="AB234" s="131"/>
      <c r="AC234" s="131"/>
      <c r="AD234" s="131"/>
      <c r="AE234" s="131"/>
      <c r="AF234" s="131"/>
      <c r="AG234" s="131"/>
      <c r="AH234" s="131"/>
      <c r="AI234" s="131"/>
      <c r="AJ234" s="131"/>
      <c r="AK234" s="131"/>
      <c r="AL234" s="131"/>
      <c r="AM234" s="131"/>
      <c r="AN234" s="131"/>
      <c r="AO234" s="131"/>
      <c r="AP234" s="131"/>
      <c r="AQ234" s="131"/>
      <c r="AR234" s="131"/>
      <c r="AU234" s="131"/>
      <c r="AX234" s="6"/>
      <c r="AZ234" s="6"/>
      <c r="BD234" s="6"/>
    </row>
    <row r="235" spans="1:56" x14ac:dyDescent="0.2"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U235" s="131"/>
      <c r="AX235" s="6"/>
      <c r="AZ235" s="6"/>
      <c r="BD235" s="6"/>
    </row>
    <row r="236" spans="1:56" x14ac:dyDescent="0.2">
      <c r="B236" s="6" t="s">
        <v>475</v>
      </c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U236" s="131"/>
      <c r="AX236" s="6"/>
      <c r="AY236" s="8">
        <f>138816653.33+2336899.86</f>
        <v>141153553.19000003</v>
      </c>
      <c r="AZ236" s="6"/>
      <c r="BD236" s="6"/>
    </row>
    <row r="237" spans="1:56" x14ac:dyDescent="0.2"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U237" s="131"/>
      <c r="AX237" s="6"/>
      <c r="AZ237" s="6"/>
      <c r="BD237" s="6"/>
    </row>
    <row r="238" spans="1:56" x14ac:dyDescent="0.2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U238" s="131"/>
      <c r="AX238" s="6"/>
      <c r="AZ238" s="6"/>
      <c r="BD238" s="6"/>
    </row>
    <row r="239" spans="1:56" x14ac:dyDescent="0.2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U239" s="131"/>
      <c r="AX239" s="6"/>
      <c r="AZ239" s="6"/>
      <c r="BD239" s="6"/>
    </row>
    <row r="240" spans="1:56" x14ac:dyDescent="0.2">
      <c r="B240" s="6" t="s">
        <v>476</v>
      </c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U240" s="131"/>
      <c r="AX240" s="6"/>
      <c r="AY240" s="8">
        <f>+AS227-AE145-AC145-AA145-AG145-AI145-AS149-AK145-AS226-AM145-AO145</f>
        <v>142554159.6933333</v>
      </c>
      <c r="AZ240" s="6"/>
      <c r="BD240" s="6"/>
    </row>
    <row r="241" spans="2:56" x14ac:dyDescent="0.2"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U241" s="131"/>
      <c r="AX241" s="6"/>
      <c r="AZ241" s="6"/>
      <c r="BD241" s="6"/>
    </row>
    <row r="242" spans="2:56" x14ac:dyDescent="0.2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U242" s="131"/>
      <c r="AX242" s="6"/>
      <c r="AZ242" s="6"/>
      <c r="BD242" s="6"/>
    </row>
    <row r="243" spans="2:56" x14ac:dyDescent="0.2">
      <c r="B243" s="6" t="s">
        <v>477</v>
      </c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U243" s="131"/>
      <c r="AX243" s="6"/>
      <c r="AY243" s="8">
        <f>+AY236-AY240</f>
        <v>-1400606.5033332705</v>
      </c>
      <c r="AZ243" s="6"/>
      <c r="BD243" s="6"/>
    </row>
    <row r="244" spans="2:56" x14ac:dyDescent="0.2">
      <c r="E244" s="6"/>
      <c r="T244" s="229"/>
      <c r="U244" s="157"/>
      <c r="V244" s="157"/>
      <c r="W244" s="157"/>
      <c r="X244" s="157"/>
      <c r="Y244" s="157"/>
      <c r="Z244" s="157"/>
      <c r="AA244" s="157"/>
      <c r="AB244" s="6"/>
      <c r="AC244" s="157"/>
      <c r="AD244" s="6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S244" s="6"/>
      <c r="AU244" s="157"/>
      <c r="AW244" s="6"/>
      <c r="AX244" s="6"/>
      <c r="AY244" s="6"/>
      <c r="AZ244" s="6"/>
      <c r="BD244" s="6"/>
    </row>
    <row r="245" spans="2:56" x14ac:dyDescent="0.2">
      <c r="AS245" s="45"/>
    </row>
    <row r="246" spans="2:56" x14ac:dyDescent="0.2">
      <c r="AS246" s="45"/>
    </row>
    <row r="247" spans="2:56" x14ac:dyDescent="0.2">
      <c r="AS247" s="45"/>
    </row>
    <row r="248" spans="2:56" x14ac:dyDescent="0.2">
      <c r="AS248" s="45"/>
    </row>
    <row r="249" spans="2:56" x14ac:dyDescent="0.2">
      <c r="AS249" s="45"/>
    </row>
    <row r="250" spans="2:56" x14ac:dyDescent="0.2">
      <c r="AS250" s="45"/>
    </row>
    <row r="251" spans="2:56" x14ac:dyDescent="0.2">
      <c r="AS251" s="45"/>
    </row>
    <row r="252" spans="2:56" x14ac:dyDescent="0.2">
      <c r="AS252" s="45"/>
    </row>
    <row r="253" spans="2:56" x14ac:dyDescent="0.2">
      <c r="AS253" s="45"/>
    </row>
    <row r="254" spans="2:56" x14ac:dyDescent="0.2">
      <c r="AS254" s="45"/>
    </row>
    <row r="255" spans="2:56" x14ac:dyDescent="0.2">
      <c r="AS255" s="45"/>
    </row>
    <row r="256" spans="2:56" x14ac:dyDescent="0.2">
      <c r="AS256" s="45"/>
    </row>
    <row r="257" spans="45:45" x14ac:dyDescent="0.2">
      <c r="AS257" s="45"/>
    </row>
    <row r="258" spans="45:45" x14ac:dyDescent="0.2">
      <c r="AS258" s="45"/>
    </row>
    <row r="259" spans="45:45" x14ac:dyDescent="0.2">
      <c r="AS259" s="45"/>
    </row>
    <row r="260" spans="45:45" x14ac:dyDescent="0.2">
      <c r="AS260" s="45"/>
    </row>
    <row r="261" spans="45:45" x14ac:dyDescent="0.2">
      <c r="AS261" s="45"/>
    </row>
    <row r="262" spans="45:45" x14ac:dyDescent="0.2">
      <c r="AS262" s="45"/>
    </row>
    <row r="263" spans="45:45" x14ac:dyDescent="0.2">
      <c r="AS263" s="45"/>
    </row>
    <row r="264" spans="45:45" x14ac:dyDescent="0.2">
      <c r="AS264" s="45"/>
    </row>
    <row r="265" spans="45:45" x14ac:dyDescent="0.2">
      <c r="AS265" s="45"/>
    </row>
    <row r="266" spans="45:45" x14ac:dyDescent="0.2">
      <c r="AS266" s="45"/>
    </row>
    <row r="267" spans="45:45" x14ac:dyDescent="0.2">
      <c r="AS267" s="45"/>
    </row>
    <row r="268" spans="45:45" x14ac:dyDescent="0.2">
      <c r="AS268" s="45"/>
    </row>
    <row r="269" spans="45:45" x14ac:dyDescent="0.2">
      <c r="AS269" s="45"/>
    </row>
    <row r="270" spans="45:45" x14ac:dyDescent="0.2">
      <c r="AS270" s="45"/>
    </row>
    <row r="271" spans="45:45" x14ac:dyDescent="0.2">
      <c r="AS271" s="45"/>
    </row>
    <row r="272" spans="45:45" x14ac:dyDescent="0.2">
      <c r="AS272" s="45"/>
    </row>
    <row r="273" spans="45:45" x14ac:dyDescent="0.2">
      <c r="AS273" s="45"/>
    </row>
    <row r="274" spans="45:45" x14ac:dyDescent="0.2">
      <c r="AS274" s="45"/>
    </row>
    <row r="275" spans="45:45" x14ac:dyDescent="0.2">
      <c r="AS275" s="45"/>
    </row>
    <row r="276" spans="45:45" x14ac:dyDescent="0.2">
      <c r="AS276" s="45"/>
    </row>
    <row r="277" spans="45:45" x14ac:dyDescent="0.2">
      <c r="AS277" s="45"/>
    </row>
    <row r="278" spans="45:45" x14ac:dyDescent="0.2">
      <c r="AS278" s="45"/>
    </row>
    <row r="279" spans="45:45" x14ac:dyDescent="0.2">
      <c r="AS279" s="45"/>
    </row>
    <row r="280" spans="45:45" x14ac:dyDescent="0.2">
      <c r="AS280" s="45"/>
    </row>
    <row r="281" spans="45:45" x14ac:dyDescent="0.2">
      <c r="AS281" s="45"/>
    </row>
    <row r="282" spans="45:45" x14ac:dyDescent="0.2">
      <c r="AS282" s="45"/>
    </row>
    <row r="283" spans="45:45" x14ac:dyDescent="0.2">
      <c r="AS283" s="45"/>
    </row>
    <row r="284" spans="45:45" x14ac:dyDescent="0.2">
      <c r="AS284" s="45"/>
    </row>
    <row r="285" spans="45:45" x14ac:dyDescent="0.2">
      <c r="AS285" s="45"/>
    </row>
    <row r="286" spans="45:45" x14ac:dyDescent="0.2">
      <c r="AS286" s="45"/>
    </row>
    <row r="287" spans="45:45" x14ac:dyDescent="0.2">
      <c r="AS287" s="45"/>
    </row>
    <row r="288" spans="45:45" x14ac:dyDescent="0.2">
      <c r="AS288" s="45"/>
    </row>
    <row r="289" spans="45:45" x14ac:dyDescent="0.2">
      <c r="AS289" s="45"/>
    </row>
    <row r="290" spans="45:45" x14ac:dyDescent="0.2">
      <c r="AS290" s="45"/>
    </row>
    <row r="291" spans="45:45" x14ac:dyDescent="0.2">
      <c r="AS291" s="45"/>
    </row>
    <row r="292" spans="45:45" x14ac:dyDescent="0.2">
      <c r="AS292" s="45"/>
    </row>
  </sheetData>
  <printOptions horizontalCentered="1"/>
  <pageMargins left="0.25" right="0.25" top="0.25" bottom="0.25" header="0.5" footer="0.5"/>
  <pageSetup scale="39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2.75" x14ac:dyDescent="0.2"/>
  <cols>
    <col min="1" max="1" width="45.85546875" bestFit="1" customWidth="1"/>
    <col min="2" max="2" width="16.5703125" style="249" customWidth="1"/>
    <col min="3" max="3" width="1.7109375" style="249" customWidth="1"/>
    <col min="4" max="4" width="16.28515625" style="249" customWidth="1"/>
    <col min="5" max="5" width="53.42578125" bestFit="1" customWidth="1"/>
  </cols>
  <sheetData>
    <row r="1" spans="1:5" x14ac:dyDescent="0.2">
      <c r="B1" s="248"/>
      <c r="C1" s="248"/>
    </row>
    <row r="2" spans="1:5" s="11" customFormat="1" x14ac:dyDescent="0.2">
      <c r="B2" s="252" t="s">
        <v>281</v>
      </c>
      <c r="C2" s="252"/>
      <c r="D2" s="252" t="s">
        <v>281</v>
      </c>
    </row>
    <row r="3" spans="1:5" s="253" customFormat="1" x14ac:dyDescent="0.2">
      <c r="B3" s="254" t="s">
        <v>339</v>
      </c>
      <c r="C3" s="254"/>
      <c r="D3" s="254" t="s">
        <v>434</v>
      </c>
    </row>
    <row r="4" spans="1:5" s="253" customFormat="1" x14ac:dyDescent="0.2">
      <c r="B4" s="254"/>
      <c r="C4" s="254"/>
      <c r="D4" s="254"/>
    </row>
    <row r="5" spans="1:5" x14ac:dyDescent="0.2">
      <c r="A5" t="s">
        <v>435</v>
      </c>
      <c r="B5" s="249">
        <v>5000000</v>
      </c>
      <c r="D5" s="249">
        <v>5000000</v>
      </c>
    </row>
    <row r="6" spans="1:5" x14ac:dyDescent="0.2">
      <c r="A6" t="s">
        <v>437</v>
      </c>
      <c r="B6" s="249">
        <v>359700</v>
      </c>
      <c r="D6" s="249">
        <v>359700</v>
      </c>
    </row>
    <row r="7" spans="1:5" x14ac:dyDescent="0.2">
      <c r="A7" t="s">
        <v>438</v>
      </c>
      <c r="B7" s="249">
        <v>1126671.1499999999</v>
      </c>
      <c r="D7" s="249">
        <v>1126671.1499999999</v>
      </c>
    </row>
    <row r="8" spans="1:5" x14ac:dyDescent="0.2">
      <c r="D8" s="249">
        <v>-1013887.05</v>
      </c>
      <c r="E8" t="s">
        <v>439</v>
      </c>
    </row>
    <row r="9" spans="1:5" x14ac:dyDescent="0.2">
      <c r="A9" t="s">
        <v>437</v>
      </c>
      <c r="B9" s="249">
        <v>943800</v>
      </c>
      <c r="D9" s="249">
        <v>943800</v>
      </c>
    </row>
    <row r="10" spans="1:5" x14ac:dyDescent="0.2">
      <c r="A10" t="s">
        <v>436</v>
      </c>
      <c r="B10" s="249">
        <v>3111381.03</v>
      </c>
      <c r="D10" s="248">
        <v>3111381.03</v>
      </c>
    </row>
    <row r="11" spans="1:5" x14ac:dyDescent="0.2">
      <c r="A11" t="s">
        <v>433</v>
      </c>
      <c r="B11" s="251">
        <v>161700</v>
      </c>
      <c r="D11" s="249">
        <v>161700</v>
      </c>
      <c r="E11" s="41" t="s">
        <v>441</v>
      </c>
    </row>
    <row r="12" spans="1:5" x14ac:dyDescent="0.2">
      <c r="A12" t="s">
        <v>440</v>
      </c>
      <c r="D12" s="249">
        <v>198000</v>
      </c>
      <c r="E12" t="s">
        <v>439</v>
      </c>
    </row>
    <row r="13" spans="1:5" x14ac:dyDescent="0.2">
      <c r="A13" t="s">
        <v>457</v>
      </c>
      <c r="D13" s="249">
        <v>1082508.47</v>
      </c>
      <c r="E13" t="s">
        <v>439</v>
      </c>
    </row>
    <row r="15" spans="1:5" x14ac:dyDescent="0.2">
      <c r="A15" t="s">
        <v>442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">
      <c r="A17" t="s">
        <v>458</v>
      </c>
      <c r="B17" s="249">
        <v>4391315.49</v>
      </c>
    </row>
    <row r="18" spans="1:5" x14ac:dyDescent="0.2">
      <c r="A18" t="s">
        <v>459</v>
      </c>
      <c r="B18" s="249">
        <v>886191.12</v>
      </c>
      <c r="E18" t="s">
        <v>465</v>
      </c>
    </row>
    <row r="19" spans="1:5" x14ac:dyDescent="0.2">
      <c r="A19" t="s">
        <v>461</v>
      </c>
      <c r="B19" s="255">
        <f>SUM(B17:B18)</f>
        <v>5277506.6100000003</v>
      </c>
    </row>
    <row r="21" spans="1:5" ht="13.5" thickBot="1" x14ac:dyDescent="0.25">
      <c r="A21" t="s">
        <v>460</v>
      </c>
      <c r="B21" s="257">
        <f>+B19-B15</f>
        <v>-5425745.5699999994</v>
      </c>
    </row>
    <row r="22" spans="1:5" ht="13.5" thickTop="1" x14ac:dyDescent="0.2"/>
    <row r="23" spans="1:5" x14ac:dyDescent="0.2">
      <c r="A23" t="s">
        <v>462</v>
      </c>
      <c r="B23" s="249">
        <v>2000000</v>
      </c>
    </row>
    <row r="24" spans="1:5" ht="13.5" thickBot="1" x14ac:dyDescent="0.25">
      <c r="A24" t="s">
        <v>463</v>
      </c>
      <c r="B24" s="257">
        <f>+B23+B19</f>
        <v>7277506.6100000003</v>
      </c>
    </row>
    <row r="25" spans="1:5" ht="13.5" thickTop="1" x14ac:dyDescent="0.2"/>
    <row r="27" spans="1:5" x14ac:dyDescent="0.2">
      <c r="B27" s="252" t="s">
        <v>443</v>
      </c>
      <c r="D27" s="252" t="s">
        <v>443</v>
      </c>
    </row>
    <row r="28" spans="1:5" x14ac:dyDescent="0.2">
      <c r="B28" s="254" t="s">
        <v>339</v>
      </c>
      <c r="D28" s="254" t="s">
        <v>449</v>
      </c>
    </row>
    <row r="29" spans="1:5" x14ac:dyDescent="0.2">
      <c r="A29" s="8" t="s">
        <v>450</v>
      </c>
      <c r="B29" s="249">
        <v>13392698</v>
      </c>
      <c r="D29" s="249">
        <v>13392698</v>
      </c>
    </row>
    <row r="30" spans="1:5" x14ac:dyDescent="0.2">
      <c r="A30" s="8" t="s">
        <v>451</v>
      </c>
      <c r="B30" s="249">
        <v>9374889</v>
      </c>
      <c r="D30" s="249">
        <v>9374889</v>
      </c>
    </row>
    <row r="31" spans="1:5" x14ac:dyDescent="0.2">
      <c r="A31" s="8" t="s">
        <v>452</v>
      </c>
      <c r="D31" s="249">
        <v>2678540</v>
      </c>
      <c r="E31" t="s">
        <v>439</v>
      </c>
    </row>
    <row r="32" spans="1:5" x14ac:dyDescent="0.2">
      <c r="A32" s="8" t="s">
        <v>453</v>
      </c>
      <c r="D32" s="249">
        <v>1339270</v>
      </c>
      <c r="E32" t="s">
        <v>439</v>
      </c>
    </row>
    <row r="33" spans="1:5" x14ac:dyDescent="0.2">
      <c r="A33" t="s">
        <v>466</v>
      </c>
      <c r="B33" s="249">
        <v>652369.63</v>
      </c>
      <c r="D33" s="249">
        <v>652369.63</v>
      </c>
      <c r="E33" t="s">
        <v>467</v>
      </c>
    </row>
    <row r="35" spans="1:5" x14ac:dyDescent="0.2">
      <c r="A35" t="s">
        <v>445</v>
      </c>
      <c r="B35" s="249">
        <v>5400</v>
      </c>
      <c r="D35" s="249">
        <v>5400</v>
      </c>
    </row>
    <row r="36" spans="1:5" x14ac:dyDescent="0.2">
      <c r="A36" t="s">
        <v>446</v>
      </c>
      <c r="B36" s="249">
        <v>-167</v>
      </c>
      <c r="D36" s="249">
        <v>-167</v>
      </c>
    </row>
    <row r="37" spans="1:5" x14ac:dyDescent="0.2">
      <c r="A37" t="s">
        <v>448</v>
      </c>
      <c r="B37" s="249">
        <v>10246.5</v>
      </c>
      <c r="D37" s="249">
        <v>10246.5</v>
      </c>
    </row>
    <row r="38" spans="1:5" x14ac:dyDescent="0.2">
      <c r="A38" t="s">
        <v>447</v>
      </c>
      <c r="B38" s="250">
        <v>123281.75</v>
      </c>
      <c r="D38" s="250">
        <v>123281.75</v>
      </c>
    </row>
    <row r="39" spans="1:5" x14ac:dyDescent="0.2">
      <c r="A39" t="s">
        <v>444</v>
      </c>
      <c r="B39" s="250">
        <v>-113214.39999999999</v>
      </c>
      <c r="D39" s="250">
        <v>-113214.39999999999</v>
      </c>
    </row>
    <row r="40" spans="1:5" x14ac:dyDescent="0.2">
      <c r="B40" s="250"/>
      <c r="D40" s="250"/>
    </row>
    <row r="41" spans="1:5" x14ac:dyDescent="0.2">
      <c r="A41" t="s">
        <v>454</v>
      </c>
      <c r="B41" s="250"/>
      <c r="D41" s="250">
        <v>0</v>
      </c>
      <c r="E41" t="s">
        <v>455</v>
      </c>
    </row>
    <row r="43" spans="1:5" x14ac:dyDescent="0.2">
      <c r="A43" t="s">
        <v>456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1999-12-13T16:45:48Z</cp:lastPrinted>
  <dcterms:created xsi:type="dcterms:W3CDTF">1998-11-04T14:40:39Z</dcterms:created>
  <dcterms:modified xsi:type="dcterms:W3CDTF">2014-09-03T10:58:33Z</dcterms:modified>
</cp:coreProperties>
</file>