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10" tabRatio="520"/>
  </bookViews>
  <sheets>
    <sheet name="Summary Output" sheetId="2" r:id="rId1"/>
    <sheet name="Assumptions" sheetId="23" r:id="rId2"/>
    <sheet name="Power Price Assumption" sheetId="3" r:id="rId3"/>
    <sheet name="IS" sheetId="4" r:id="rId4"/>
    <sheet name="Debt" sheetId="22" r:id="rId5"/>
    <sheet name="CF" sheetId="5" r:id="rId6"/>
    <sheet name="Depreciation" sheetId="20" r:id="rId7"/>
    <sheet name="Contract Amortization" sheetId="24" r:id="rId8"/>
    <sheet name="Tax" sheetId="8" r:id="rId9"/>
    <sheet name="Brownsville" sheetId="9" r:id="rId10"/>
    <sheet name="Caledonia" sheetId="10" r:id="rId11"/>
    <sheet name="New Albany" sheetId="11" r:id="rId12"/>
    <sheet name="Gleason" sheetId="12" r:id="rId13"/>
    <sheet name="Wheatland" sheetId="13" r:id="rId14"/>
    <sheet name="Wilton" sheetId="14" r:id="rId15"/>
    <sheet name="Allocation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a" hidden="1">{"Income Statement",#N/A,FALSE,"CFMODEL";"Balance Sheet",#N/A,FALSE,"CFMODEL"}</definedName>
    <definedName name="AnnualHours" localSheetId="6">[8]Assumptions!#REF!</definedName>
    <definedName name="AnnualHours">[1]Assumptions!#REF!</definedName>
    <definedName name="b" hidden="1">{"SourcesUses",#N/A,TRUE,"CFMODEL";"TransOverview",#N/A,TRUE,"CFMODEL"}</definedName>
    <definedName name="Begin_Op" localSheetId="6">'[6]Consol Summary'!$N$7</definedName>
    <definedName name="Begin_Op">[4]Sum!$N$7</definedName>
    <definedName name="blm_share" localSheetId="12">Gleason!#REF!</definedName>
    <definedName name="blm_share" localSheetId="11">'New Albany'!#REF!</definedName>
    <definedName name="blm_share" localSheetId="13">Wheatland!#REF!</definedName>
    <definedName name="chillers" localSheetId="6">'[6]Consol Summary'!$M$65</definedName>
    <definedName name="chillers">[5]PROJECTCONFIGURATION!$M$65</definedName>
    <definedName name="coso" localSheetId="12">Gleason!#REF!</definedName>
    <definedName name="coso" localSheetId="11">'New Albany'!#REF!</definedName>
    <definedName name="coso" localSheetId="13">Wheatland!#REF!</definedName>
    <definedName name="Coso_Distributable_Cash" localSheetId="12">Gleason!$D$508:$U$508</definedName>
    <definedName name="Coso_Distributable_Cash" localSheetId="11">'New Albany'!$D$519:$U$519</definedName>
    <definedName name="Coso_Distributable_Cash" localSheetId="13">Wheatland!$D$485:$U$485</definedName>
    <definedName name="Coso_Net_ATCash" localSheetId="12">Gleason!$D$509:$U$509</definedName>
    <definedName name="Coso_Net_ATCash" localSheetId="11">'New Albany'!$D$520:$U$520</definedName>
    <definedName name="Coso_Net_ATCash" localSheetId="13">Wheatland!$D$486:$U$486</definedName>
    <definedName name="Coso_Net_Income" localSheetId="12">Gleason!$D$507:$U$507</definedName>
    <definedName name="Coso_Net_Income" localSheetId="11">'New Albany'!$D$518:$U$518</definedName>
    <definedName name="Coso_Net_Income" localSheetId="13">Wheatland!$D$484:$U$484</definedName>
    <definedName name="d" hidden="1">{"SourcesUses",#N/A,TRUE,#N/A;"TransOverview",#N/A,TRUE,"CFMODEL"}</definedName>
    <definedName name="Distributable_Cash" localSheetId="12">Gleason!#REF!</definedName>
    <definedName name="Distributable_Cash" localSheetId="11">'New Albany'!#REF!</definedName>
    <definedName name="Distributable_Cash" localSheetId="13">Wheatland!#REF!</definedName>
    <definedName name="e" hidden="1">{"SourcesUses",#N/A,TRUE,"FundsFlow";"TransOverview",#N/A,TRUE,"FundsFlow"}</definedName>
    <definedName name="Energy_Credit_Coso" localSheetId="12">Gleason!$D$502:$U$502</definedName>
    <definedName name="Energy_Credit_Coso" localSheetId="11">'New Albany'!$D$513:$U$513</definedName>
    <definedName name="Energy_Credit_Coso" localSheetId="13">Wheatland!$D$479:$U$479</definedName>
    <definedName name="Energy_Credit_Imperial" localSheetId="12">Gleason!#REF!</definedName>
    <definedName name="Energy_Credit_Imperial" localSheetId="11">'New Albany'!#REF!</definedName>
    <definedName name="Energy_Credit_Imperial" localSheetId="13">Wheatland!#REF!</definedName>
    <definedName name="FPOC_Distributable_Cash" localSheetId="12">Gleason!$D$449:$N$449</definedName>
    <definedName name="FPOC_Distributable_Cash" localSheetId="11">'New Albany'!$D$460:$N$460</definedName>
    <definedName name="FPOC_Distributable_Cash" localSheetId="13">Wheatland!$D$426:$N$426</definedName>
    <definedName name="FPOC_Net_ATCash" localSheetId="12">Gleason!$D$451:$N$451</definedName>
    <definedName name="FPOC_Net_ATCash" localSheetId="11">'New Albany'!$D$462:$N$462</definedName>
    <definedName name="FPOC_Net_ATCash" localSheetId="13">Wheatland!$D$428:$N$428</definedName>
    <definedName name="FPOC_Net_Income" localSheetId="12">Gleason!$D$451:$N$451</definedName>
    <definedName name="FPOC_Net_Income" localSheetId="11">'New Albany'!$D$462:$N$462</definedName>
    <definedName name="FPOC_Net_Income" localSheetId="13">Wheatland!$D$428:$N$428</definedName>
    <definedName name="FSGC_ATCash" localSheetId="12">Gleason!$D$286:$H$286</definedName>
    <definedName name="FSGC_ATCash" localSheetId="11">'New Albany'!$D$297:$H$297</definedName>
    <definedName name="FSGC_ATCash" localSheetId="13">Wheatland!$D$263:$H$263</definedName>
    <definedName name="FSGC_Distributable_Cash" localSheetId="12">Gleason!$C$284:$H$284</definedName>
    <definedName name="FSGC_Distributable_Cash" localSheetId="11">'New Albany'!$C$295:$H$295</definedName>
    <definedName name="FSGC_Distributable_Cash" localSheetId="13">Wheatland!$C$261:$H$261</definedName>
    <definedName name="FSGC_Net_Income" localSheetId="12">Gleason!$D$286:$H$286</definedName>
    <definedName name="FSGC_Net_Income" localSheetId="11">'New Albany'!$D$297:$H$297</definedName>
    <definedName name="FSGC_Net_Income" localSheetId="13">Wheatland!$D$263:$H$263</definedName>
    <definedName name="idc">#REF!</definedName>
    <definedName name="Imperial_Distributable_Cash" localSheetId="12">Gleason!#REF!</definedName>
    <definedName name="Imperial_Distributable_Cash" localSheetId="11">'New Albany'!#REF!</definedName>
    <definedName name="Imperial_Distributable_Cash" localSheetId="13">Wheatland!#REF!</definedName>
    <definedName name="Imperial_Geothermal" localSheetId="12">Gleason!#REF!</definedName>
    <definedName name="Imperial_Geothermal" localSheetId="11">'New Albany'!#REF!</definedName>
    <definedName name="Imperial_Geothermal" localSheetId="13">Wheatland!#REF!</definedName>
    <definedName name="Imperial_Net_ATCash" localSheetId="12">Gleason!#REF!</definedName>
    <definedName name="Imperial_Net_ATCash" localSheetId="11">'New Albany'!#REF!</definedName>
    <definedName name="Imperial_Net_ATCash" localSheetId="13">Wheatland!#REF!</definedName>
    <definedName name="Imperial_Net_Income" localSheetId="12">Gleason!#REF!</definedName>
    <definedName name="Imperial_Net_Income" localSheetId="11">'New Albany'!#REF!</definedName>
    <definedName name="Imperial_Net_Income" localSheetId="13">Wheatland!#REF!</definedName>
    <definedName name="Main_Table" localSheetId="6">'[6]Consol Summary'!$D$22:$I$45</definedName>
    <definedName name="Main_Table">'[2]Maintenance Reserves'!$D$22:$I$45</definedName>
    <definedName name="Maint_Accrual" localSheetId="6">[8]Assumptions!#REF!</definedName>
    <definedName name="Maint_Accrual">[1]Assumptions!#REF!</definedName>
    <definedName name="Minerals" localSheetId="12">Gleason!#REF!</definedName>
    <definedName name="Minerals" localSheetId="11">'New Albany'!#REF!</definedName>
    <definedName name="Minerals" localSheetId="13">Wheatland!#REF!</definedName>
    <definedName name="Minerals_Distributable_Cash" localSheetId="12">Gleason!$D$185:$U$185</definedName>
    <definedName name="Minerals_Distributable_Cash" localSheetId="11">'New Albany'!$D$196:$U$196</definedName>
    <definedName name="Minerals_Distributable_Cash" localSheetId="13">Wheatland!$D$162:$U$162</definedName>
    <definedName name="Minerals_Net_ATCash" localSheetId="12">Gleason!$D$186:$U$186</definedName>
    <definedName name="Minerals_Net_ATCash" localSheetId="11">'New Albany'!$D$197:$U$197</definedName>
    <definedName name="Minerals_Net_ATCash" localSheetId="13">Wheatland!$D$163:$U$163</definedName>
    <definedName name="Minerals_Net_Income" localSheetId="12">Gleason!$D$184:$U$184</definedName>
    <definedName name="Minerals_Net_Income" localSheetId="11">'New Albany'!$D$195:$U$195</definedName>
    <definedName name="Minerals_Net_Income" localSheetId="13">Wheatland!$D$161:$U$161</definedName>
    <definedName name="navyi_share" localSheetId="12">Gleason!#REF!</definedName>
    <definedName name="navyi_share" localSheetId="11">'New Albany'!#REF!</definedName>
    <definedName name="navyi_share" localSheetId="13">Wheatland!#REF!</definedName>
    <definedName name="navyII_share" localSheetId="12">Gleason!#REF!</definedName>
    <definedName name="navyII_share" localSheetId="11">'New Albany'!#REF!</definedName>
    <definedName name="navyII_share" localSheetId="13">Wheatland!#REF!</definedName>
    <definedName name="Net_ATCash" localSheetId="12">Gleason!#REF!</definedName>
    <definedName name="Net_ATCash" localSheetId="11">'New Albany'!#REF!</definedName>
    <definedName name="Net_ATCash" localSheetId="13">Wheatland!#REF!</definedName>
    <definedName name="Net_Income_Unlevered" localSheetId="12">Gleason!#REF!</definedName>
    <definedName name="Net_Income_Unlevered" localSheetId="11">'New Albany'!#REF!</definedName>
    <definedName name="Net_Income_Unlevered" localSheetId="13">Wheatland!#REF!</definedName>
    <definedName name="Norcon_Distributable_Cash" localSheetId="12">Gleason!$B$550:$L$550</definedName>
    <definedName name="Norcon_Distributable_Cash" localSheetId="11">'New Albany'!$B$561:$L$561</definedName>
    <definedName name="Norcon_Distributable_Cash" localSheetId="13">Wheatland!$B$527:$L$527</definedName>
    <definedName name="Norcon_Net_ATCash" localSheetId="12">Gleason!$B$551:$L$551</definedName>
    <definedName name="Norcon_Net_ATCash" localSheetId="11">'New Albany'!$B$562:$L$562</definedName>
    <definedName name="Norcon_Net_ATCash" localSheetId="13">Wheatland!$B$528:$L$528</definedName>
    <definedName name="Norcon_Net_Income" localSheetId="12">Gleason!$B$549:$L$549</definedName>
    <definedName name="Norcon_Net_Income" localSheetId="11">'New Albany'!$B$560:$L$560</definedName>
    <definedName name="Norcon_Net_Income" localSheetId="13">Wheatland!$B$526:$L$526</definedName>
    <definedName name="PERIOD1" localSheetId="6">'[6]Consol Summary'!#REF!</definedName>
    <definedName name="PERIOD1">'[3]Project Assumptions'!#REF!</definedName>
    <definedName name="PERIOD2" localSheetId="6">'[6]Consol Summary'!#REF!</definedName>
    <definedName name="PERIOD2">'[3]Project Assumptions'!#REF!</definedName>
    <definedName name="PRI_Cash_Taxes" localSheetId="12">Gleason!$D$229:$H$229</definedName>
    <definedName name="PRI_Cash_Taxes" localSheetId="11">'New Albany'!$D$240:$H$240</definedName>
    <definedName name="PRI_Cash_Taxes" localSheetId="13">Wheatland!$D$206:$H$206</definedName>
    <definedName name="PRI_Net_ATCash" localSheetId="12">Gleason!$D$237:$H$237</definedName>
    <definedName name="PRI_Net_ATCash" localSheetId="11">'New Albany'!$D$248:$H$248</definedName>
    <definedName name="PRI_Net_ATCash" localSheetId="13">Wheatland!$D$214:$H$214</definedName>
    <definedName name="PRI_Net_Income" localSheetId="12">Gleason!$D$236:$H$236</definedName>
    <definedName name="PRI_Net_Income" localSheetId="11">'New Albany'!$D$247:$H$247</definedName>
    <definedName name="PRI_Net_Income" localSheetId="13">Wheatland!$D$213:$H$213</definedName>
    <definedName name="principal" localSheetId="6">'[6]Consol Summary'!#REF!</definedName>
    <definedName name="principal">'[3]Debt Amortization'!#REF!</definedName>
    <definedName name="_xlnm.Print_Area" localSheetId="15">Allocation!$A$1:$E$17</definedName>
    <definedName name="_xlnm.Print_Area" localSheetId="1">Assumptions!$A$1:$K$55</definedName>
    <definedName name="_xlnm.Print_Area" localSheetId="9">Brownsville!$A$2:$U$105</definedName>
    <definedName name="_xlnm.Print_Area" localSheetId="10">Caledonia!$A$2:$U$102</definedName>
    <definedName name="_xlnm.Print_Area" localSheetId="5">CF!$A$1:$V$40</definedName>
    <definedName name="_xlnm.Print_Area" localSheetId="7">'Contract Amortization'!$A$2:$F$54</definedName>
    <definedName name="_xlnm.Print_Area" localSheetId="4">Debt!$A$1:$U$88</definedName>
    <definedName name="_xlnm.Print_Area" localSheetId="6">Depreciation!$A$2:$V$113</definedName>
    <definedName name="_xlnm.Print_Area" localSheetId="12">Gleason!$A$2:$U$105</definedName>
    <definedName name="_xlnm.Print_Area" localSheetId="3">IS!$A$2:$U$47</definedName>
    <definedName name="_xlnm.Print_Area" localSheetId="11">'New Albany'!$A$2:$U$102</definedName>
    <definedName name="_xlnm.Print_Area" localSheetId="0">'Summary Output'!$A$3:$G$67</definedName>
    <definedName name="_xlnm.Print_Area" localSheetId="8">Tax!$A$2:$U$20</definedName>
    <definedName name="_xlnm.Print_Area" localSheetId="13">Wheatland!$A$2:$U$106</definedName>
    <definedName name="_xlnm.Print_Area" localSheetId="14">Wilton!$A$2:$U$99</definedName>
    <definedName name="ProjectLife">'[7]Project Assumptions'!$I$15</definedName>
    <definedName name="Saranac_Distributable_Cash" localSheetId="12">Gleason!$D$404:$N$404</definedName>
    <definedName name="Saranac_Distributable_Cash" localSheetId="11">'New Albany'!$D$415:$N$415</definedName>
    <definedName name="Saranac_Distributable_Cash" localSheetId="13">Wheatland!$D$381:$N$381</definedName>
    <definedName name="Saranac_Net_ATCash" localSheetId="12">Gleason!$D$405:$N$405</definedName>
    <definedName name="Saranac_Net_ATCash" localSheetId="11">'New Albany'!$D$416:$N$416</definedName>
    <definedName name="Saranac_Net_ATCash" localSheetId="13">Wheatland!$D$382:$N$382</definedName>
    <definedName name="Saranac_Net_Income" localSheetId="12">Gleason!$D$403:$N$403</definedName>
    <definedName name="Saranac_Net_Income" localSheetId="11">'New Albany'!$D$414:$N$414</definedName>
    <definedName name="Saranac_Net_Income" localSheetId="13">Wheatland!$D$380:$N$380</definedName>
    <definedName name="solver_adj" localSheetId="4" hidden="1">Debt!$B$14,Debt!$B$34,Debt!$B$54</definedName>
    <definedName name="solver_cvg" localSheetId="4" hidden="1">0.001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Debt!$B$2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tartMWh" localSheetId="6">'[6]Consol Summary'!#REF!</definedName>
    <definedName name="StartMWh">'[3]Project Assumptions'!#REF!</definedName>
    <definedName name="Tax_Depreciation" localSheetId="12">Gleason!#REF!</definedName>
    <definedName name="Tax_Depreciation" localSheetId="11">'New Albany'!#REF!</definedName>
    <definedName name="Tax_Depreciation" localSheetId="13">Wheatland!#REF!</definedName>
    <definedName name="Taxable_Income" localSheetId="12">Gleason!#REF!</definedName>
    <definedName name="Taxable_Income" localSheetId="11">'New Albany'!#REF!</definedName>
    <definedName name="Taxable_Income" localSheetId="13">Wheatland!#REF!</definedName>
    <definedName name="Variable" localSheetId="6">[8]Assumptions!#REF!</definedName>
    <definedName name="Variable">[1]Assumptions!#REF!</definedName>
    <definedName name="WaterTreatmentVar" localSheetId="6">[8]Assumptions!#REF!</definedName>
    <definedName name="WaterTreatmentVar">[1]Assumptions!#REF!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12">Gleason!$D$366:$U$366</definedName>
    <definedName name="Yuma_Distributable_Cash" localSheetId="11">'New Albany'!$D$377:$U$377</definedName>
    <definedName name="Yuma_Distributable_Cash" localSheetId="13">Wheatland!$D$343:$U$343</definedName>
    <definedName name="Yuma_Net_ATCash" localSheetId="12">Gleason!$D$367:$U$367</definedName>
    <definedName name="Yuma_Net_ATCash" localSheetId="11">'New Albany'!$D$378:$U$378</definedName>
    <definedName name="Yuma_Net_ATCash" localSheetId="13">Wheatland!$D$344:$U$344</definedName>
    <definedName name="Yuma_Net_Income" localSheetId="12">Gleason!$D$365:$U$365</definedName>
    <definedName name="Yuma_Net_Income" localSheetId="11">'New Albany'!$D$376:$U$376</definedName>
    <definedName name="Yuma_Net_Income" localSheetId="13">Wheatland!$D$342:$U$342</definedName>
    <definedName name="zinc" localSheetId="12">Gleason!$X$14</definedName>
    <definedName name="zinc" localSheetId="11">'New Albany'!$X$14</definedName>
    <definedName name="zinc" localSheetId="13">Wheatland!$X$11</definedName>
    <definedName name="Zinc_Distributable_Cash" localSheetId="12">Gleason!$D$130:$U$130</definedName>
    <definedName name="Zinc_Distributable_Cash" localSheetId="11">'New Albany'!$D$141:$U$141</definedName>
    <definedName name="Zinc_Distributable_Cash" localSheetId="13">Wheatland!$D$107:$U$107</definedName>
    <definedName name="Zinc_Net_ATCash" localSheetId="12">Gleason!$D$131:$U$131</definedName>
    <definedName name="Zinc_Net_ATCash" localSheetId="11">'New Albany'!$D$142:$U$142</definedName>
    <definedName name="Zinc_Net_ATCash" localSheetId="13">Wheatland!$D$108:$U$108</definedName>
    <definedName name="Zinc_Net_Income" localSheetId="12">Gleason!$D$129:$U$129</definedName>
    <definedName name="Zinc_Net_Income" localSheetId="11">'New Albany'!$D$140:$U$140</definedName>
    <definedName name="Zinc_Net_Income" localSheetId="13">Wheatland!$D$106:$U$106</definedName>
  </definedNames>
  <calcPr calcId="152511"/>
</workbook>
</file>

<file path=xl/calcChain.xml><?xml version="1.0" encoding="utf-8"?>
<calcChain xmlns="http://schemas.openxmlformats.org/spreadsheetml/2006/main">
  <c r="C10" i="16" l="1"/>
  <c r="E10" i="16"/>
  <c r="C15" i="16"/>
  <c r="E15" i="16"/>
  <c r="E17" i="16" s="1"/>
  <c r="C17" i="16"/>
  <c r="K8" i="23"/>
  <c r="K9" i="23"/>
  <c r="K10" i="23"/>
  <c r="K11" i="23"/>
  <c r="C12" i="23"/>
  <c r="D12" i="23"/>
  <c r="E12" i="23"/>
  <c r="E23" i="23" s="1"/>
  <c r="E37" i="23" s="1"/>
  <c r="G12" i="23"/>
  <c r="H12" i="23"/>
  <c r="I12" i="23"/>
  <c r="I23" i="23" s="1"/>
  <c r="I37" i="23" s="1"/>
  <c r="K12" i="23"/>
  <c r="D18" i="23"/>
  <c r="E18" i="23"/>
  <c r="G18" i="23"/>
  <c r="H18" i="23"/>
  <c r="I18" i="23"/>
  <c r="C19" i="23"/>
  <c r="D20" i="23"/>
  <c r="E20" i="23"/>
  <c r="G20" i="23"/>
  <c r="H20" i="23"/>
  <c r="I20" i="23"/>
  <c r="C21" i="23"/>
  <c r="D21" i="23"/>
  <c r="E21" i="23"/>
  <c r="G21" i="23"/>
  <c r="H21" i="23"/>
  <c r="I21" i="23"/>
  <c r="C22" i="23"/>
  <c r="D22" i="23"/>
  <c r="E22" i="23"/>
  <c r="G22" i="23"/>
  <c r="H22" i="23"/>
  <c r="I22" i="23"/>
  <c r="C23" i="23"/>
  <c r="H17" i="9" s="1"/>
  <c r="D23" i="23"/>
  <c r="G23" i="23"/>
  <c r="H23" i="23"/>
  <c r="D27" i="23"/>
  <c r="E27" i="23"/>
  <c r="G27" i="23"/>
  <c r="H27" i="23"/>
  <c r="I27" i="23"/>
  <c r="D33" i="23"/>
  <c r="E33" i="23"/>
  <c r="G33" i="23"/>
  <c r="H33" i="23"/>
  <c r="I33" i="23"/>
  <c r="C37" i="23"/>
  <c r="D37" i="23"/>
  <c r="G37" i="23"/>
  <c r="H37" i="23"/>
  <c r="C38" i="23"/>
  <c r="D38" i="23"/>
  <c r="E38" i="23"/>
  <c r="G38" i="23"/>
  <c r="H38" i="23"/>
  <c r="I38" i="23"/>
  <c r="C41" i="23"/>
  <c r="D41" i="23"/>
  <c r="E41" i="23"/>
  <c r="G41" i="23"/>
  <c r="H41" i="23"/>
  <c r="I41" i="23"/>
  <c r="C5" i="9"/>
  <c r="D5" i="9" s="1"/>
  <c r="B11" i="9"/>
  <c r="C11" i="9" s="1"/>
  <c r="G17" i="9"/>
  <c r="O17" i="9"/>
  <c r="W18" i="9"/>
  <c r="B23" i="9"/>
  <c r="C23" i="9"/>
  <c r="D23" i="9" s="1"/>
  <c r="B24" i="9"/>
  <c r="C24" i="9" s="1"/>
  <c r="B25" i="9"/>
  <c r="C25" i="9"/>
  <c r="B26" i="9"/>
  <c r="C26" i="9" s="1"/>
  <c r="B27" i="9"/>
  <c r="C27" i="9"/>
  <c r="D27" i="9" s="1"/>
  <c r="E27" i="9" s="1"/>
  <c r="F27" i="9" s="1"/>
  <c r="G27" i="9" s="1"/>
  <c r="H27" i="9" s="1"/>
  <c r="I27" i="9" s="1"/>
  <c r="J27" i="9" s="1"/>
  <c r="K27" i="9"/>
  <c r="L27" i="9" s="1"/>
  <c r="M27" i="9" s="1"/>
  <c r="N27" i="9" s="1"/>
  <c r="O27" i="9" s="1"/>
  <c r="P27" i="9" s="1"/>
  <c r="Q27" i="9" s="1"/>
  <c r="R27" i="9" s="1"/>
  <c r="S27" i="9" s="1"/>
  <c r="T27" i="9" s="1"/>
  <c r="U27" i="9" s="1"/>
  <c r="U28" i="9"/>
  <c r="W28" i="9" s="1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C54" i="9"/>
  <c r="D54" i="9" s="1"/>
  <c r="E54" i="9" s="1"/>
  <c r="F54" i="9" s="1"/>
  <c r="G54" i="9" s="1"/>
  <c r="H54" i="9" s="1"/>
  <c r="I54" i="9"/>
  <c r="J54" i="9" s="1"/>
  <c r="K54" i="9" s="1"/>
  <c r="L54" i="9" s="1"/>
  <c r="M54" i="9" s="1"/>
  <c r="N54" i="9" s="1"/>
  <c r="O54" i="9" s="1"/>
  <c r="P54" i="9" s="1"/>
  <c r="Q54" i="9" s="1"/>
  <c r="R54" i="9" s="1"/>
  <c r="S54" i="9" s="1"/>
  <c r="T54" i="9" s="1"/>
  <c r="U54" i="9" s="1"/>
  <c r="B57" i="9"/>
  <c r="C57" i="9"/>
  <c r="D57" i="9"/>
  <c r="E57" i="9"/>
  <c r="F57" i="9"/>
  <c r="G57" i="9"/>
  <c r="H57" i="9"/>
  <c r="I58" i="9" s="1"/>
  <c r="I57" i="9"/>
  <c r="J58" i="9" s="1"/>
  <c r="J57" i="9"/>
  <c r="K58" i="9" s="1"/>
  <c r="K57" i="9"/>
  <c r="L57" i="9"/>
  <c r="M57" i="9"/>
  <c r="N57" i="9"/>
  <c r="O57" i="9"/>
  <c r="P57" i="9"/>
  <c r="Q58" i="9" s="1"/>
  <c r="Q57" i="9"/>
  <c r="R58" i="9" s="1"/>
  <c r="R57" i="9"/>
  <c r="S58" i="9" s="1"/>
  <c r="S57" i="9"/>
  <c r="T57" i="9"/>
  <c r="U57" i="9" s="1"/>
  <c r="D58" i="9"/>
  <c r="E58" i="9"/>
  <c r="F58" i="9"/>
  <c r="G58" i="9"/>
  <c r="H58" i="9"/>
  <c r="L58" i="9"/>
  <c r="M58" i="9"/>
  <c r="N58" i="9"/>
  <c r="O58" i="9"/>
  <c r="P58" i="9"/>
  <c r="T58" i="9"/>
  <c r="U58" i="9"/>
  <c r="W83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W86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G99" i="9"/>
  <c r="B5" i="10"/>
  <c r="C5" i="10"/>
  <c r="Z8" i="10"/>
  <c r="B10" i="10"/>
  <c r="C10" i="10" s="1"/>
  <c r="B11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W17" i="10"/>
  <c r="W18" i="10"/>
  <c r="B23" i="10"/>
  <c r="C23" i="10" s="1"/>
  <c r="B24" i="10"/>
  <c r="C24" i="10" s="1"/>
  <c r="D24" i="10" s="1"/>
  <c r="AB8" i="10" s="1"/>
  <c r="B25" i="10"/>
  <c r="C25" i="10"/>
  <c r="D25" i="10" s="1"/>
  <c r="B26" i="10"/>
  <c r="C26" i="10"/>
  <c r="D26" i="10"/>
  <c r="E26" i="10" s="1"/>
  <c r="B27" i="10"/>
  <c r="C27" i="10" s="1"/>
  <c r="U28" i="10"/>
  <c r="W28" i="10" s="1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C54" i="10"/>
  <c r="D54" i="10" s="1"/>
  <c r="E54" i="10" s="1"/>
  <c r="F54" i="10" s="1"/>
  <c r="G54" i="10" s="1"/>
  <c r="H54" i="10" s="1"/>
  <c r="I54" i="10" s="1"/>
  <c r="J54" i="10" s="1"/>
  <c r="K54" i="10"/>
  <c r="L54" i="10" s="1"/>
  <c r="M54" i="10" s="1"/>
  <c r="N54" i="10" s="1"/>
  <c r="O54" i="10" s="1"/>
  <c r="P54" i="10" s="1"/>
  <c r="Q54" i="10" s="1"/>
  <c r="R54" i="10" s="1"/>
  <c r="S54" i="10" s="1"/>
  <c r="T54" i="10" s="1"/>
  <c r="U54" i="10" s="1"/>
  <c r="B57" i="10"/>
  <c r="C58" i="10" s="1"/>
  <c r="C57" i="10"/>
  <c r="D57" i="10"/>
  <c r="E57" i="10"/>
  <c r="F58" i="10" s="1"/>
  <c r="F57" i="10"/>
  <c r="G58" i="10" s="1"/>
  <c r="G57" i="10"/>
  <c r="H58" i="10" s="1"/>
  <c r="H57" i="10"/>
  <c r="I58" i="10" s="1"/>
  <c r="I57" i="10"/>
  <c r="J57" i="10"/>
  <c r="K58" i="10" s="1"/>
  <c r="K57" i="10"/>
  <c r="L57" i="10"/>
  <c r="M57" i="10"/>
  <c r="N58" i="10" s="1"/>
  <c r="N57" i="10"/>
  <c r="O58" i="10" s="1"/>
  <c r="O57" i="10"/>
  <c r="P58" i="10" s="1"/>
  <c r="P57" i="10"/>
  <c r="Q58" i="10" s="1"/>
  <c r="Q57" i="10"/>
  <c r="R57" i="10"/>
  <c r="S58" i="10" s="1"/>
  <c r="S57" i="10"/>
  <c r="T57" i="10"/>
  <c r="U57" i="10"/>
  <c r="W57" i="10"/>
  <c r="D58" i="10"/>
  <c r="E58" i="10"/>
  <c r="J58" i="10"/>
  <c r="L58" i="10"/>
  <c r="M58" i="10"/>
  <c r="R58" i="10"/>
  <c r="T58" i="10"/>
  <c r="U58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D7" i="5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B8" i="5"/>
  <c r="C13" i="5"/>
  <c r="B17" i="5"/>
  <c r="B22" i="5"/>
  <c r="D27" i="5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B30" i="5"/>
  <c r="J8" i="24"/>
  <c r="D9" i="24"/>
  <c r="E9" i="24"/>
  <c r="F9" i="24"/>
  <c r="D15" i="24"/>
  <c r="E15" i="24"/>
  <c r="F15" i="24"/>
  <c r="D21" i="24"/>
  <c r="E21" i="24"/>
  <c r="F21" i="24"/>
  <c r="D27" i="24"/>
  <c r="E27" i="24"/>
  <c r="F27" i="24"/>
  <c r="D33" i="24"/>
  <c r="E33" i="24"/>
  <c r="F33" i="24"/>
  <c r="D39" i="24"/>
  <c r="E39" i="24"/>
  <c r="F39" i="24"/>
  <c r="C45" i="24"/>
  <c r="C49" i="24"/>
  <c r="C53" i="24"/>
  <c r="C5" i="22"/>
  <c r="D5" i="22" s="1"/>
  <c r="E5" i="22" s="1"/>
  <c r="F5" i="22"/>
  <c r="G5" i="22" s="1"/>
  <c r="H5" i="22" s="1"/>
  <c r="I5" i="22" s="1"/>
  <c r="J5" i="22" s="1"/>
  <c r="K5" i="22" s="1"/>
  <c r="L5" i="22" s="1"/>
  <c r="M5" i="22" s="1"/>
  <c r="N5" i="22"/>
  <c r="O5" i="22" s="1"/>
  <c r="P5" i="22" s="1"/>
  <c r="Q5" i="22" s="1"/>
  <c r="R5" i="22" s="1"/>
  <c r="S5" i="22" s="1"/>
  <c r="T5" i="22" s="1"/>
  <c r="U5" i="22" s="1"/>
  <c r="B11" i="22"/>
  <c r="B14" i="22"/>
  <c r="B17" i="22"/>
  <c r="B19" i="22"/>
  <c r="C19" i="22"/>
  <c r="E19" i="22"/>
  <c r="F19" i="22"/>
  <c r="G19" i="22"/>
  <c r="H19" i="22"/>
  <c r="I19" i="22"/>
  <c r="J19" i="22"/>
  <c r="K19" i="22"/>
  <c r="M19" i="22"/>
  <c r="N19" i="22"/>
  <c r="O19" i="22"/>
  <c r="P19" i="22"/>
  <c r="Q19" i="22"/>
  <c r="R19" i="22"/>
  <c r="S19" i="22"/>
  <c r="U19" i="22"/>
  <c r="B26" i="22"/>
  <c r="C26" i="22"/>
  <c r="E26" i="22"/>
  <c r="F26" i="22"/>
  <c r="G26" i="22"/>
  <c r="H26" i="22"/>
  <c r="I26" i="22"/>
  <c r="J26" i="22"/>
  <c r="K26" i="22"/>
  <c r="M26" i="22"/>
  <c r="N26" i="22"/>
  <c r="O26" i="22"/>
  <c r="P26" i="22"/>
  <c r="Q26" i="22"/>
  <c r="R26" i="22"/>
  <c r="S26" i="22"/>
  <c r="U26" i="22"/>
  <c r="B31" i="22"/>
  <c r="B34" i="22"/>
  <c r="D39" i="22"/>
  <c r="E39" i="22"/>
  <c r="H39" i="22"/>
  <c r="I39" i="22"/>
  <c r="K39" i="22"/>
  <c r="L39" i="22"/>
  <c r="M39" i="22"/>
  <c r="Q39" i="22"/>
  <c r="S39" i="22"/>
  <c r="T39" i="22"/>
  <c r="U39" i="22"/>
  <c r="C46" i="22"/>
  <c r="D46" i="22"/>
  <c r="E46" i="22"/>
  <c r="H46" i="22"/>
  <c r="I46" i="22"/>
  <c r="K46" i="22"/>
  <c r="M46" i="22"/>
  <c r="P46" i="22"/>
  <c r="Q46" i="22"/>
  <c r="S46" i="22"/>
  <c r="T46" i="22"/>
  <c r="U46" i="22"/>
  <c r="B51" i="22"/>
  <c r="B54" i="22"/>
  <c r="C59" i="22"/>
  <c r="D59" i="22"/>
  <c r="L59" i="22"/>
  <c r="O59" i="22"/>
  <c r="P59" i="22"/>
  <c r="H66" i="22"/>
  <c r="L66" i="22"/>
  <c r="N66" i="22"/>
  <c r="E95" i="22"/>
  <c r="E97" i="22" s="1"/>
  <c r="B20" i="22" s="1"/>
  <c r="J95" i="22"/>
  <c r="O95" i="22"/>
  <c r="E96" i="22"/>
  <c r="J96" i="22"/>
  <c r="O96" i="22"/>
  <c r="O97" i="22" s="1"/>
  <c r="J98" i="22"/>
  <c r="O98" i="22"/>
  <c r="E100" i="22"/>
  <c r="J100" i="22"/>
  <c r="O100" i="22"/>
  <c r="B105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B106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E5" i="20"/>
  <c r="F5" i="20" s="1"/>
  <c r="G5" i="20" s="1"/>
  <c r="H5" i="20" s="1"/>
  <c r="I5" i="20" s="1"/>
  <c r="I68" i="20" s="1"/>
  <c r="E6" i="20"/>
  <c r="F6" i="20"/>
  <c r="G6" i="20" s="1"/>
  <c r="G86" i="20" s="1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Z62" i="20"/>
  <c r="B68" i="20"/>
  <c r="C68" i="20"/>
  <c r="D68" i="20"/>
  <c r="E68" i="20"/>
  <c r="F68" i="20"/>
  <c r="H68" i="20"/>
  <c r="B74" i="20"/>
  <c r="C74" i="20"/>
  <c r="D74" i="20"/>
  <c r="E74" i="20"/>
  <c r="F74" i="20"/>
  <c r="H74" i="20"/>
  <c r="B80" i="20"/>
  <c r="C80" i="20"/>
  <c r="D80" i="20"/>
  <c r="E80" i="20"/>
  <c r="F80" i="20"/>
  <c r="G80" i="20"/>
  <c r="H80" i="20"/>
  <c r="I80" i="20"/>
  <c r="B86" i="20"/>
  <c r="C86" i="20"/>
  <c r="D86" i="20"/>
  <c r="E86" i="20"/>
  <c r="F86" i="20"/>
  <c r="B92" i="20"/>
  <c r="C92" i="20"/>
  <c r="D92" i="20"/>
  <c r="E92" i="20"/>
  <c r="F92" i="20"/>
  <c r="B98" i="20"/>
  <c r="C98" i="20"/>
  <c r="D98" i="20"/>
  <c r="E98" i="20"/>
  <c r="F98" i="20"/>
  <c r="B110" i="20"/>
  <c r="D112" i="20" s="1"/>
  <c r="C111" i="20"/>
  <c r="D111" i="20"/>
  <c r="E111" i="20"/>
  <c r="E112" i="20" s="1"/>
  <c r="F111" i="20"/>
  <c r="G111" i="20"/>
  <c r="H111" i="20"/>
  <c r="H112" i="20" s="1"/>
  <c r="I111" i="20"/>
  <c r="J111" i="20"/>
  <c r="K111" i="20"/>
  <c r="L111" i="20"/>
  <c r="M111" i="20"/>
  <c r="N111" i="20"/>
  <c r="O111" i="20"/>
  <c r="P111" i="20"/>
  <c r="Q111" i="20"/>
  <c r="R111" i="20"/>
  <c r="S111" i="20"/>
  <c r="T111" i="20"/>
  <c r="U111" i="20"/>
  <c r="U112" i="20" s="1"/>
  <c r="V111" i="20"/>
  <c r="C112" i="20"/>
  <c r="G112" i="20"/>
  <c r="I112" i="20"/>
  <c r="K112" i="20"/>
  <c r="M112" i="20"/>
  <c r="O112" i="20"/>
  <c r="P112" i="20"/>
  <c r="Q112" i="20"/>
  <c r="S112" i="20"/>
  <c r="B5" i="12"/>
  <c r="C5" i="12"/>
  <c r="D5" i="12" s="1"/>
  <c r="E5" i="12"/>
  <c r="B10" i="12"/>
  <c r="C10" i="12" s="1"/>
  <c r="B11" i="12"/>
  <c r="E16" i="12"/>
  <c r="E17" i="12"/>
  <c r="W17" i="12" s="1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W18" i="12"/>
  <c r="B23" i="12"/>
  <c r="C23" i="12"/>
  <c r="B24" i="12"/>
  <c r="B25" i="12"/>
  <c r="C25" i="12"/>
  <c r="D25" i="12"/>
  <c r="E25" i="12" s="1"/>
  <c r="F25" i="12" s="1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/>
  <c r="T25" i="12" s="1"/>
  <c r="U25" i="12" s="1"/>
  <c r="B26" i="12"/>
  <c r="B27" i="12"/>
  <c r="W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C54" i="12"/>
  <c r="D54" i="12" s="1"/>
  <c r="E54" i="12" s="1"/>
  <c r="F54" i="12" s="1"/>
  <c r="G54" i="12" s="1"/>
  <c r="H54" i="12" s="1"/>
  <c r="I54" i="12" s="1"/>
  <c r="J54" i="12" s="1"/>
  <c r="K54" i="12" s="1"/>
  <c r="L54" i="12" s="1"/>
  <c r="M54" i="12"/>
  <c r="N54" i="12" s="1"/>
  <c r="O54" i="12" s="1"/>
  <c r="P54" i="12" s="1"/>
  <c r="Q54" i="12" s="1"/>
  <c r="R54" i="12" s="1"/>
  <c r="S54" i="12" s="1"/>
  <c r="T54" i="12" s="1"/>
  <c r="U54" i="12" s="1"/>
  <c r="B57" i="12"/>
  <c r="C58" i="12" s="1"/>
  <c r="C57" i="12"/>
  <c r="D57" i="12"/>
  <c r="E57" i="12"/>
  <c r="F58" i="12" s="1"/>
  <c r="F57" i="12"/>
  <c r="G58" i="12" s="1"/>
  <c r="G57" i="12"/>
  <c r="H57" i="12"/>
  <c r="I57" i="12"/>
  <c r="J57" i="12"/>
  <c r="K58" i="12" s="1"/>
  <c r="K57" i="12"/>
  <c r="L57" i="12"/>
  <c r="M58" i="12" s="1"/>
  <c r="M57" i="12"/>
  <c r="N58" i="12" s="1"/>
  <c r="N57" i="12"/>
  <c r="O58" i="12" s="1"/>
  <c r="O57" i="12"/>
  <c r="P57" i="12"/>
  <c r="Q57" i="12"/>
  <c r="R57" i="12"/>
  <c r="S58" i="12" s="1"/>
  <c r="S57" i="12"/>
  <c r="T57" i="12"/>
  <c r="U58" i="12" s="1"/>
  <c r="U57" i="12"/>
  <c r="D58" i="12"/>
  <c r="H58" i="12"/>
  <c r="I58" i="12"/>
  <c r="J58" i="12"/>
  <c r="L58" i="12"/>
  <c r="P58" i="12"/>
  <c r="Q58" i="12"/>
  <c r="R58" i="12"/>
  <c r="T58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W8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B5" i="4"/>
  <c r="C5" i="4" s="1"/>
  <c r="D5" i="4" s="1"/>
  <c r="E5" i="4" s="1"/>
  <c r="F5" i="4"/>
  <c r="G5" i="4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6" i="4"/>
  <c r="C16" i="4"/>
  <c r="D16" i="4"/>
  <c r="B17" i="4"/>
  <c r="C17" i="4"/>
  <c r="D17" i="4"/>
  <c r="B18" i="4"/>
  <c r="C18" i="4"/>
  <c r="D18" i="4"/>
  <c r="B29" i="4"/>
  <c r="C29" i="4"/>
  <c r="D12" i="5" s="1"/>
  <c r="E13" i="5" s="1"/>
  <c r="D29" i="4"/>
  <c r="E12" i="5" s="1"/>
  <c r="F13" i="5" s="1"/>
  <c r="E29" i="4"/>
  <c r="F12" i="5" s="1"/>
  <c r="G13" i="5" s="1"/>
  <c r="F29" i="4"/>
  <c r="G12" i="5" s="1"/>
  <c r="H13" i="5" s="1"/>
  <c r="G29" i="4"/>
  <c r="H12" i="5" s="1"/>
  <c r="I13" i="5" s="1"/>
  <c r="H29" i="4"/>
  <c r="I12" i="5" s="1"/>
  <c r="J13" i="5" s="1"/>
  <c r="I29" i="4"/>
  <c r="J12" i="5" s="1"/>
  <c r="K13" i="5" s="1"/>
  <c r="J29" i="4"/>
  <c r="K12" i="5" s="1"/>
  <c r="L13" i="5" s="1"/>
  <c r="K29" i="4"/>
  <c r="L12" i="5" s="1"/>
  <c r="M13" i="5" s="1"/>
  <c r="L29" i="4"/>
  <c r="M12" i="5" s="1"/>
  <c r="N13" i="5" s="1"/>
  <c r="M29" i="4"/>
  <c r="N12" i="5" s="1"/>
  <c r="O13" i="5" s="1"/>
  <c r="N29" i="4"/>
  <c r="O12" i="5" s="1"/>
  <c r="P13" i="5" s="1"/>
  <c r="O29" i="4"/>
  <c r="P12" i="5" s="1"/>
  <c r="Q13" i="5" s="1"/>
  <c r="P29" i="4"/>
  <c r="Q12" i="5" s="1"/>
  <c r="R13" i="5" s="1"/>
  <c r="Q29" i="4"/>
  <c r="R12" i="5" s="1"/>
  <c r="S13" i="5" s="1"/>
  <c r="R29" i="4"/>
  <c r="S12" i="5" s="1"/>
  <c r="T13" i="5" s="1"/>
  <c r="S29" i="4"/>
  <c r="T12" i="5" s="1"/>
  <c r="U13" i="5" s="1"/>
  <c r="T29" i="4"/>
  <c r="U12" i="5" s="1"/>
  <c r="V13" i="5" s="1"/>
  <c r="B5" i="11"/>
  <c r="C5" i="11" s="1"/>
  <c r="D5" i="11" s="1"/>
  <c r="E5" i="11" s="1"/>
  <c r="B10" i="11"/>
  <c r="Z7" i="11" s="1"/>
  <c r="B11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W18" i="11"/>
  <c r="B23" i="11"/>
  <c r="C23" i="11"/>
  <c r="D23" i="11"/>
  <c r="E23" i="11" s="1"/>
  <c r="B24" i="11"/>
  <c r="C24" i="11"/>
  <c r="D24" i="11"/>
  <c r="B25" i="11"/>
  <c r="B26" i="11"/>
  <c r="B27" i="11"/>
  <c r="C27" i="11"/>
  <c r="D27" i="11"/>
  <c r="E27" i="11"/>
  <c r="F27" i="11" s="1"/>
  <c r="G27" i="11" s="1"/>
  <c r="H27" i="11" s="1"/>
  <c r="I27" i="11" s="1"/>
  <c r="J27" i="11" s="1"/>
  <c r="K27" i="11" s="1"/>
  <c r="L27" i="11" s="1"/>
  <c r="M27" i="11" s="1"/>
  <c r="N27" i="11" s="1"/>
  <c r="O27" i="11" s="1"/>
  <c r="P27" i="11" s="1"/>
  <c r="Q27" i="11" s="1"/>
  <c r="R27" i="11" s="1"/>
  <c r="S27" i="11" s="1"/>
  <c r="T27" i="11" s="1"/>
  <c r="U27" i="11" s="1"/>
  <c r="U28" i="11"/>
  <c r="U29" i="4" s="1"/>
  <c r="V12" i="5" s="1"/>
  <c r="W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C54" i="11"/>
  <c r="D54" i="11"/>
  <c r="E54" i="11"/>
  <c r="F54" i="11" s="1"/>
  <c r="G54" i="11" s="1"/>
  <c r="H54" i="11" s="1"/>
  <c r="I54" i="11" s="1"/>
  <c r="J54" i="11" s="1"/>
  <c r="K54" i="11" s="1"/>
  <c r="L54" i="11" s="1"/>
  <c r="M54" i="11" s="1"/>
  <c r="N54" i="11" s="1"/>
  <c r="O54" i="11" s="1"/>
  <c r="P54" i="11" s="1"/>
  <c r="Q54" i="11" s="1"/>
  <c r="R54" i="11" s="1"/>
  <c r="S54" i="11" s="1"/>
  <c r="T54" i="11" s="1"/>
  <c r="U54" i="11" s="1"/>
  <c r="B57" i="11"/>
  <c r="C57" i="11"/>
  <c r="D58" i="11" s="1"/>
  <c r="D57" i="11"/>
  <c r="E58" i="11" s="1"/>
  <c r="E57" i="11"/>
  <c r="F57" i="11"/>
  <c r="G57" i="11"/>
  <c r="H57" i="11"/>
  <c r="I58" i="11" s="1"/>
  <c r="I57" i="11"/>
  <c r="J57" i="11"/>
  <c r="K58" i="11" s="1"/>
  <c r="K57" i="11"/>
  <c r="L57" i="11"/>
  <c r="M58" i="11" s="1"/>
  <c r="M57" i="11"/>
  <c r="N57" i="11"/>
  <c r="O57" i="11"/>
  <c r="P57" i="11"/>
  <c r="Q58" i="11" s="1"/>
  <c r="Q57" i="11"/>
  <c r="R57" i="11"/>
  <c r="S58" i="11" s="1"/>
  <c r="S57" i="11"/>
  <c r="T57" i="11"/>
  <c r="U57" i="11" s="1"/>
  <c r="F58" i="11"/>
  <c r="G58" i="11"/>
  <c r="H58" i="11"/>
  <c r="J58" i="11"/>
  <c r="L58" i="11"/>
  <c r="N58" i="11"/>
  <c r="O58" i="11"/>
  <c r="P58" i="11"/>
  <c r="R58" i="11"/>
  <c r="T58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D6" i="3"/>
  <c r="E6" i="3"/>
  <c r="F6" i="3"/>
  <c r="D7" i="3"/>
  <c r="E7" i="3"/>
  <c r="F7" i="3"/>
  <c r="G7" i="3"/>
  <c r="H7" i="3"/>
  <c r="I7" i="3"/>
  <c r="J7" i="3"/>
  <c r="K7" i="3"/>
  <c r="D8" i="3"/>
  <c r="E8" i="3"/>
  <c r="F8" i="3"/>
  <c r="G8" i="3"/>
  <c r="H8" i="3"/>
  <c r="I8" i="3"/>
  <c r="J8" i="3"/>
  <c r="K8" i="3"/>
  <c r="L8" i="3"/>
  <c r="M8" i="3"/>
  <c r="N8" i="3"/>
  <c r="O8" i="3"/>
  <c r="P8" i="3"/>
  <c r="D9" i="3"/>
  <c r="E9" i="3"/>
  <c r="E11" i="3" s="1"/>
  <c r="E49" i="3" s="1"/>
  <c r="F9" i="3"/>
  <c r="F11" i="3" s="1"/>
  <c r="F66" i="3" s="1"/>
  <c r="G9" i="3"/>
  <c r="G11" i="3" s="1"/>
  <c r="H9" i="3"/>
  <c r="I9" i="3"/>
  <c r="I11" i="3" s="1"/>
  <c r="J9" i="3"/>
  <c r="K9" i="3"/>
  <c r="L9" i="3"/>
  <c r="M9" i="3"/>
  <c r="M11" i="3" s="1"/>
  <c r="N9" i="3"/>
  <c r="N11" i="3" s="1"/>
  <c r="O9" i="3"/>
  <c r="O11" i="3" s="1"/>
  <c r="P9" i="3"/>
  <c r="Q9" i="3"/>
  <c r="Q11" i="3" s="1"/>
  <c r="R9" i="3"/>
  <c r="S9" i="3"/>
  <c r="T9" i="3"/>
  <c r="U9" i="3"/>
  <c r="U11" i="3" s="1"/>
  <c r="U66" i="3" s="1"/>
  <c r="C11" i="3"/>
  <c r="H11" i="3" s="1"/>
  <c r="D11" i="3"/>
  <c r="D32" i="3" s="1"/>
  <c r="J11" i="3"/>
  <c r="K11" i="3"/>
  <c r="L11" i="3"/>
  <c r="R11" i="3"/>
  <c r="S11" i="3"/>
  <c r="T11" i="3"/>
  <c r="V11" i="3"/>
  <c r="W11" i="3"/>
  <c r="C15" i="3"/>
  <c r="D25" i="3" s="1"/>
  <c r="D28" i="3" s="1"/>
  <c r="E25" i="3"/>
  <c r="F25" i="3"/>
  <c r="F28" i="3" s="1"/>
  <c r="F8" i="24" s="1"/>
  <c r="G25" i="3"/>
  <c r="G28" i="3" s="1"/>
  <c r="J25" i="3"/>
  <c r="K25" i="3"/>
  <c r="M25" i="3"/>
  <c r="N25" i="3"/>
  <c r="N28" i="3" s="1"/>
  <c r="N32" i="3" s="1"/>
  <c r="O25" i="3"/>
  <c r="R25" i="3"/>
  <c r="S25" i="3"/>
  <c r="U25" i="3"/>
  <c r="U28" i="3" s="1"/>
  <c r="V25" i="3"/>
  <c r="W25" i="3"/>
  <c r="W28" i="3" s="1"/>
  <c r="W32" i="3" s="1"/>
  <c r="F26" i="3"/>
  <c r="G26" i="3"/>
  <c r="I26" i="3"/>
  <c r="J26" i="3"/>
  <c r="K26" i="3"/>
  <c r="N26" i="3"/>
  <c r="O26" i="3"/>
  <c r="Q26" i="3"/>
  <c r="Q29" i="3" s="1"/>
  <c r="R26" i="3"/>
  <c r="S26" i="3"/>
  <c r="S29" i="3" s="1"/>
  <c r="V26" i="3"/>
  <c r="W26" i="3"/>
  <c r="E28" i="3"/>
  <c r="E8" i="24" s="1"/>
  <c r="J28" i="3"/>
  <c r="J32" i="3" s="1"/>
  <c r="K28" i="3"/>
  <c r="M28" i="3"/>
  <c r="O28" i="3"/>
  <c r="R28" i="3"/>
  <c r="S28" i="3"/>
  <c r="S32" i="3" s="1"/>
  <c r="V28" i="3"/>
  <c r="V32" i="3" s="1"/>
  <c r="F29" i="3"/>
  <c r="G29" i="3"/>
  <c r="I29" i="3"/>
  <c r="J29" i="3"/>
  <c r="K29" i="3"/>
  <c r="N29" i="3"/>
  <c r="O29" i="3"/>
  <c r="R29" i="3"/>
  <c r="V29" i="3"/>
  <c r="W29" i="3"/>
  <c r="E32" i="3"/>
  <c r="F32" i="3"/>
  <c r="G32" i="3"/>
  <c r="K32" i="3"/>
  <c r="O32" i="3"/>
  <c r="R32" i="3"/>
  <c r="U32" i="3"/>
  <c r="E42" i="3"/>
  <c r="F42" i="3"/>
  <c r="G42" i="3"/>
  <c r="G45" i="3" s="1"/>
  <c r="I42" i="3"/>
  <c r="I45" i="3" s="1"/>
  <c r="I49" i="3" s="1"/>
  <c r="J42" i="3"/>
  <c r="K42" i="3"/>
  <c r="M42" i="3"/>
  <c r="N42" i="3"/>
  <c r="O42" i="3"/>
  <c r="Q42" i="3"/>
  <c r="R42" i="3"/>
  <c r="R45" i="3" s="1"/>
  <c r="S42" i="3"/>
  <c r="S45" i="3" s="1"/>
  <c r="U42" i="3"/>
  <c r="V42" i="3"/>
  <c r="V45" i="3" s="1"/>
  <c r="V49" i="3" s="1"/>
  <c r="T15" i="13" s="1"/>
  <c r="W42" i="3"/>
  <c r="W45" i="3" s="1"/>
  <c r="E43" i="3"/>
  <c r="F43" i="3"/>
  <c r="G43" i="3"/>
  <c r="I43" i="3"/>
  <c r="I46" i="3" s="1"/>
  <c r="J43" i="3"/>
  <c r="J46" i="3" s="1"/>
  <c r="K43" i="3"/>
  <c r="M43" i="3"/>
  <c r="M46" i="3" s="1"/>
  <c r="N43" i="3"/>
  <c r="N46" i="3" s="1"/>
  <c r="O43" i="3"/>
  <c r="Q43" i="3"/>
  <c r="R43" i="3"/>
  <c r="S43" i="3"/>
  <c r="S46" i="3" s="1"/>
  <c r="U43" i="3"/>
  <c r="U46" i="3" s="1"/>
  <c r="V43" i="3"/>
  <c r="W43" i="3"/>
  <c r="W46" i="3" s="1"/>
  <c r="E45" i="3"/>
  <c r="F45" i="3"/>
  <c r="F32" i="24" s="1"/>
  <c r="F34" i="24" s="1"/>
  <c r="J45" i="3"/>
  <c r="K45" i="3"/>
  <c r="M45" i="3"/>
  <c r="N45" i="3"/>
  <c r="N49" i="3" s="1"/>
  <c r="L15" i="13" s="1"/>
  <c r="O45" i="3"/>
  <c r="Q45" i="3"/>
  <c r="U45" i="3"/>
  <c r="U49" i="3" s="1"/>
  <c r="S15" i="13" s="1"/>
  <c r="E46" i="3"/>
  <c r="F46" i="3"/>
  <c r="G46" i="3"/>
  <c r="K46" i="3"/>
  <c r="O46" i="3"/>
  <c r="Q46" i="3"/>
  <c r="R46" i="3"/>
  <c r="V46" i="3"/>
  <c r="C49" i="3"/>
  <c r="D49" i="3"/>
  <c r="B9" i="13" s="1"/>
  <c r="F49" i="3"/>
  <c r="J49" i="3"/>
  <c r="Q49" i="3"/>
  <c r="D59" i="3"/>
  <c r="E59" i="3"/>
  <c r="F59" i="3"/>
  <c r="F62" i="3" s="1"/>
  <c r="F38" i="24" s="1"/>
  <c r="F40" i="24" s="1"/>
  <c r="H59" i="3"/>
  <c r="I59" i="3"/>
  <c r="J59" i="3"/>
  <c r="L59" i="3"/>
  <c r="L62" i="3" s="1"/>
  <c r="M59" i="3"/>
  <c r="M62" i="3" s="1"/>
  <c r="N59" i="3"/>
  <c r="P59" i="3"/>
  <c r="Q59" i="3"/>
  <c r="Q62" i="3" s="1"/>
  <c r="R59" i="3"/>
  <c r="T59" i="3"/>
  <c r="U59" i="3"/>
  <c r="V59" i="3"/>
  <c r="V62" i="3" s="1"/>
  <c r="D60" i="3"/>
  <c r="D63" i="3" s="1"/>
  <c r="E60" i="3"/>
  <c r="F60" i="3"/>
  <c r="H60" i="3"/>
  <c r="H63" i="3" s="1"/>
  <c r="I60" i="3"/>
  <c r="J60" i="3"/>
  <c r="L60" i="3"/>
  <c r="M60" i="3"/>
  <c r="M63" i="3" s="1"/>
  <c r="N60" i="3"/>
  <c r="N63" i="3" s="1"/>
  <c r="P60" i="3"/>
  <c r="Q60" i="3"/>
  <c r="R60" i="3"/>
  <c r="R63" i="3" s="1"/>
  <c r="T60" i="3"/>
  <c r="U60" i="3"/>
  <c r="V60" i="3"/>
  <c r="D62" i="3"/>
  <c r="D38" i="24" s="1"/>
  <c r="D40" i="24" s="1"/>
  <c r="E62" i="3"/>
  <c r="E38" i="24" s="1"/>
  <c r="E40" i="24" s="1"/>
  <c r="H62" i="3"/>
  <c r="I62" i="3"/>
  <c r="J62" i="3"/>
  <c r="N62" i="3"/>
  <c r="P62" i="3"/>
  <c r="R62" i="3"/>
  <c r="T62" i="3"/>
  <c r="U62" i="3"/>
  <c r="E63" i="3"/>
  <c r="F63" i="3"/>
  <c r="I63" i="3"/>
  <c r="J63" i="3"/>
  <c r="L63" i="3"/>
  <c r="P63" i="3"/>
  <c r="Q63" i="3"/>
  <c r="T63" i="3"/>
  <c r="U63" i="3"/>
  <c r="V63" i="3"/>
  <c r="C66" i="3"/>
  <c r="D66" i="3"/>
  <c r="E66" i="3"/>
  <c r="I66" i="3"/>
  <c r="Q66" i="3"/>
  <c r="O15" i="14" s="1"/>
  <c r="C8" i="2"/>
  <c r="C14" i="2"/>
  <c r="B29" i="5" s="1"/>
  <c r="B32" i="5" s="1"/>
  <c r="B15" i="2"/>
  <c r="C15" i="2"/>
  <c r="E21" i="2"/>
  <c r="C9" i="2" s="1"/>
  <c r="K7" i="24" s="1"/>
  <c r="C22" i="2"/>
  <c r="D22" i="2"/>
  <c r="B23" i="2"/>
  <c r="E98" i="22" s="1"/>
  <c r="B22" i="2" s="1"/>
  <c r="E27" i="2"/>
  <c r="E28" i="2"/>
  <c r="B29" i="2"/>
  <c r="C29" i="2"/>
  <c r="D29" i="2"/>
  <c r="E29" i="2" s="1"/>
  <c r="J7" i="24" s="1"/>
  <c r="B43" i="2"/>
  <c r="D55" i="2"/>
  <c r="E55" i="2"/>
  <c r="F55" i="2"/>
  <c r="D57" i="2"/>
  <c r="E57" i="2"/>
  <c r="F57" i="2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B5" i="13"/>
  <c r="C5" i="13"/>
  <c r="D5" i="13" s="1"/>
  <c r="E5" i="13" s="1"/>
  <c r="E16" i="13" s="1"/>
  <c r="AA7" i="13"/>
  <c r="C9" i="13"/>
  <c r="D9" i="13"/>
  <c r="B10" i="13"/>
  <c r="C10" i="13"/>
  <c r="B11" i="13"/>
  <c r="C11" i="13" s="1"/>
  <c r="D11" i="13"/>
  <c r="W11" i="13"/>
  <c r="G15" i="13"/>
  <c r="H15" i="13"/>
  <c r="O15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W18" i="13"/>
  <c r="B23" i="13"/>
  <c r="C23" i="13"/>
  <c r="D23" i="13"/>
  <c r="B24" i="13"/>
  <c r="C24" i="13" s="1"/>
  <c r="D24" i="13"/>
  <c r="B25" i="13"/>
  <c r="B26" i="13"/>
  <c r="B27" i="13"/>
  <c r="W28" i="13"/>
  <c r="W29" i="13"/>
  <c r="C54" i="13"/>
  <c r="D54" i="13"/>
  <c r="E54" i="13"/>
  <c r="F54" i="13" s="1"/>
  <c r="G54" i="13" s="1"/>
  <c r="H54" i="13" s="1"/>
  <c r="I54" i="13" s="1"/>
  <c r="J54" i="13" s="1"/>
  <c r="K54" i="13" s="1"/>
  <c r="L54" i="13"/>
  <c r="M54" i="13" s="1"/>
  <c r="N54" i="13" s="1"/>
  <c r="O54" i="13" s="1"/>
  <c r="P54" i="13" s="1"/>
  <c r="Q54" i="13" s="1"/>
  <c r="R54" i="13"/>
  <c r="S54" i="13" s="1"/>
  <c r="T54" i="13" s="1"/>
  <c r="U54" i="13" s="1"/>
  <c r="B57" i="13"/>
  <c r="C57" i="13"/>
  <c r="D58" i="13" s="1"/>
  <c r="D57" i="13"/>
  <c r="W57" i="13" s="1"/>
  <c r="E57" i="13"/>
  <c r="F57" i="13"/>
  <c r="G57" i="13"/>
  <c r="H57" i="13"/>
  <c r="I57" i="13"/>
  <c r="J57" i="13"/>
  <c r="K57" i="13"/>
  <c r="L58" i="13" s="1"/>
  <c r="L57" i="13"/>
  <c r="M57" i="13"/>
  <c r="N57" i="13"/>
  <c r="O57" i="13"/>
  <c r="P57" i="13"/>
  <c r="Q57" i="13"/>
  <c r="R58" i="13" s="1"/>
  <c r="R57" i="13"/>
  <c r="S57" i="13"/>
  <c r="T58" i="13" s="1"/>
  <c r="T57" i="13"/>
  <c r="U58" i="13" s="1"/>
  <c r="U57" i="13"/>
  <c r="C58" i="13"/>
  <c r="E58" i="13"/>
  <c r="F58" i="13"/>
  <c r="G58" i="13"/>
  <c r="H58" i="13"/>
  <c r="I58" i="13"/>
  <c r="J58" i="13"/>
  <c r="K58" i="13"/>
  <c r="M58" i="13"/>
  <c r="N58" i="13"/>
  <c r="O58" i="13"/>
  <c r="P58" i="13"/>
  <c r="Q58" i="13"/>
  <c r="S58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B5" i="14"/>
  <c r="C5" i="14"/>
  <c r="D5" i="14" s="1"/>
  <c r="E5" i="14" s="1"/>
  <c r="F5" i="14"/>
  <c r="Z8" i="14"/>
  <c r="B9" i="14"/>
  <c r="C9" i="14"/>
  <c r="D9" i="14"/>
  <c r="B10" i="14"/>
  <c r="C10" i="14"/>
  <c r="D10" i="14"/>
  <c r="B11" i="14"/>
  <c r="G15" i="14"/>
  <c r="S15" i="14"/>
  <c r="E17" i="14"/>
  <c r="F17" i="14"/>
  <c r="G17" i="14"/>
  <c r="W17" i="14" s="1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W18" i="14"/>
  <c r="B23" i="14"/>
  <c r="C23" i="14"/>
  <c r="D23" i="14"/>
  <c r="B24" i="14"/>
  <c r="B25" i="14"/>
  <c r="B26" i="14"/>
  <c r="B27" i="14"/>
  <c r="C27" i="14"/>
  <c r="W28" i="14"/>
  <c r="C54" i="14"/>
  <c r="D54" i="14"/>
  <c r="E54" i="14" s="1"/>
  <c r="F54" i="14" s="1"/>
  <c r="G54" i="14" s="1"/>
  <c r="H54" i="14" s="1"/>
  <c r="I54" i="14" s="1"/>
  <c r="J54" i="14" s="1"/>
  <c r="K54" i="14" s="1"/>
  <c r="L54" i="14" s="1"/>
  <c r="M54" i="14" s="1"/>
  <c r="N54" i="14" s="1"/>
  <c r="O54" i="14" s="1"/>
  <c r="P54" i="14" s="1"/>
  <c r="Q54" i="14" s="1"/>
  <c r="R54" i="14" s="1"/>
  <c r="S54" i="14" s="1"/>
  <c r="T54" i="14" s="1"/>
  <c r="U54" i="14" s="1"/>
  <c r="B57" i="14"/>
  <c r="C57" i="14"/>
  <c r="D57" i="14"/>
  <c r="E58" i="14" s="1"/>
  <c r="E57" i="14"/>
  <c r="F58" i="14" s="1"/>
  <c r="F57" i="14"/>
  <c r="G57" i="14"/>
  <c r="H58" i="14" s="1"/>
  <c r="H57" i="14"/>
  <c r="I57" i="14"/>
  <c r="J57" i="14"/>
  <c r="K57" i="14"/>
  <c r="L57" i="14"/>
  <c r="M58" i="14" s="1"/>
  <c r="M57" i="14"/>
  <c r="N58" i="14" s="1"/>
  <c r="N57" i="14"/>
  <c r="O57" i="14"/>
  <c r="P58" i="14" s="1"/>
  <c r="P57" i="14"/>
  <c r="Q57" i="14"/>
  <c r="R57" i="14"/>
  <c r="S57" i="14"/>
  <c r="T57" i="14"/>
  <c r="U58" i="14" s="1"/>
  <c r="U57" i="14"/>
  <c r="C58" i="14"/>
  <c r="D58" i="14"/>
  <c r="G58" i="14"/>
  <c r="I58" i="14"/>
  <c r="J58" i="14"/>
  <c r="K58" i="14"/>
  <c r="L58" i="14"/>
  <c r="O58" i="14"/>
  <c r="Q58" i="14"/>
  <c r="R58" i="14"/>
  <c r="S58" i="14"/>
  <c r="T5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AC7" i="13" l="1"/>
  <c r="G5" i="14"/>
  <c r="F24" i="14"/>
  <c r="E23" i="14"/>
  <c r="E15" i="9"/>
  <c r="E15" i="10"/>
  <c r="E15" i="12"/>
  <c r="E15" i="11"/>
  <c r="W58" i="14"/>
  <c r="C11" i="14"/>
  <c r="D27" i="14"/>
  <c r="E27" i="14" s="1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Q27" i="14" s="1"/>
  <c r="R27" i="14" s="1"/>
  <c r="S27" i="14" s="1"/>
  <c r="T27" i="14" s="1"/>
  <c r="U27" i="14" s="1"/>
  <c r="W27" i="14"/>
  <c r="W57" i="14"/>
  <c r="C26" i="14"/>
  <c r="D26" i="14" s="1"/>
  <c r="E26" i="14" s="1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Q26" i="14" s="1"/>
  <c r="R26" i="14" s="1"/>
  <c r="S26" i="14" s="1"/>
  <c r="T26" i="14" s="1"/>
  <c r="U26" i="14" s="1"/>
  <c r="C25" i="14"/>
  <c r="D25" i="14" s="1"/>
  <c r="E25" i="14" s="1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C24" i="14"/>
  <c r="C25" i="4" s="1"/>
  <c r="Z7" i="14"/>
  <c r="E26" i="24"/>
  <c r="E28" i="24" s="1"/>
  <c r="E10" i="24"/>
  <c r="E20" i="24"/>
  <c r="E22" i="24" s="1"/>
  <c r="E14" i="24"/>
  <c r="E16" i="24" s="1"/>
  <c r="F10" i="24"/>
  <c r="F45" i="24" s="1"/>
  <c r="F20" i="24"/>
  <c r="F22" i="24" s="1"/>
  <c r="F14" i="24"/>
  <c r="F16" i="24" s="1"/>
  <c r="F26" i="24"/>
  <c r="F28" i="24" s="1"/>
  <c r="F49" i="24" s="1"/>
  <c r="L66" i="3"/>
  <c r="J15" i="14" s="1"/>
  <c r="E24" i="13"/>
  <c r="F5" i="13"/>
  <c r="F16" i="14"/>
  <c r="AD7" i="14" s="1"/>
  <c r="W9" i="14"/>
  <c r="E24" i="14"/>
  <c r="AC8" i="14" s="1"/>
  <c r="E16" i="14"/>
  <c r="W17" i="13"/>
  <c r="W9" i="13"/>
  <c r="B19" i="13"/>
  <c r="P15" i="9"/>
  <c r="P15" i="10"/>
  <c r="P15" i="12"/>
  <c r="P15" i="11"/>
  <c r="T15" i="9"/>
  <c r="T15" i="10"/>
  <c r="T15" i="12"/>
  <c r="T15" i="11"/>
  <c r="L15" i="9"/>
  <c r="L15" i="10"/>
  <c r="L15" i="12"/>
  <c r="L15" i="11"/>
  <c r="Z9" i="11"/>
  <c r="E23" i="13"/>
  <c r="E24" i="11"/>
  <c r="F5" i="11"/>
  <c r="E16" i="11"/>
  <c r="C26" i="13"/>
  <c r="D26" i="13" s="1"/>
  <c r="E26" i="13" s="1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Q26" i="13" s="1"/>
  <c r="R26" i="13" s="1"/>
  <c r="S26" i="13" s="1"/>
  <c r="T26" i="13" s="1"/>
  <c r="U26" i="13" s="1"/>
  <c r="W26" i="13"/>
  <c r="C9" i="9"/>
  <c r="C9" i="10"/>
  <c r="C9" i="12"/>
  <c r="C9" i="11"/>
  <c r="U15" i="9"/>
  <c r="U15" i="10"/>
  <c r="U15" i="12"/>
  <c r="U15" i="11"/>
  <c r="M32" i="3"/>
  <c r="M66" i="3"/>
  <c r="K15" i="14" s="1"/>
  <c r="M49" i="3"/>
  <c r="K15" i="13" s="1"/>
  <c r="W29" i="11"/>
  <c r="C28" i="4"/>
  <c r="W58" i="13"/>
  <c r="D10" i="13"/>
  <c r="W10" i="13"/>
  <c r="H15" i="9"/>
  <c r="H15" i="10"/>
  <c r="H15" i="12"/>
  <c r="H15" i="11"/>
  <c r="W10" i="14"/>
  <c r="C25" i="13"/>
  <c r="B30" i="13"/>
  <c r="Z7" i="13"/>
  <c r="Z8" i="13"/>
  <c r="S15" i="9"/>
  <c r="S15" i="10"/>
  <c r="S15" i="12"/>
  <c r="S15" i="11"/>
  <c r="R66" i="3"/>
  <c r="P15" i="14" s="1"/>
  <c r="R49" i="3"/>
  <c r="P15" i="13" s="1"/>
  <c r="C58" i="11"/>
  <c r="W57" i="11"/>
  <c r="K9" i="24"/>
  <c r="H66" i="3"/>
  <c r="F15" i="14" s="1"/>
  <c r="M15" i="9"/>
  <c r="M15" i="10"/>
  <c r="M15" i="12"/>
  <c r="M15" i="11"/>
  <c r="Q15" i="9"/>
  <c r="Q15" i="10"/>
  <c r="Q15" i="12"/>
  <c r="Q15" i="11"/>
  <c r="B28" i="4"/>
  <c r="C27" i="13"/>
  <c r="D27" i="13" s="1"/>
  <c r="E27" i="13" s="1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Q27" i="13" s="1"/>
  <c r="R27" i="13" s="1"/>
  <c r="S27" i="13" s="1"/>
  <c r="T27" i="13" s="1"/>
  <c r="U27" i="13" s="1"/>
  <c r="W27" i="13"/>
  <c r="T66" i="3"/>
  <c r="R15" i="14" s="1"/>
  <c r="D9" i="9"/>
  <c r="D9" i="10"/>
  <c r="D9" i="12"/>
  <c r="D9" i="11"/>
  <c r="S49" i="3"/>
  <c r="Q15" i="13" s="1"/>
  <c r="B30" i="11"/>
  <c r="C25" i="11"/>
  <c r="B26" i="4"/>
  <c r="Z8" i="11"/>
  <c r="K8" i="24"/>
  <c r="K49" i="3"/>
  <c r="I15" i="13" s="1"/>
  <c r="I32" i="3"/>
  <c r="X29" i="4"/>
  <c r="V66" i="3"/>
  <c r="T15" i="14" s="1"/>
  <c r="D8" i="24"/>
  <c r="J66" i="3"/>
  <c r="H15" i="14" s="1"/>
  <c r="C26" i="12"/>
  <c r="D26" i="12" s="1"/>
  <c r="E26" i="12" s="1"/>
  <c r="F26" i="12" s="1"/>
  <c r="G26" i="12" s="1"/>
  <c r="H26" i="12" s="1"/>
  <c r="I26" i="12" s="1"/>
  <c r="J26" i="12" s="1"/>
  <c r="K26" i="12" s="1"/>
  <c r="L26" i="12" s="1"/>
  <c r="M26" i="12" s="1"/>
  <c r="N26" i="12" s="1"/>
  <c r="O26" i="12" s="1"/>
  <c r="P26" i="12" s="1"/>
  <c r="Q26" i="12" s="1"/>
  <c r="R26" i="12" s="1"/>
  <c r="S26" i="12" s="1"/>
  <c r="T26" i="12" s="1"/>
  <c r="U26" i="12" s="1"/>
  <c r="I15" i="9"/>
  <c r="I15" i="10"/>
  <c r="I15" i="12"/>
  <c r="I15" i="11"/>
  <c r="W49" i="3"/>
  <c r="U15" i="13" s="1"/>
  <c r="B9" i="9"/>
  <c r="B9" i="10"/>
  <c r="B9" i="12"/>
  <c r="B9" i="11"/>
  <c r="O49" i="3"/>
  <c r="M15" i="13" s="1"/>
  <c r="G49" i="3"/>
  <c r="E15" i="13" s="1"/>
  <c r="E32" i="24"/>
  <c r="E34" i="24" s="1"/>
  <c r="E53" i="24" s="1"/>
  <c r="N66" i="3"/>
  <c r="L15" i="14" s="1"/>
  <c r="F23" i="11"/>
  <c r="O18" i="4"/>
  <c r="G18" i="4"/>
  <c r="U26" i="3"/>
  <c r="U29" i="3" s="1"/>
  <c r="M26" i="3"/>
  <c r="M29" i="3" s="1"/>
  <c r="E26" i="3"/>
  <c r="E29" i="3" s="1"/>
  <c r="Q25" i="3"/>
  <c r="Q28" i="3" s="1"/>
  <c r="Q32" i="3" s="1"/>
  <c r="I25" i="3"/>
  <c r="I28" i="3" s="1"/>
  <c r="C26" i="11"/>
  <c r="B27" i="4"/>
  <c r="C24" i="4"/>
  <c r="B12" i="4"/>
  <c r="C11" i="11"/>
  <c r="S60" i="3"/>
  <c r="S63" i="3" s="1"/>
  <c r="K60" i="3"/>
  <c r="K63" i="3" s="1"/>
  <c r="W59" i="3"/>
  <c r="W62" i="3" s="1"/>
  <c r="W66" i="3" s="1"/>
  <c r="U15" i="14" s="1"/>
  <c r="O59" i="3"/>
  <c r="O62" i="3" s="1"/>
  <c r="O66" i="3" s="1"/>
  <c r="M15" i="14" s="1"/>
  <c r="G59" i="3"/>
  <c r="G62" i="3" s="1"/>
  <c r="G66" i="3" s="1"/>
  <c r="E15" i="14" s="1"/>
  <c r="P43" i="3"/>
  <c r="P46" i="3" s="1"/>
  <c r="H43" i="3"/>
  <c r="H46" i="3" s="1"/>
  <c r="T42" i="3"/>
  <c r="T45" i="3" s="1"/>
  <c r="T49" i="3" s="1"/>
  <c r="R15" i="13" s="1"/>
  <c r="L42" i="3"/>
  <c r="L45" i="3" s="1"/>
  <c r="L49" i="3" s="1"/>
  <c r="J15" i="13" s="1"/>
  <c r="D42" i="3"/>
  <c r="D45" i="3" s="1"/>
  <c r="D32" i="24" s="1"/>
  <c r="D34" i="24" s="1"/>
  <c r="T26" i="3"/>
  <c r="T29" i="3" s="1"/>
  <c r="L26" i="3"/>
  <c r="L29" i="3" s="1"/>
  <c r="D26" i="3"/>
  <c r="D29" i="3" s="1"/>
  <c r="P25" i="3"/>
  <c r="P28" i="3" s="1"/>
  <c r="H25" i="3"/>
  <c r="H28" i="3" s="1"/>
  <c r="H32" i="3" s="1"/>
  <c r="B24" i="4"/>
  <c r="W17" i="11"/>
  <c r="D23" i="12"/>
  <c r="W60" i="3"/>
  <c r="W63" i="3" s="1"/>
  <c r="O60" i="3"/>
  <c r="O63" i="3" s="1"/>
  <c r="G60" i="3"/>
  <c r="G63" i="3" s="1"/>
  <c r="S59" i="3"/>
  <c r="S62" i="3" s="1"/>
  <c r="S66" i="3" s="1"/>
  <c r="Q15" i="14" s="1"/>
  <c r="K59" i="3"/>
  <c r="K62" i="3" s="1"/>
  <c r="K66" i="3" s="1"/>
  <c r="I15" i="14" s="1"/>
  <c r="T43" i="3"/>
  <c r="T46" i="3" s="1"/>
  <c r="L43" i="3"/>
  <c r="L46" i="3" s="1"/>
  <c r="D43" i="3"/>
  <c r="D46" i="3" s="1"/>
  <c r="P42" i="3"/>
  <c r="P45" i="3" s="1"/>
  <c r="H42" i="3"/>
  <c r="H45" i="3" s="1"/>
  <c r="H49" i="3" s="1"/>
  <c r="F15" i="13" s="1"/>
  <c r="P26" i="3"/>
  <c r="P29" i="3" s="1"/>
  <c r="H26" i="3"/>
  <c r="H29" i="3" s="1"/>
  <c r="T25" i="3"/>
  <c r="T28" i="3" s="1"/>
  <c r="T32" i="3" s="1"/>
  <c r="L25" i="3"/>
  <c r="L28" i="3" s="1"/>
  <c r="L32" i="3" s="1"/>
  <c r="U58" i="11"/>
  <c r="W27" i="11"/>
  <c r="I18" i="4"/>
  <c r="P11" i="3"/>
  <c r="B25" i="4"/>
  <c r="H18" i="4"/>
  <c r="C12" i="5"/>
  <c r="X12" i="5"/>
  <c r="W29" i="4"/>
  <c r="Y29" i="4" s="1"/>
  <c r="D10" i="12"/>
  <c r="AA7" i="12"/>
  <c r="C10" i="11"/>
  <c r="AC7" i="12"/>
  <c r="E24" i="12"/>
  <c r="AC8" i="12" s="1"/>
  <c r="F5" i="12"/>
  <c r="W57" i="12"/>
  <c r="E58" i="12"/>
  <c r="W58" i="12" s="1"/>
  <c r="C27" i="12"/>
  <c r="D27" i="12" s="1"/>
  <c r="E27" i="12" s="1"/>
  <c r="F27" i="12" s="1"/>
  <c r="G27" i="12" s="1"/>
  <c r="H27" i="12" s="1"/>
  <c r="I27" i="12" s="1"/>
  <c r="J27" i="12" s="1"/>
  <c r="K27" i="12" s="1"/>
  <c r="L27" i="12" s="1"/>
  <c r="M27" i="12" s="1"/>
  <c r="N27" i="12" s="1"/>
  <c r="O27" i="12" s="1"/>
  <c r="P27" i="12" s="1"/>
  <c r="Q27" i="12" s="1"/>
  <c r="R27" i="12" s="1"/>
  <c r="S27" i="12" s="1"/>
  <c r="T27" i="12" s="1"/>
  <c r="U27" i="12" s="1"/>
  <c r="W29" i="12"/>
  <c r="C24" i="12"/>
  <c r="C30" i="12" s="1"/>
  <c r="B30" i="12"/>
  <c r="Z8" i="12"/>
  <c r="C11" i="12"/>
  <c r="D11" i="12" s="1"/>
  <c r="W11" i="12"/>
  <c r="W25" i="12"/>
  <c r="W10" i="12"/>
  <c r="Z7" i="12"/>
  <c r="R112" i="20"/>
  <c r="J112" i="20"/>
  <c r="B112" i="20"/>
  <c r="G68" i="20"/>
  <c r="J5" i="20"/>
  <c r="V112" i="20"/>
  <c r="N112" i="20"/>
  <c r="F112" i="20"/>
  <c r="I74" i="20"/>
  <c r="H6" i="20"/>
  <c r="T112" i="20"/>
  <c r="L112" i="20"/>
  <c r="G98" i="20"/>
  <c r="G92" i="20"/>
  <c r="G74" i="20"/>
  <c r="E59" i="22"/>
  <c r="M59" i="22"/>
  <c r="U59" i="22"/>
  <c r="E66" i="22"/>
  <c r="M66" i="22"/>
  <c r="U66" i="22"/>
  <c r="U75" i="22" s="1"/>
  <c r="I59" i="22"/>
  <c r="Q59" i="22"/>
  <c r="I66" i="22"/>
  <c r="I75" i="22" s="1"/>
  <c r="Q66" i="22"/>
  <c r="B59" i="22"/>
  <c r="J59" i="22"/>
  <c r="R59" i="22"/>
  <c r="B66" i="22"/>
  <c r="J66" i="22"/>
  <c r="R66" i="22"/>
  <c r="R75" i="22" s="1"/>
  <c r="H59" i="22"/>
  <c r="H75" i="22" s="1"/>
  <c r="F66" i="22"/>
  <c r="S66" i="22"/>
  <c r="K59" i="22"/>
  <c r="G66" i="22"/>
  <c r="T66" i="22"/>
  <c r="N59" i="22"/>
  <c r="N75" i="22" s="1"/>
  <c r="K66" i="22"/>
  <c r="K75" i="22" s="1"/>
  <c r="B72" i="22"/>
  <c r="F59" i="22"/>
  <c r="S59" i="22"/>
  <c r="C66" i="22"/>
  <c r="C75" i="22" s="1"/>
  <c r="O66" i="22"/>
  <c r="B57" i="22"/>
  <c r="G59" i="22"/>
  <c r="T59" i="22"/>
  <c r="D66" i="22"/>
  <c r="D75" i="22" s="1"/>
  <c r="P66" i="22"/>
  <c r="B21" i="22"/>
  <c r="B24" i="22" s="1"/>
  <c r="W58" i="10"/>
  <c r="B39" i="22"/>
  <c r="J39" i="22"/>
  <c r="R39" i="22"/>
  <c r="B46" i="22"/>
  <c r="J46" i="22"/>
  <c r="R46" i="22"/>
  <c r="B37" i="22"/>
  <c r="F39" i="22"/>
  <c r="N39" i="22"/>
  <c r="F46" i="22"/>
  <c r="N46" i="22"/>
  <c r="G39" i="22"/>
  <c r="O39" i="22"/>
  <c r="G46" i="22"/>
  <c r="O46" i="22"/>
  <c r="J97" i="22"/>
  <c r="L46" i="22"/>
  <c r="L75" i="22" s="1"/>
  <c r="P39" i="22"/>
  <c r="C39" i="22"/>
  <c r="F26" i="10"/>
  <c r="D23" i="10"/>
  <c r="C30" i="10"/>
  <c r="D19" i="22"/>
  <c r="L19" i="22"/>
  <c r="T19" i="22"/>
  <c r="D26" i="22"/>
  <c r="L26" i="22"/>
  <c r="T26" i="22"/>
  <c r="B30" i="10"/>
  <c r="W29" i="10"/>
  <c r="D10" i="10"/>
  <c r="E25" i="10"/>
  <c r="D27" i="10"/>
  <c r="Z7" i="10"/>
  <c r="E5" i="9"/>
  <c r="D5" i="10"/>
  <c r="AA8" i="10"/>
  <c r="D24" i="9"/>
  <c r="AA8" i="9"/>
  <c r="C30" i="9"/>
  <c r="C11" i="10"/>
  <c r="AA7" i="10" s="1"/>
  <c r="AA9" i="10" s="1"/>
  <c r="W57" i="9"/>
  <c r="C58" i="9"/>
  <c r="W58" i="9" s="1"/>
  <c r="W27" i="9"/>
  <c r="D11" i="9"/>
  <c r="W11" i="9"/>
  <c r="W29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E23" i="9"/>
  <c r="D25" i="9"/>
  <c r="E25" i="9" s="1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N17" i="9"/>
  <c r="N18" i="4" s="1"/>
  <c r="F17" i="9"/>
  <c r="F18" i="4" s="1"/>
  <c r="U17" i="9"/>
  <c r="U18" i="4" s="1"/>
  <c r="M17" i="9"/>
  <c r="M18" i="4" s="1"/>
  <c r="E17" i="9"/>
  <c r="B10" i="9"/>
  <c r="T17" i="9"/>
  <c r="T18" i="4" s="1"/>
  <c r="L17" i="9"/>
  <c r="L18" i="4" s="1"/>
  <c r="S17" i="9"/>
  <c r="S18" i="4" s="1"/>
  <c r="K17" i="9"/>
  <c r="K18" i="4" s="1"/>
  <c r="B30" i="9"/>
  <c r="E24" i="9"/>
  <c r="AC8" i="9" s="1"/>
  <c r="R17" i="9"/>
  <c r="R18" i="4" s="1"/>
  <c r="J17" i="9"/>
  <c r="J18" i="4" s="1"/>
  <c r="Q17" i="9"/>
  <c r="Q18" i="4" s="1"/>
  <c r="I17" i="9"/>
  <c r="Z8" i="9"/>
  <c r="P17" i="9"/>
  <c r="P18" i="4" s="1"/>
  <c r="J15" i="9" l="1"/>
  <c r="J15" i="10"/>
  <c r="J15" i="12"/>
  <c r="J15" i="11"/>
  <c r="M14" i="5"/>
  <c r="R15" i="9"/>
  <c r="R15" i="10"/>
  <c r="R15" i="12"/>
  <c r="R15" i="11"/>
  <c r="F15" i="9"/>
  <c r="F15" i="10"/>
  <c r="F15" i="12"/>
  <c r="F15" i="11"/>
  <c r="I14" i="5"/>
  <c r="O15" i="9"/>
  <c r="O15" i="10"/>
  <c r="O15" i="11"/>
  <c r="O15" i="12"/>
  <c r="O14" i="5"/>
  <c r="E16" i="9"/>
  <c r="F5" i="9"/>
  <c r="E5" i="10"/>
  <c r="K15" i="9"/>
  <c r="K15" i="10"/>
  <c r="K15" i="12"/>
  <c r="K15" i="11"/>
  <c r="F23" i="13"/>
  <c r="S14" i="5"/>
  <c r="T75" i="22"/>
  <c r="Z9" i="13"/>
  <c r="Z7" i="9"/>
  <c r="C10" i="9"/>
  <c r="G26" i="10"/>
  <c r="D14" i="5"/>
  <c r="E75" i="22"/>
  <c r="Z6" i="4"/>
  <c r="E23" i="12"/>
  <c r="D25" i="13"/>
  <c r="C30" i="13"/>
  <c r="C19" i="13"/>
  <c r="U16" i="4"/>
  <c r="J14" i="5"/>
  <c r="C11" i="4"/>
  <c r="AA5" i="4" s="1"/>
  <c r="AA7" i="11"/>
  <c r="D10" i="11"/>
  <c r="AB7" i="11" s="1"/>
  <c r="W10" i="11"/>
  <c r="C27" i="4"/>
  <c r="D26" i="11"/>
  <c r="B41" i="24"/>
  <c r="C41" i="24" s="1"/>
  <c r="B11" i="24"/>
  <c r="B29" i="24"/>
  <c r="B54" i="24"/>
  <c r="B35" i="24"/>
  <c r="C35" i="24" s="1"/>
  <c r="B46" i="24"/>
  <c r="B17" i="24"/>
  <c r="B50" i="24"/>
  <c r="B23" i="24"/>
  <c r="C23" i="24" s="1"/>
  <c r="B109" i="22"/>
  <c r="E99" i="22" s="1"/>
  <c r="B24" i="2" s="1"/>
  <c r="B110" i="22"/>
  <c r="J99" i="22" s="1"/>
  <c r="C24" i="2" s="1"/>
  <c r="W34" i="22"/>
  <c r="X34" i="22" s="1"/>
  <c r="E27" i="10"/>
  <c r="D28" i="4"/>
  <c r="B28" i="22"/>
  <c r="C12" i="22" s="1"/>
  <c r="B27" i="22"/>
  <c r="B61" i="22"/>
  <c r="B64" i="22" s="1"/>
  <c r="B60" i="22"/>
  <c r="D11" i="14"/>
  <c r="W17" i="9"/>
  <c r="D30" i="9"/>
  <c r="F25" i="10"/>
  <c r="S75" i="22"/>
  <c r="B111" i="22"/>
  <c r="O99" i="22" s="1"/>
  <c r="D24" i="2" s="1"/>
  <c r="W54" i="22"/>
  <c r="X54" i="22" s="1"/>
  <c r="AC9" i="12"/>
  <c r="B11" i="4"/>
  <c r="P32" i="3"/>
  <c r="P49" i="3"/>
  <c r="N15" i="13" s="1"/>
  <c r="P66" i="3"/>
  <c r="N15" i="14" s="1"/>
  <c r="D10" i="4"/>
  <c r="F53" i="24"/>
  <c r="AB7" i="13"/>
  <c r="D19" i="13"/>
  <c r="L16" i="4"/>
  <c r="E45" i="24"/>
  <c r="Q16" i="4"/>
  <c r="Z9" i="14"/>
  <c r="V14" i="5"/>
  <c r="AA8" i="14"/>
  <c r="D24" i="14"/>
  <c r="E30" i="9"/>
  <c r="F23" i="9"/>
  <c r="W26" i="9"/>
  <c r="W25" i="9"/>
  <c r="P75" i="22"/>
  <c r="F75" i="22"/>
  <c r="Q75" i="22"/>
  <c r="K5" i="20"/>
  <c r="J68" i="20"/>
  <c r="J74" i="20"/>
  <c r="J80" i="20"/>
  <c r="Z9" i="12"/>
  <c r="W27" i="12"/>
  <c r="E18" i="4"/>
  <c r="W18" i="4" s="1"/>
  <c r="S16" i="4"/>
  <c r="C19" i="11"/>
  <c r="P16" i="4"/>
  <c r="AC7" i="14"/>
  <c r="AC9" i="14" s="1"/>
  <c r="E49" i="24"/>
  <c r="W26" i="14"/>
  <c r="AD8" i="14"/>
  <c r="AD9" i="14" s="1"/>
  <c r="E14" i="5"/>
  <c r="I16" i="4"/>
  <c r="C19" i="12"/>
  <c r="Z9" i="10"/>
  <c r="W9" i="11"/>
  <c r="B19" i="11"/>
  <c r="D26" i="24"/>
  <c r="D28" i="24" s="1"/>
  <c r="D10" i="24"/>
  <c r="D45" i="24" s="1"/>
  <c r="D20" i="24"/>
  <c r="D22" i="24" s="1"/>
  <c r="D14" i="24"/>
  <c r="D16" i="24" s="1"/>
  <c r="G15" i="9"/>
  <c r="G15" i="10"/>
  <c r="G15" i="12"/>
  <c r="G15" i="11"/>
  <c r="D25" i="11"/>
  <c r="D19" i="11" s="1"/>
  <c r="C26" i="4"/>
  <c r="C30" i="11"/>
  <c r="C19" i="10"/>
  <c r="C10" i="4"/>
  <c r="AC7" i="11"/>
  <c r="E20" i="12"/>
  <c r="E19" i="12"/>
  <c r="D11" i="10"/>
  <c r="C12" i="4"/>
  <c r="L14" i="5"/>
  <c r="B113" i="20"/>
  <c r="C110" i="20" s="1"/>
  <c r="C113" i="20" s="1"/>
  <c r="D110" i="20" s="1"/>
  <c r="D113" i="20" s="1"/>
  <c r="E110" i="20" s="1"/>
  <c r="E113" i="20" s="1"/>
  <c r="F110" i="20" s="1"/>
  <c r="F113" i="20" s="1"/>
  <c r="G110" i="20" s="1"/>
  <c r="G113" i="20" s="1"/>
  <c r="H110" i="20" s="1"/>
  <c r="H113" i="20" s="1"/>
  <c r="I110" i="20" s="1"/>
  <c r="I113" i="20" s="1"/>
  <c r="J110" i="20" s="1"/>
  <c r="J113" i="20" s="1"/>
  <c r="K110" i="20" s="1"/>
  <c r="K113" i="20" s="1"/>
  <c r="L110" i="20" s="1"/>
  <c r="L113" i="20" s="1"/>
  <c r="M110" i="20" s="1"/>
  <c r="M113" i="20" s="1"/>
  <c r="N110" i="20" s="1"/>
  <c r="N113" i="20" s="1"/>
  <c r="O110" i="20" s="1"/>
  <c r="O113" i="20" s="1"/>
  <c r="P110" i="20" s="1"/>
  <c r="P113" i="20" s="1"/>
  <c r="Q110" i="20" s="1"/>
  <c r="Q113" i="20" s="1"/>
  <c r="R110" i="20" s="1"/>
  <c r="R113" i="20" s="1"/>
  <c r="S110" i="20" s="1"/>
  <c r="S113" i="20" s="1"/>
  <c r="T110" i="20" s="1"/>
  <c r="T113" i="20" s="1"/>
  <c r="U110" i="20" s="1"/>
  <c r="U113" i="20" s="1"/>
  <c r="V110" i="20" s="1"/>
  <c r="V113" i="20" s="1"/>
  <c r="J75" i="22"/>
  <c r="I6" i="20"/>
  <c r="H86" i="20"/>
  <c r="H92" i="20"/>
  <c r="H98" i="20"/>
  <c r="AA8" i="12"/>
  <c r="AA9" i="12" s="1"/>
  <c r="D24" i="12"/>
  <c r="D19" i="12" s="1"/>
  <c r="D13" i="5"/>
  <c r="W13" i="5" s="1"/>
  <c r="W12" i="5"/>
  <c r="Y12" i="5" s="1"/>
  <c r="D11" i="11"/>
  <c r="W11" i="11" s="1"/>
  <c r="W9" i="12"/>
  <c r="B19" i="12"/>
  <c r="W26" i="12"/>
  <c r="AA8" i="13"/>
  <c r="AA9" i="13" s="1"/>
  <c r="W58" i="11"/>
  <c r="X13" i="5" s="1"/>
  <c r="C19" i="9"/>
  <c r="G5" i="11"/>
  <c r="F24" i="11"/>
  <c r="F16" i="11"/>
  <c r="AD7" i="11" s="1"/>
  <c r="E16" i="4"/>
  <c r="AA7" i="14"/>
  <c r="AA9" i="14" s="1"/>
  <c r="G16" i="14"/>
  <c r="H5" i="14"/>
  <c r="G24" i="14"/>
  <c r="AE8" i="14" s="1"/>
  <c r="W10" i="10"/>
  <c r="B41" i="22"/>
  <c r="B44" i="22" s="1"/>
  <c r="B40" i="22"/>
  <c r="B75" i="22"/>
  <c r="AA8" i="11"/>
  <c r="W15" i="14"/>
  <c r="W9" i="10"/>
  <c r="X10" i="4" s="1"/>
  <c r="B19" i="10"/>
  <c r="B10" i="4"/>
  <c r="H16" i="4"/>
  <c r="T16" i="4"/>
  <c r="G5" i="13"/>
  <c r="F16" i="13"/>
  <c r="F24" i="13"/>
  <c r="AB8" i="9"/>
  <c r="E23" i="10"/>
  <c r="D30" i="10"/>
  <c r="D24" i="4"/>
  <c r="W14" i="22"/>
  <c r="X14" i="22" s="1"/>
  <c r="O75" i="22"/>
  <c r="G75" i="22"/>
  <c r="M75" i="22"/>
  <c r="F16" i="12"/>
  <c r="F24" i="12"/>
  <c r="AD8" i="12" s="1"/>
  <c r="G5" i="12"/>
  <c r="AB7" i="12"/>
  <c r="X18" i="4"/>
  <c r="G23" i="11"/>
  <c r="W9" i="9"/>
  <c r="B19" i="9"/>
  <c r="M16" i="4"/>
  <c r="W25" i="14"/>
  <c r="F23" i="14"/>
  <c r="E20" i="9" l="1"/>
  <c r="E33" i="9" s="1"/>
  <c r="K14" i="5"/>
  <c r="B12" i="11"/>
  <c r="C12" i="11"/>
  <c r="C20" i="11" s="1"/>
  <c r="C33" i="11" s="1"/>
  <c r="D12" i="11"/>
  <c r="AE7" i="14"/>
  <c r="AE9" i="14" s="1"/>
  <c r="D12" i="4"/>
  <c r="W12" i="4" s="1"/>
  <c r="Y12" i="4" s="1"/>
  <c r="W11" i="10"/>
  <c r="X12" i="4" s="1"/>
  <c r="AB7" i="10"/>
  <c r="AB7" i="14"/>
  <c r="AB9" i="14" s="1"/>
  <c r="W11" i="14"/>
  <c r="C46" i="24"/>
  <c r="D27" i="4"/>
  <c r="E26" i="11"/>
  <c r="D10" i="9"/>
  <c r="AA7" i="9"/>
  <c r="AA9" i="9" s="1"/>
  <c r="U14" i="5"/>
  <c r="E24" i="10"/>
  <c r="E16" i="10"/>
  <c r="F16" i="4"/>
  <c r="G23" i="9"/>
  <c r="G16" i="13"/>
  <c r="G24" i="13"/>
  <c r="H5" i="13"/>
  <c r="AB8" i="12"/>
  <c r="E25" i="11"/>
  <c r="D26" i="4"/>
  <c r="D30" i="11"/>
  <c r="AB8" i="11"/>
  <c r="H14" i="5"/>
  <c r="R14" i="5"/>
  <c r="B68" i="22"/>
  <c r="B67" i="22"/>
  <c r="B76" i="22" s="1"/>
  <c r="G24" i="12"/>
  <c r="AE8" i="12" s="1"/>
  <c r="G16" i="12"/>
  <c r="AE7" i="12" s="1"/>
  <c r="H5" i="12"/>
  <c r="W10" i="4"/>
  <c r="Y10" i="4" s="1"/>
  <c r="G23" i="14"/>
  <c r="H23" i="11"/>
  <c r="X14" i="5"/>
  <c r="C14" i="5"/>
  <c r="J6" i="20"/>
  <c r="I86" i="20"/>
  <c r="I92" i="20"/>
  <c r="I98" i="20"/>
  <c r="T14" i="5"/>
  <c r="F27" i="10"/>
  <c r="E28" i="4"/>
  <c r="D12" i="13"/>
  <c r="D20" i="13" s="1"/>
  <c r="B12" i="13"/>
  <c r="C12" i="13"/>
  <c r="C20" i="13" s="1"/>
  <c r="E25" i="13"/>
  <c r="AB8" i="13"/>
  <c r="AB9" i="13" s="1"/>
  <c r="D30" i="13"/>
  <c r="Z9" i="9"/>
  <c r="F16" i="9"/>
  <c r="AD7" i="9" s="1"/>
  <c r="G5" i="9"/>
  <c r="F5" i="10"/>
  <c r="F24" i="9"/>
  <c r="AA6" i="4"/>
  <c r="F23" i="10"/>
  <c r="E30" i="10"/>
  <c r="E24" i="4"/>
  <c r="AC7" i="9"/>
  <c r="AC9" i="9" s="1"/>
  <c r="AD7" i="13"/>
  <c r="Y13" i="5"/>
  <c r="B48" i="22"/>
  <c r="C32" i="22" s="1"/>
  <c r="B47" i="22"/>
  <c r="D49" i="24"/>
  <c r="D53" i="24"/>
  <c r="C29" i="24"/>
  <c r="AB9" i="11"/>
  <c r="F14" i="5"/>
  <c r="D20" i="11"/>
  <c r="N14" i="5"/>
  <c r="W15" i="13"/>
  <c r="L5" i="20"/>
  <c r="K68" i="20"/>
  <c r="K74" i="20"/>
  <c r="K80" i="20"/>
  <c r="AB8" i="14"/>
  <c r="D25" i="4"/>
  <c r="D19" i="10"/>
  <c r="Z5" i="4"/>
  <c r="G25" i="10"/>
  <c r="C11" i="24"/>
  <c r="AA9" i="11"/>
  <c r="K16" i="4"/>
  <c r="R16" i="4"/>
  <c r="N15" i="9"/>
  <c r="N15" i="10"/>
  <c r="N15" i="12"/>
  <c r="N15" i="11"/>
  <c r="G16" i="11"/>
  <c r="AE7" i="11" s="1"/>
  <c r="H5" i="11"/>
  <c r="G24" i="11"/>
  <c r="B12" i="14"/>
  <c r="C12" i="14"/>
  <c r="D12" i="14"/>
  <c r="P14" i="5"/>
  <c r="E19" i="9"/>
  <c r="G16" i="4"/>
  <c r="G14" i="5"/>
  <c r="C50" i="24"/>
  <c r="D30" i="12"/>
  <c r="J16" i="4"/>
  <c r="AD7" i="12"/>
  <c r="AD9" i="12" s="1"/>
  <c r="C54" i="24"/>
  <c r="Y18" i="4"/>
  <c r="AB9" i="12"/>
  <c r="W15" i="9"/>
  <c r="H24" i="14"/>
  <c r="H16" i="14"/>
  <c r="I5" i="14"/>
  <c r="W15" i="11"/>
  <c r="D11" i="4"/>
  <c r="AB5" i="4" s="1"/>
  <c r="Q14" i="5"/>
  <c r="C14" i="22"/>
  <c r="C17" i="22" s="1"/>
  <c r="C13" i="22"/>
  <c r="C17" i="24"/>
  <c r="E30" i="12"/>
  <c r="E33" i="12" s="1"/>
  <c r="F23" i="12"/>
  <c r="H26" i="10"/>
  <c r="G23" i="13"/>
  <c r="O16" i="4"/>
  <c r="F19" i="12"/>
  <c r="F20" i="12" s="1"/>
  <c r="F33" i="12" l="1"/>
  <c r="E56" i="12"/>
  <c r="C15" i="5"/>
  <c r="B77" i="22"/>
  <c r="AF8" i="14"/>
  <c r="AE7" i="13"/>
  <c r="H23" i="13"/>
  <c r="M5" i="20"/>
  <c r="L68" i="20"/>
  <c r="L74" i="20"/>
  <c r="L80" i="20"/>
  <c r="AC8" i="10"/>
  <c r="E25" i="4"/>
  <c r="D12" i="12"/>
  <c r="D20" i="12" s="1"/>
  <c r="D33" i="12" s="1"/>
  <c r="B12" i="12"/>
  <c r="C12" i="12"/>
  <c r="C20" i="12" s="1"/>
  <c r="C33" i="12" s="1"/>
  <c r="W14" i="5"/>
  <c r="Y14" i="5" s="1"/>
  <c r="I26" i="10"/>
  <c r="I24" i="14"/>
  <c r="AG8" i="14" s="1"/>
  <c r="J5" i="14"/>
  <c r="I16" i="14"/>
  <c r="B91" i="22"/>
  <c r="B40" i="4" s="1"/>
  <c r="AD8" i="9"/>
  <c r="AD9" i="9" s="1"/>
  <c r="F25" i="13"/>
  <c r="E19" i="13"/>
  <c r="AC8" i="13"/>
  <c r="AC9" i="13" s="1"/>
  <c r="E30" i="13"/>
  <c r="K6" i="20"/>
  <c r="J86" i="20"/>
  <c r="J92" i="20"/>
  <c r="J98" i="20"/>
  <c r="I23" i="11"/>
  <c r="I5" i="12"/>
  <c r="H16" i="12"/>
  <c r="H24" i="12"/>
  <c r="AF8" i="12" s="1"/>
  <c r="I5" i="13"/>
  <c r="H24" i="13"/>
  <c r="H16" i="13"/>
  <c r="D12" i="9"/>
  <c r="B12" i="9"/>
  <c r="C12" i="9"/>
  <c r="C20" i="9" s="1"/>
  <c r="C33" i="9" s="1"/>
  <c r="F30" i="12"/>
  <c r="G23" i="12"/>
  <c r="AF7" i="14"/>
  <c r="AF9" i="14" s="1"/>
  <c r="H24" i="11"/>
  <c r="H16" i="11"/>
  <c r="I5" i="11"/>
  <c r="AB6" i="4"/>
  <c r="D33" i="11"/>
  <c r="C34" i="22"/>
  <c r="C37" i="22" s="1"/>
  <c r="C33" i="22"/>
  <c r="F24" i="10"/>
  <c r="F30" i="10" s="1"/>
  <c r="F16" i="10"/>
  <c r="C83" i="13"/>
  <c r="C85" i="13" s="1"/>
  <c r="C33" i="13"/>
  <c r="AE9" i="12"/>
  <c r="G16" i="9"/>
  <c r="H5" i="9"/>
  <c r="G5" i="10"/>
  <c r="G24" i="9"/>
  <c r="AE8" i="9" s="1"/>
  <c r="D12" i="10"/>
  <c r="B12" i="10"/>
  <c r="C12" i="10"/>
  <c r="AB7" i="9"/>
  <c r="AB9" i="9" s="1"/>
  <c r="D19" i="9"/>
  <c r="D20" i="9" s="1"/>
  <c r="D33" i="9" s="1"/>
  <c r="W10" i="9"/>
  <c r="X11" i="4" s="1"/>
  <c r="E56" i="9"/>
  <c r="C10" i="2"/>
  <c r="G10" i="2"/>
  <c r="W15" i="12"/>
  <c r="G23" i="10"/>
  <c r="F24" i="4"/>
  <c r="H23" i="14"/>
  <c r="C52" i="22"/>
  <c r="B73" i="22"/>
  <c r="F25" i="11"/>
  <c r="E19" i="11"/>
  <c r="E26" i="4"/>
  <c r="E30" i="11"/>
  <c r="AC8" i="11"/>
  <c r="AC9" i="11" s="1"/>
  <c r="F30" i="9"/>
  <c r="F26" i="11"/>
  <c r="E27" i="4"/>
  <c r="AB9" i="10"/>
  <c r="D83" i="13"/>
  <c r="D85" i="13" s="1"/>
  <c r="D33" i="13"/>
  <c r="C20" i="22"/>
  <c r="C21" i="22"/>
  <c r="C24" i="22" s="1"/>
  <c r="N16" i="4"/>
  <c r="W15" i="10"/>
  <c r="H25" i="10"/>
  <c r="H23" i="9"/>
  <c r="C56" i="11"/>
  <c r="W12" i="13"/>
  <c r="B20" i="13"/>
  <c r="W12" i="14"/>
  <c r="W11" i="4"/>
  <c r="F19" i="9"/>
  <c r="F20" i="9" s="1"/>
  <c r="F33" i="9" s="1"/>
  <c r="G27" i="10"/>
  <c r="F28" i="4"/>
  <c r="AC7" i="10"/>
  <c r="AC9" i="10" s="1"/>
  <c r="E17" i="4"/>
  <c r="E19" i="10"/>
  <c r="W12" i="11"/>
  <c r="B20" i="11"/>
  <c r="F56" i="9" l="1"/>
  <c r="D56" i="9"/>
  <c r="AC5" i="4"/>
  <c r="C28" i="22"/>
  <c r="D12" i="22" s="1"/>
  <c r="C27" i="22"/>
  <c r="B33" i="11"/>
  <c r="E20" i="11"/>
  <c r="E33" i="11" s="1"/>
  <c r="AF7" i="12"/>
  <c r="J26" i="10"/>
  <c r="H27" i="10"/>
  <c r="G28" i="4"/>
  <c r="X16" i="4"/>
  <c r="G25" i="11"/>
  <c r="F30" i="11"/>
  <c r="AD8" i="11"/>
  <c r="AD9" i="11" s="1"/>
  <c r="F26" i="4"/>
  <c r="F19" i="11"/>
  <c r="F20" i="11" s="1"/>
  <c r="H23" i="10"/>
  <c r="G24" i="4"/>
  <c r="AE7" i="9"/>
  <c r="G20" i="9"/>
  <c r="G19" i="9"/>
  <c r="C56" i="13"/>
  <c r="I16" i="12"/>
  <c r="J5" i="12"/>
  <c r="I24" i="12"/>
  <c r="AC6" i="4"/>
  <c r="C40" i="22"/>
  <c r="C41" i="22"/>
  <c r="C44" i="22" s="1"/>
  <c r="I16" i="13"/>
  <c r="J5" i="13"/>
  <c r="I24" i="13"/>
  <c r="W12" i="9"/>
  <c r="B20" i="9"/>
  <c r="F56" i="12"/>
  <c r="W16" i="4"/>
  <c r="Y16" i="4" s="1"/>
  <c r="B81" i="9"/>
  <c r="B80" i="10"/>
  <c r="B81" i="12"/>
  <c r="B80" i="11"/>
  <c r="G19" i="12"/>
  <c r="B39" i="9"/>
  <c r="B39" i="10"/>
  <c r="B39" i="12"/>
  <c r="B39" i="11"/>
  <c r="B39" i="14"/>
  <c r="B39" i="13"/>
  <c r="B59" i="9"/>
  <c r="B59" i="10"/>
  <c r="B59" i="12"/>
  <c r="B59" i="11"/>
  <c r="B59" i="13"/>
  <c r="B59" i="14"/>
  <c r="I25" i="10"/>
  <c r="I5" i="9"/>
  <c r="H24" i="9"/>
  <c r="AF8" i="9" s="1"/>
  <c r="H16" i="9"/>
  <c r="H5" i="10"/>
  <c r="N5" i="20"/>
  <c r="M74" i="20"/>
  <c r="M80" i="20"/>
  <c r="M68" i="20"/>
  <c r="E20" i="10"/>
  <c r="E33" i="10" s="1"/>
  <c r="G30" i="9"/>
  <c r="D56" i="13"/>
  <c r="G26" i="11"/>
  <c r="F27" i="4"/>
  <c r="C53" i="22"/>
  <c r="C54" i="22"/>
  <c r="C57" i="22" s="1"/>
  <c r="C72" i="22"/>
  <c r="C13" i="4"/>
  <c r="C20" i="10"/>
  <c r="C33" i="10" s="1"/>
  <c r="AD7" i="10"/>
  <c r="F17" i="4"/>
  <c r="F19" i="10"/>
  <c r="I24" i="11"/>
  <c r="I16" i="11"/>
  <c r="J5" i="11"/>
  <c r="J23" i="11"/>
  <c r="E20" i="13"/>
  <c r="AG7" i="14"/>
  <c r="B83" i="13"/>
  <c r="B85" i="13" s="1"/>
  <c r="B33" i="13"/>
  <c r="H30" i="9"/>
  <c r="I23" i="9"/>
  <c r="I23" i="14"/>
  <c r="W12" i="10"/>
  <c r="X13" i="4" s="1"/>
  <c r="B13" i="4"/>
  <c r="B20" i="10"/>
  <c r="AD8" i="10"/>
  <c r="F25" i="4"/>
  <c r="AF7" i="11"/>
  <c r="H23" i="12"/>
  <c r="G30" i="12"/>
  <c r="AF7" i="13"/>
  <c r="G25" i="13"/>
  <c r="AD8" i="13"/>
  <c r="AD9" i="13" s="1"/>
  <c r="F30" i="13"/>
  <c r="F19" i="13"/>
  <c r="F20" i="13" s="1"/>
  <c r="J16" i="14"/>
  <c r="K5" i="14"/>
  <c r="J24" i="14"/>
  <c r="C56" i="12"/>
  <c r="I23" i="13"/>
  <c r="Y11" i="4"/>
  <c r="D13" i="4"/>
  <c r="D20" i="10"/>
  <c r="D33" i="10" s="1"/>
  <c r="W12" i="12"/>
  <c r="B20" i="12"/>
  <c r="D56" i="12"/>
  <c r="G24" i="10"/>
  <c r="G16" i="10"/>
  <c r="D56" i="11"/>
  <c r="C56" i="9"/>
  <c r="L6" i="20"/>
  <c r="K92" i="20"/>
  <c r="K98" i="20"/>
  <c r="K86" i="20"/>
  <c r="B10" i="2"/>
  <c r="C12" i="2"/>
  <c r="AF9" i="12" l="1"/>
  <c r="AH8" i="14"/>
  <c r="K23" i="11"/>
  <c r="AD9" i="10"/>
  <c r="H26" i="11"/>
  <c r="G27" i="4"/>
  <c r="J25" i="10"/>
  <c r="G33" i="9"/>
  <c r="E56" i="11"/>
  <c r="AE8" i="10"/>
  <c r="G25" i="4"/>
  <c r="AG7" i="13"/>
  <c r="I23" i="10"/>
  <c r="H24" i="4"/>
  <c r="M6" i="20"/>
  <c r="L86" i="20"/>
  <c r="L92" i="20"/>
  <c r="L98" i="20"/>
  <c r="D56" i="10"/>
  <c r="K24" i="14"/>
  <c r="AI8" i="14" s="1"/>
  <c r="L5" i="14"/>
  <c r="K16" i="14"/>
  <c r="B33" i="10"/>
  <c r="C56" i="10"/>
  <c r="O5" i="20"/>
  <c r="N80" i="20"/>
  <c r="N74" i="20"/>
  <c r="N68" i="20"/>
  <c r="B33" i="9"/>
  <c r="AE9" i="9"/>
  <c r="F33" i="13"/>
  <c r="F83" i="13"/>
  <c r="F85" i="13" s="1"/>
  <c r="B12" i="2"/>
  <c r="G9" i="2"/>
  <c r="G8" i="2"/>
  <c r="B9" i="2"/>
  <c r="B8" i="2"/>
  <c r="AH7" i="14"/>
  <c r="W13" i="4"/>
  <c r="Y13" i="4" s="1"/>
  <c r="I30" i="9"/>
  <c r="J23" i="9"/>
  <c r="J24" i="11"/>
  <c r="K5" i="11"/>
  <c r="J16" i="11"/>
  <c r="H24" i="10"/>
  <c r="H30" i="10" s="1"/>
  <c r="H16" i="10"/>
  <c r="AG8" i="12"/>
  <c r="K26" i="10"/>
  <c r="B56" i="11"/>
  <c r="AG9" i="14"/>
  <c r="AF7" i="9"/>
  <c r="AF9" i="9" s="1"/>
  <c r="H19" i="9"/>
  <c r="B33" i="12"/>
  <c r="E56" i="10"/>
  <c r="AG7" i="12"/>
  <c r="AG9" i="12" s="1"/>
  <c r="H25" i="11"/>
  <c r="G26" i="4"/>
  <c r="G30" i="11"/>
  <c r="G19" i="11"/>
  <c r="G20" i="11" s="1"/>
  <c r="G33" i="11" s="1"/>
  <c r="AE8" i="11"/>
  <c r="AE9" i="11" s="1"/>
  <c r="D13" i="22"/>
  <c r="D14" i="22"/>
  <c r="D17" i="22" s="1"/>
  <c r="H30" i="12"/>
  <c r="I23" i="12"/>
  <c r="AG7" i="11"/>
  <c r="J16" i="12"/>
  <c r="J24" i="12"/>
  <c r="AH8" i="12" s="1"/>
  <c r="K5" i="12"/>
  <c r="AE7" i="10"/>
  <c r="G17" i="4"/>
  <c r="G19" i="10"/>
  <c r="G20" i="10"/>
  <c r="G33" i="10" s="1"/>
  <c r="J23" i="13"/>
  <c r="J23" i="14"/>
  <c r="B56" i="13"/>
  <c r="E33" i="13"/>
  <c r="E83" i="13"/>
  <c r="E85" i="13" s="1"/>
  <c r="F20" i="10"/>
  <c r="F33" i="10" s="1"/>
  <c r="C60" i="22"/>
  <c r="C61" i="22"/>
  <c r="C64" i="22" s="1"/>
  <c r="I16" i="9"/>
  <c r="J5" i="9"/>
  <c r="I24" i="9"/>
  <c r="I5" i="10"/>
  <c r="J24" i="13"/>
  <c r="J16" i="13"/>
  <c r="K5" i="13"/>
  <c r="G30" i="10"/>
  <c r="H19" i="12"/>
  <c r="H20" i="12" s="1"/>
  <c r="H33" i="12" s="1"/>
  <c r="H25" i="13"/>
  <c r="G30" i="13"/>
  <c r="AE8" i="13"/>
  <c r="AE9" i="13" s="1"/>
  <c r="G19" i="13"/>
  <c r="G20" i="13" s="1"/>
  <c r="AD6" i="4"/>
  <c r="AD5" i="4"/>
  <c r="G20" i="12"/>
  <c r="G33" i="12" s="1"/>
  <c r="C47" i="22"/>
  <c r="C48" i="22"/>
  <c r="D32" i="22" s="1"/>
  <c r="F33" i="11"/>
  <c r="I27" i="10"/>
  <c r="H28" i="4"/>
  <c r="B61" i="11" l="1"/>
  <c r="J23" i="10"/>
  <c r="I24" i="4"/>
  <c r="G56" i="11"/>
  <c r="AG7" i="9"/>
  <c r="I19" i="9"/>
  <c r="I20" i="9" s="1"/>
  <c r="I33" i="9" s="1"/>
  <c r="B61" i="13"/>
  <c r="AE5" i="4"/>
  <c r="L26" i="10"/>
  <c r="AI7" i="14"/>
  <c r="L23" i="11"/>
  <c r="AG8" i="9"/>
  <c r="G33" i="13"/>
  <c r="G83" i="13"/>
  <c r="G85" i="13" s="1"/>
  <c r="K24" i="13"/>
  <c r="L5" i="13"/>
  <c r="K16" i="13"/>
  <c r="C67" i="22"/>
  <c r="C76" i="22" s="1"/>
  <c r="C68" i="22"/>
  <c r="K23" i="14"/>
  <c r="AE9" i="10"/>
  <c r="J23" i="12"/>
  <c r="I30" i="12"/>
  <c r="I25" i="11"/>
  <c r="H26" i="4"/>
  <c r="H19" i="11"/>
  <c r="H20" i="11" s="1"/>
  <c r="AF8" i="11"/>
  <c r="AF9" i="11" s="1"/>
  <c r="H30" i="11"/>
  <c r="B56" i="12"/>
  <c r="AH7" i="11"/>
  <c r="B67" i="20"/>
  <c r="B73" i="20"/>
  <c r="B79" i="20"/>
  <c r="B85" i="20"/>
  <c r="B91" i="20"/>
  <c r="B97" i="20"/>
  <c r="B42" i="2"/>
  <c r="G15" i="2"/>
  <c r="B46" i="2"/>
  <c r="B44" i="20"/>
  <c r="B28" i="20"/>
  <c r="B52" i="20"/>
  <c r="B36" i="20"/>
  <c r="B20" i="20"/>
  <c r="B12" i="20"/>
  <c r="P5" i="20"/>
  <c r="O74" i="20"/>
  <c r="O80" i="20"/>
  <c r="O68" i="20"/>
  <c r="L16" i="14"/>
  <c r="M5" i="14"/>
  <c r="L24" i="14"/>
  <c r="AJ8" i="14" s="1"/>
  <c r="I16" i="10"/>
  <c r="I24" i="10"/>
  <c r="J27" i="10"/>
  <c r="I28" i="4"/>
  <c r="AH7" i="13"/>
  <c r="L5" i="12"/>
  <c r="K24" i="12"/>
  <c r="AI8" i="12" s="1"/>
  <c r="K16" i="12"/>
  <c r="L5" i="11"/>
  <c r="K24" i="11"/>
  <c r="K16" i="11"/>
  <c r="F9" i="2"/>
  <c r="C46" i="2"/>
  <c r="C42" i="2"/>
  <c r="B56" i="9"/>
  <c r="N6" i="20"/>
  <c r="M86" i="20"/>
  <c r="M92" i="20"/>
  <c r="M98" i="20"/>
  <c r="AE6" i="4"/>
  <c r="K25" i="10"/>
  <c r="D34" i="22"/>
  <c r="D37" i="22" s="1"/>
  <c r="D33" i="22"/>
  <c r="I25" i="13"/>
  <c r="H30" i="13"/>
  <c r="H19" i="13"/>
  <c r="H20" i="13" s="1"/>
  <c r="AF8" i="13"/>
  <c r="AF9" i="13" s="1"/>
  <c r="K23" i="13"/>
  <c r="AH7" i="12"/>
  <c r="AH9" i="12" s="1"/>
  <c r="J19" i="12"/>
  <c r="J20" i="12" s="1"/>
  <c r="I19" i="12"/>
  <c r="I20" i="12" s="1"/>
  <c r="I33" i="12" s="1"/>
  <c r="K23" i="9"/>
  <c r="AH9" i="14"/>
  <c r="F56" i="10"/>
  <c r="AF8" i="10"/>
  <c r="H25" i="4"/>
  <c r="F56" i="13"/>
  <c r="B56" i="10"/>
  <c r="F56" i="11"/>
  <c r="D21" i="22"/>
  <c r="D24" i="22" s="1"/>
  <c r="D20" i="22"/>
  <c r="E56" i="13"/>
  <c r="AF7" i="10"/>
  <c r="AF9" i="10" s="1"/>
  <c r="H17" i="4"/>
  <c r="H19" i="10"/>
  <c r="H20" i="10" s="1"/>
  <c r="I26" i="11"/>
  <c r="H27" i="4"/>
  <c r="H56" i="12"/>
  <c r="G56" i="10"/>
  <c r="G56" i="12"/>
  <c r="J24" i="9"/>
  <c r="AH8" i="9" s="1"/>
  <c r="J16" i="9"/>
  <c r="K5" i="9"/>
  <c r="J5" i="10"/>
  <c r="H20" i="9"/>
  <c r="G56" i="9"/>
  <c r="I56" i="9" l="1"/>
  <c r="K19" i="14"/>
  <c r="K20" i="14" s="1"/>
  <c r="D15" i="5"/>
  <c r="C77" i="22"/>
  <c r="H33" i="10"/>
  <c r="J25" i="13"/>
  <c r="I19" i="13"/>
  <c r="I20" i="13" s="1"/>
  <c r="AG8" i="13"/>
  <c r="AG9" i="13" s="1"/>
  <c r="I30" i="13"/>
  <c r="K27" i="10"/>
  <c r="J28" i="4"/>
  <c r="AJ7" i="14"/>
  <c r="AJ9" i="14" s="1"/>
  <c r="D53" i="20"/>
  <c r="C35" i="14" s="1"/>
  <c r="C86" i="14" s="1"/>
  <c r="L53" i="20"/>
  <c r="K35" i="14" s="1"/>
  <c r="K86" i="14" s="1"/>
  <c r="T53" i="20"/>
  <c r="S35" i="14" s="1"/>
  <c r="S86" i="14" s="1"/>
  <c r="J53" i="20"/>
  <c r="I35" i="14" s="1"/>
  <c r="I86" i="14" s="1"/>
  <c r="S53" i="20"/>
  <c r="R35" i="14" s="1"/>
  <c r="R86" i="14" s="1"/>
  <c r="E53" i="20"/>
  <c r="D35" i="14" s="1"/>
  <c r="D86" i="14" s="1"/>
  <c r="N53" i="20"/>
  <c r="M35" i="14" s="1"/>
  <c r="M86" i="14" s="1"/>
  <c r="F53" i="20"/>
  <c r="E35" i="14" s="1"/>
  <c r="E86" i="14" s="1"/>
  <c r="O53" i="20"/>
  <c r="N35" i="14" s="1"/>
  <c r="N86" i="14" s="1"/>
  <c r="H53" i="20"/>
  <c r="G35" i="14" s="1"/>
  <c r="G86" i="14" s="1"/>
  <c r="V53" i="20"/>
  <c r="U35" i="14" s="1"/>
  <c r="U86" i="14" s="1"/>
  <c r="I53" i="20"/>
  <c r="H35" i="14" s="1"/>
  <c r="H86" i="14" s="1"/>
  <c r="K53" i="20"/>
  <c r="J35" i="14" s="1"/>
  <c r="J86" i="14" s="1"/>
  <c r="B53" i="20"/>
  <c r="B54" i="20" s="1"/>
  <c r="C52" i="20" s="1"/>
  <c r="C54" i="20" s="1"/>
  <c r="D52" i="20" s="1"/>
  <c r="D54" i="20" s="1"/>
  <c r="E52" i="20" s="1"/>
  <c r="E54" i="20" s="1"/>
  <c r="F52" i="20" s="1"/>
  <c r="F54" i="20" s="1"/>
  <c r="G52" i="20" s="1"/>
  <c r="G54" i="20" s="1"/>
  <c r="H52" i="20" s="1"/>
  <c r="H54" i="20" s="1"/>
  <c r="I52" i="20" s="1"/>
  <c r="I54" i="20" s="1"/>
  <c r="J52" i="20" s="1"/>
  <c r="J54" i="20" s="1"/>
  <c r="K52" i="20" s="1"/>
  <c r="K54" i="20" s="1"/>
  <c r="L52" i="20" s="1"/>
  <c r="L54" i="20" s="1"/>
  <c r="M52" i="20" s="1"/>
  <c r="M54" i="20" s="1"/>
  <c r="N52" i="20" s="1"/>
  <c r="N54" i="20" s="1"/>
  <c r="O52" i="20" s="1"/>
  <c r="O54" i="20" s="1"/>
  <c r="P52" i="20" s="1"/>
  <c r="P54" i="20" s="1"/>
  <c r="Q52" i="20" s="1"/>
  <c r="Q54" i="20" s="1"/>
  <c r="R52" i="20" s="1"/>
  <c r="R54" i="20" s="1"/>
  <c r="S52" i="20" s="1"/>
  <c r="S54" i="20" s="1"/>
  <c r="T52" i="20" s="1"/>
  <c r="T54" i="20" s="1"/>
  <c r="U52" i="20" s="1"/>
  <c r="U54" i="20" s="1"/>
  <c r="V52" i="20" s="1"/>
  <c r="V54" i="20" s="1"/>
  <c r="Q53" i="20"/>
  <c r="P35" i="14" s="1"/>
  <c r="P86" i="14" s="1"/>
  <c r="C53" i="20"/>
  <c r="B35" i="14" s="1"/>
  <c r="R53" i="20"/>
  <c r="Q35" i="14" s="1"/>
  <c r="Q86" i="14" s="1"/>
  <c r="G53" i="20"/>
  <c r="F35" i="14" s="1"/>
  <c r="F86" i="14" s="1"/>
  <c r="M53" i="20"/>
  <c r="L35" i="14" s="1"/>
  <c r="L86" i="14" s="1"/>
  <c r="P53" i="20"/>
  <c r="O35" i="14" s="1"/>
  <c r="O86" i="14" s="1"/>
  <c r="U53" i="20"/>
  <c r="T35" i="14" s="1"/>
  <c r="T86" i="14" s="1"/>
  <c r="G78" i="14"/>
  <c r="G80" i="14" s="1"/>
  <c r="G29" i="14" s="1"/>
  <c r="O78" i="14"/>
  <c r="O80" i="14" s="1"/>
  <c r="O29" i="14" s="1"/>
  <c r="O30" i="4" s="1"/>
  <c r="H78" i="14"/>
  <c r="H80" i="14" s="1"/>
  <c r="H29" i="14" s="1"/>
  <c r="P78" i="14"/>
  <c r="P80" i="14" s="1"/>
  <c r="P29" i="14" s="1"/>
  <c r="P30" i="4" s="1"/>
  <c r="B78" i="14"/>
  <c r="B80" i="14" s="1"/>
  <c r="B29" i="14" s="1"/>
  <c r="J78" i="14"/>
  <c r="J80" i="14" s="1"/>
  <c r="J29" i="14" s="1"/>
  <c r="R78" i="14"/>
  <c r="R80" i="14" s="1"/>
  <c r="R29" i="14" s="1"/>
  <c r="R30" i="4" s="1"/>
  <c r="D78" i="14"/>
  <c r="D80" i="14" s="1"/>
  <c r="D29" i="14" s="1"/>
  <c r="Q78" i="14"/>
  <c r="Q80" i="14" s="1"/>
  <c r="Q29" i="14" s="1"/>
  <c r="Q30" i="4" s="1"/>
  <c r="E78" i="14"/>
  <c r="E80" i="14" s="1"/>
  <c r="E29" i="14" s="1"/>
  <c r="T78" i="14"/>
  <c r="T80" i="14" s="1"/>
  <c r="T29" i="14" s="1"/>
  <c r="T30" i="4" s="1"/>
  <c r="S78" i="14"/>
  <c r="S80" i="14" s="1"/>
  <c r="S29" i="14" s="1"/>
  <c r="S30" i="4" s="1"/>
  <c r="K78" i="14"/>
  <c r="K80" i="14" s="1"/>
  <c r="K29" i="14" s="1"/>
  <c r="K30" i="4" s="1"/>
  <c r="N78" i="14"/>
  <c r="N80" i="14" s="1"/>
  <c r="N29" i="14" s="1"/>
  <c r="N30" i="4" s="1"/>
  <c r="F78" i="14"/>
  <c r="F80" i="14" s="1"/>
  <c r="F29" i="14" s="1"/>
  <c r="I78" i="14"/>
  <c r="I80" i="14" s="1"/>
  <c r="I29" i="14" s="1"/>
  <c r="L78" i="14"/>
  <c r="L80" i="14" s="1"/>
  <c r="L29" i="14" s="1"/>
  <c r="L30" i="4" s="1"/>
  <c r="M78" i="14"/>
  <c r="M80" i="14" s="1"/>
  <c r="M29" i="14" s="1"/>
  <c r="M30" i="4" s="1"/>
  <c r="C78" i="14"/>
  <c r="C80" i="14" s="1"/>
  <c r="C29" i="14" s="1"/>
  <c r="U78" i="14"/>
  <c r="U80" i="14" s="1"/>
  <c r="U29" i="14" s="1"/>
  <c r="U30" i="4" s="1"/>
  <c r="F93" i="20"/>
  <c r="E94" i="13" s="1"/>
  <c r="V93" i="20"/>
  <c r="U94" i="13" s="1"/>
  <c r="G93" i="20"/>
  <c r="F94" i="13" s="1"/>
  <c r="H93" i="20"/>
  <c r="G94" i="13" s="1"/>
  <c r="C93" i="20"/>
  <c r="B94" i="13" s="1"/>
  <c r="K93" i="20"/>
  <c r="J94" i="13" s="1"/>
  <c r="S93" i="20"/>
  <c r="R94" i="13" s="1"/>
  <c r="D93" i="20"/>
  <c r="C94" i="13" s="1"/>
  <c r="L93" i="20"/>
  <c r="K94" i="13" s="1"/>
  <c r="T93" i="20"/>
  <c r="S94" i="13" s="1"/>
  <c r="U93" i="20"/>
  <c r="T94" i="13" s="1"/>
  <c r="B93" i="20"/>
  <c r="B94" i="20" s="1"/>
  <c r="C91" i="20" s="1"/>
  <c r="C94" i="20" s="1"/>
  <c r="D91" i="20" s="1"/>
  <c r="D94" i="20" s="1"/>
  <c r="E91" i="20" s="1"/>
  <c r="E94" i="20" s="1"/>
  <c r="F91" i="20" s="1"/>
  <c r="F94" i="20" s="1"/>
  <c r="G91" i="20" s="1"/>
  <c r="G94" i="20" s="1"/>
  <c r="H91" i="20" s="1"/>
  <c r="H94" i="20" s="1"/>
  <c r="I91" i="20" s="1"/>
  <c r="I94" i="20" s="1"/>
  <c r="J91" i="20" s="1"/>
  <c r="J94" i="20" s="1"/>
  <c r="K91" i="20" s="1"/>
  <c r="K94" i="20" s="1"/>
  <c r="L91" i="20" s="1"/>
  <c r="L94" i="20" s="1"/>
  <c r="M91" i="20" s="1"/>
  <c r="M94" i="20" s="1"/>
  <c r="N91" i="20" s="1"/>
  <c r="E93" i="20"/>
  <c r="D94" i="13" s="1"/>
  <c r="I93" i="20"/>
  <c r="H94" i="13" s="1"/>
  <c r="J93" i="20"/>
  <c r="I94" i="13" s="1"/>
  <c r="M93" i="20"/>
  <c r="L94" i="13" s="1"/>
  <c r="J25" i="11"/>
  <c r="I30" i="11"/>
  <c r="I19" i="11"/>
  <c r="I20" i="11" s="1"/>
  <c r="I26" i="4"/>
  <c r="AG8" i="11"/>
  <c r="AG9" i="11" s="1"/>
  <c r="K16" i="9"/>
  <c r="L5" i="9"/>
  <c r="K5" i="10"/>
  <c r="K24" i="9"/>
  <c r="AI8" i="9" s="1"/>
  <c r="L23" i="9"/>
  <c r="AI7" i="12"/>
  <c r="AI9" i="12" s="1"/>
  <c r="E29" i="20"/>
  <c r="D35" i="11" s="1"/>
  <c r="M29" i="20"/>
  <c r="L35" i="11" s="1"/>
  <c r="L89" i="11" s="1"/>
  <c r="U29" i="20"/>
  <c r="T35" i="11" s="1"/>
  <c r="T89" i="11" s="1"/>
  <c r="C29" i="20"/>
  <c r="B35" i="11" s="1"/>
  <c r="L29" i="20"/>
  <c r="K35" i="11" s="1"/>
  <c r="K89" i="11" s="1"/>
  <c r="V29" i="20"/>
  <c r="U35" i="11" s="1"/>
  <c r="U89" i="11" s="1"/>
  <c r="G29" i="20"/>
  <c r="F35" i="11" s="1"/>
  <c r="P29" i="20"/>
  <c r="O35" i="11" s="1"/>
  <c r="O89" i="11" s="1"/>
  <c r="H29" i="20"/>
  <c r="G35" i="11" s="1"/>
  <c r="Q29" i="20"/>
  <c r="P35" i="11" s="1"/>
  <c r="P89" i="11" s="1"/>
  <c r="N29" i="20"/>
  <c r="M35" i="11" s="1"/>
  <c r="M89" i="11" s="1"/>
  <c r="O29" i="20"/>
  <c r="N35" i="11" s="1"/>
  <c r="N89" i="11" s="1"/>
  <c r="B29" i="20"/>
  <c r="R29" i="20"/>
  <c r="Q35" i="11" s="1"/>
  <c r="Q89" i="11" s="1"/>
  <c r="I29" i="20"/>
  <c r="H35" i="11" s="1"/>
  <c r="H89" i="11" s="1"/>
  <c r="B30" i="20"/>
  <c r="C28" i="20" s="1"/>
  <c r="C30" i="20" s="1"/>
  <c r="D28" i="20" s="1"/>
  <c r="D30" i="20" s="1"/>
  <c r="E28" i="20" s="1"/>
  <c r="J29" i="20"/>
  <c r="I35" i="11" s="1"/>
  <c r="I89" i="11" s="1"/>
  <c r="F29" i="20"/>
  <c r="E35" i="11" s="1"/>
  <c r="K29" i="20"/>
  <c r="J35" i="11" s="1"/>
  <c r="J89" i="11" s="1"/>
  <c r="S29" i="20"/>
  <c r="R35" i="11" s="1"/>
  <c r="R89" i="11" s="1"/>
  <c r="T29" i="20"/>
  <c r="S35" i="11" s="1"/>
  <c r="S89" i="11" s="1"/>
  <c r="D29" i="20"/>
  <c r="C35" i="11" s="1"/>
  <c r="F78" i="11"/>
  <c r="N78" i="11"/>
  <c r="G78" i="11"/>
  <c r="O78" i="11"/>
  <c r="I78" i="11"/>
  <c r="Q78" i="11"/>
  <c r="C78" i="11"/>
  <c r="K78" i="11"/>
  <c r="S78" i="11"/>
  <c r="D78" i="11"/>
  <c r="L78" i="11"/>
  <c r="T78" i="11"/>
  <c r="E78" i="11"/>
  <c r="M78" i="11"/>
  <c r="U78" i="11"/>
  <c r="H78" i="11"/>
  <c r="J78" i="11"/>
  <c r="P78" i="11"/>
  <c r="R78" i="11"/>
  <c r="B78" i="11"/>
  <c r="F87" i="20"/>
  <c r="E93" i="12" s="1"/>
  <c r="V87" i="20"/>
  <c r="U93" i="12" s="1"/>
  <c r="G87" i="20"/>
  <c r="F93" i="12" s="1"/>
  <c r="H87" i="20"/>
  <c r="G93" i="12" s="1"/>
  <c r="C87" i="20"/>
  <c r="B93" i="12" s="1"/>
  <c r="K87" i="20"/>
  <c r="J93" i="12" s="1"/>
  <c r="S87" i="20"/>
  <c r="R93" i="12" s="1"/>
  <c r="D87" i="20"/>
  <c r="C93" i="12" s="1"/>
  <c r="L87" i="20"/>
  <c r="K93" i="12" s="1"/>
  <c r="T87" i="20"/>
  <c r="S93" i="12" s="1"/>
  <c r="U87" i="20"/>
  <c r="T93" i="12" s="1"/>
  <c r="B87" i="20"/>
  <c r="B88" i="20" s="1"/>
  <c r="C85" i="20" s="1"/>
  <c r="C88" i="20" s="1"/>
  <c r="D85" i="20" s="1"/>
  <c r="D88" i="20" s="1"/>
  <c r="E85" i="20" s="1"/>
  <c r="E88" i="20" s="1"/>
  <c r="F85" i="20" s="1"/>
  <c r="F88" i="20" s="1"/>
  <c r="G85" i="20" s="1"/>
  <c r="G88" i="20" s="1"/>
  <c r="H85" i="20" s="1"/>
  <c r="H88" i="20" s="1"/>
  <c r="I85" i="20" s="1"/>
  <c r="I88" i="20" s="1"/>
  <c r="J85" i="20" s="1"/>
  <c r="J88" i="20" s="1"/>
  <c r="K85" i="20" s="1"/>
  <c r="K88" i="20" s="1"/>
  <c r="L85" i="20" s="1"/>
  <c r="L88" i="20" s="1"/>
  <c r="M85" i="20" s="1"/>
  <c r="M88" i="20" s="1"/>
  <c r="N85" i="20" s="1"/>
  <c r="N88" i="20" s="1"/>
  <c r="O85" i="20" s="1"/>
  <c r="E87" i="20"/>
  <c r="D93" i="12" s="1"/>
  <c r="I87" i="20"/>
  <c r="H93" i="12" s="1"/>
  <c r="J87" i="20"/>
  <c r="I93" i="12" s="1"/>
  <c r="M87" i="20"/>
  <c r="L93" i="12" s="1"/>
  <c r="B61" i="12"/>
  <c r="AI7" i="13"/>
  <c r="C91" i="22"/>
  <c r="C40" i="4" s="1"/>
  <c r="F75" i="20"/>
  <c r="E90" i="10" s="1"/>
  <c r="N75" i="20"/>
  <c r="M90" i="10" s="1"/>
  <c r="V75" i="20"/>
  <c r="U90" i="10" s="1"/>
  <c r="G75" i="20"/>
  <c r="F90" i="10" s="1"/>
  <c r="O75" i="20"/>
  <c r="N90" i="10" s="1"/>
  <c r="H75" i="20"/>
  <c r="G90" i="10" s="1"/>
  <c r="P75" i="20"/>
  <c r="O90" i="10" s="1"/>
  <c r="C75" i="20"/>
  <c r="B90" i="10" s="1"/>
  <c r="K75" i="20"/>
  <c r="J90" i="10" s="1"/>
  <c r="S75" i="20"/>
  <c r="R90" i="10" s="1"/>
  <c r="D75" i="20"/>
  <c r="C90" i="10" s="1"/>
  <c r="L75" i="20"/>
  <c r="K90" i="10" s="1"/>
  <c r="T75" i="20"/>
  <c r="S90" i="10" s="1"/>
  <c r="E75" i="20"/>
  <c r="D90" i="10" s="1"/>
  <c r="I75" i="20"/>
  <c r="H90" i="10" s="1"/>
  <c r="J75" i="20"/>
  <c r="I90" i="10" s="1"/>
  <c r="M75" i="20"/>
  <c r="L90" i="10" s="1"/>
  <c r="U75" i="20"/>
  <c r="T90" i="10" s="1"/>
  <c r="B75" i="20"/>
  <c r="B76" i="20" s="1"/>
  <c r="C73" i="20" s="1"/>
  <c r="C76" i="20" s="1"/>
  <c r="D73" i="20" s="1"/>
  <c r="D76" i="20" s="1"/>
  <c r="E73" i="20" s="1"/>
  <c r="E76" i="20" s="1"/>
  <c r="F73" i="20" s="1"/>
  <c r="F76" i="20" s="1"/>
  <c r="G73" i="20" s="1"/>
  <c r="G76" i="20" s="1"/>
  <c r="H73" i="20" s="1"/>
  <c r="H76" i="20" s="1"/>
  <c r="I73" i="20" s="1"/>
  <c r="I76" i="20" s="1"/>
  <c r="J73" i="20" s="1"/>
  <c r="J76" i="20" s="1"/>
  <c r="K73" i="20" s="1"/>
  <c r="K76" i="20" s="1"/>
  <c r="L73" i="20" s="1"/>
  <c r="L76" i="20" s="1"/>
  <c r="M73" i="20" s="1"/>
  <c r="M76" i="20" s="1"/>
  <c r="N73" i="20" s="1"/>
  <c r="N76" i="20" s="1"/>
  <c r="O73" i="20" s="1"/>
  <c r="O76" i="20" s="1"/>
  <c r="P73" i="20" s="1"/>
  <c r="P76" i="20" s="1"/>
  <c r="Q73" i="20" s="1"/>
  <c r="J24" i="10"/>
  <c r="J16" i="10"/>
  <c r="AF5" i="4"/>
  <c r="AF6" i="4"/>
  <c r="J30" i="9"/>
  <c r="L23" i="13"/>
  <c r="D41" i="22"/>
  <c r="D44" i="22" s="1"/>
  <c r="D40" i="22"/>
  <c r="G45" i="20"/>
  <c r="F35" i="13" s="1"/>
  <c r="O45" i="20"/>
  <c r="N35" i="13" s="1"/>
  <c r="N93" i="13" s="1"/>
  <c r="B46" i="20"/>
  <c r="C44" i="20" s="1"/>
  <c r="C46" i="20" s="1"/>
  <c r="D44" i="20" s="1"/>
  <c r="D46" i="20" s="1"/>
  <c r="E44" i="20" s="1"/>
  <c r="E46" i="20" s="1"/>
  <c r="F44" i="20" s="1"/>
  <c r="F46" i="20" s="1"/>
  <c r="G44" i="20" s="1"/>
  <c r="G46" i="20" s="1"/>
  <c r="H44" i="20" s="1"/>
  <c r="H46" i="20" s="1"/>
  <c r="I44" i="20" s="1"/>
  <c r="I46" i="20" s="1"/>
  <c r="J44" i="20" s="1"/>
  <c r="J46" i="20" s="1"/>
  <c r="K44" i="20" s="1"/>
  <c r="K46" i="20" s="1"/>
  <c r="L44" i="20" s="1"/>
  <c r="L46" i="20" s="1"/>
  <c r="M44" i="20" s="1"/>
  <c r="M46" i="20" s="1"/>
  <c r="N44" i="20" s="1"/>
  <c r="N46" i="20" s="1"/>
  <c r="O44" i="20" s="1"/>
  <c r="O46" i="20" s="1"/>
  <c r="P44" i="20" s="1"/>
  <c r="P46" i="20" s="1"/>
  <c r="Q44" i="20" s="1"/>
  <c r="Q46" i="20" s="1"/>
  <c r="R44" i="20" s="1"/>
  <c r="R46" i="20" s="1"/>
  <c r="S44" i="20" s="1"/>
  <c r="S46" i="20" s="1"/>
  <c r="T44" i="20" s="1"/>
  <c r="T46" i="20" s="1"/>
  <c r="U44" i="20" s="1"/>
  <c r="U46" i="20" s="1"/>
  <c r="V44" i="20" s="1"/>
  <c r="V46" i="20" s="1"/>
  <c r="E45" i="20"/>
  <c r="D35" i="13" s="1"/>
  <c r="N45" i="20"/>
  <c r="M35" i="13" s="1"/>
  <c r="M93" i="13" s="1"/>
  <c r="I45" i="20"/>
  <c r="H35" i="13" s="1"/>
  <c r="H93" i="13" s="1"/>
  <c r="R45" i="20"/>
  <c r="Q35" i="13" s="1"/>
  <c r="Q93" i="13" s="1"/>
  <c r="J45" i="20"/>
  <c r="I35" i="13" s="1"/>
  <c r="I93" i="13" s="1"/>
  <c r="S45" i="20"/>
  <c r="R35" i="13" s="1"/>
  <c r="R93" i="13" s="1"/>
  <c r="F45" i="20"/>
  <c r="E35" i="13" s="1"/>
  <c r="U45" i="20"/>
  <c r="T35" i="13" s="1"/>
  <c r="T93" i="13" s="1"/>
  <c r="H45" i="20"/>
  <c r="G35" i="13" s="1"/>
  <c r="G93" i="13" s="1"/>
  <c r="V45" i="20"/>
  <c r="U35" i="13" s="1"/>
  <c r="U93" i="13" s="1"/>
  <c r="K45" i="20"/>
  <c r="J35" i="13" s="1"/>
  <c r="J93" i="13" s="1"/>
  <c r="B45" i="20"/>
  <c r="P45" i="20"/>
  <c r="O35" i="13" s="1"/>
  <c r="O93" i="13" s="1"/>
  <c r="C45" i="20"/>
  <c r="B35" i="13" s="1"/>
  <c r="Q45" i="20"/>
  <c r="P35" i="13" s="1"/>
  <c r="P93" i="13" s="1"/>
  <c r="D45" i="20"/>
  <c r="C35" i="13" s="1"/>
  <c r="L45" i="20"/>
  <c r="K35" i="13" s="1"/>
  <c r="K93" i="13" s="1"/>
  <c r="M45" i="20"/>
  <c r="L35" i="13" s="1"/>
  <c r="L93" i="13" s="1"/>
  <c r="T45" i="20"/>
  <c r="S35" i="13" s="1"/>
  <c r="S93" i="13" s="1"/>
  <c r="F81" i="20"/>
  <c r="E90" i="11" s="1"/>
  <c r="N81" i="20"/>
  <c r="M90" i="11" s="1"/>
  <c r="V81" i="20"/>
  <c r="U90" i="11" s="1"/>
  <c r="G81" i="20"/>
  <c r="F90" i="11" s="1"/>
  <c r="O81" i="20"/>
  <c r="N90" i="11" s="1"/>
  <c r="B82" i="20"/>
  <c r="C79" i="20" s="1"/>
  <c r="C82" i="20" s="1"/>
  <c r="D79" i="20" s="1"/>
  <c r="D82" i="20" s="1"/>
  <c r="E79" i="20" s="1"/>
  <c r="E82" i="20" s="1"/>
  <c r="F79" i="20" s="1"/>
  <c r="F82" i="20" s="1"/>
  <c r="G79" i="20" s="1"/>
  <c r="G82" i="20" s="1"/>
  <c r="H79" i="20" s="1"/>
  <c r="H81" i="20"/>
  <c r="G90" i="11" s="1"/>
  <c r="C81" i="20"/>
  <c r="B90" i="11" s="1"/>
  <c r="K81" i="20"/>
  <c r="J90" i="11" s="1"/>
  <c r="S81" i="20"/>
  <c r="R90" i="11" s="1"/>
  <c r="D81" i="20"/>
  <c r="C90" i="11" s="1"/>
  <c r="L81" i="20"/>
  <c r="K90" i="11" s="1"/>
  <c r="T81" i="20"/>
  <c r="S90" i="11" s="1"/>
  <c r="U81" i="20"/>
  <c r="T90" i="11" s="1"/>
  <c r="B81" i="20"/>
  <c r="E81" i="20"/>
  <c r="D90" i="11" s="1"/>
  <c r="I81" i="20"/>
  <c r="H90" i="11" s="1"/>
  <c r="J81" i="20"/>
  <c r="I90" i="11" s="1"/>
  <c r="M81" i="20"/>
  <c r="L90" i="11" s="1"/>
  <c r="K23" i="12"/>
  <c r="J30" i="12"/>
  <c r="J33" i="12" s="1"/>
  <c r="L16" i="13"/>
  <c r="M5" i="13"/>
  <c r="L24" i="13"/>
  <c r="AG8" i="10"/>
  <c r="I25" i="4"/>
  <c r="AG6" i="4" s="1"/>
  <c r="AH7" i="9"/>
  <c r="J19" i="9"/>
  <c r="J20" i="9" s="1"/>
  <c r="O6" i="20"/>
  <c r="N86" i="20"/>
  <c r="N87" i="20" s="1"/>
  <c r="M93" i="12" s="1"/>
  <c r="N92" i="20"/>
  <c r="N93" i="20" s="1"/>
  <c r="M94" i="13" s="1"/>
  <c r="N98" i="20"/>
  <c r="AG7" i="10"/>
  <c r="AG9" i="10" s="1"/>
  <c r="I17" i="4"/>
  <c r="I20" i="10"/>
  <c r="I33" i="10" s="1"/>
  <c r="I19" i="10"/>
  <c r="Q5" i="20"/>
  <c r="P74" i="20"/>
  <c r="P80" i="20"/>
  <c r="P81" i="20" s="1"/>
  <c r="O90" i="11" s="1"/>
  <c r="P68" i="20"/>
  <c r="F12" i="2"/>
  <c r="F10" i="2"/>
  <c r="H69" i="20"/>
  <c r="P69" i="20"/>
  <c r="B69" i="20"/>
  <c r="K69" i="20"/>
  <c r="T69" i="20"/>
  <c r="C69" i="20"/>
  <c r="L69" i="20"/>
  <c r="U69" i="20"/>
  <c r="D69" i="20"/>
  <c r="M69" i="20"/>
  <c r="V69" i="20"/>
  <c r="G69" i="20"/>
  <c r="I69" i="20"/>
  <c r="B103" i="20"/>
  <c r="E69" i="20"/>
  <c r="F69" i="20"/>
  <c r="J69" i="20"/>
  <c r="N69" i="20"/>
  <c r="O69" i="20"/>
  <c r="S69" i="20"/>
  <c r="AI9" i="14"/>
  <c r="I30" i="10"/>
  <c r="C79" i="9"/>
  <c r="K79" i="9"/>
  <c r="S79" i="9"/>
  <c r="D79" i="9"/>
  <c r="L79" i="9"/>
  <c r="T79" i="9"/>
  <c r="E79" i="9"/>
  <c r="M79" i="9"/>
  <c r="U79" i="9"/>
  <c r="H79" i="9"/>
  <c r="P79" i="9"/>
  <c r="I79" i="9"/>
  <c r="Q79" i="9"/>
  <c r="B79" i="9"/>
  <c r="G79" i="9"/>
  <c r="J79" i="9"/>
  <c r="N79" i="9"/>
  <c r="O79" i="9"/>
  <c r="R79" i="9"/>
  <c r="F79" i="9"/>
  <c r="G13" i="20"/>
  <c r="F35" i="9" s="1"/>
  <c r="O13" i="20"/>
  <c r="N35" i="9" s="1"/>
  <c r="N92" i="9" s="1"/>
  <c r="C13" i="20"/>
  <c r="B35" i="9" s="1"/>
  <c r="K13" i="20"/>
  <c r="J35" i="9" s="1"/>
  <c r="J92" i="9" s="1"/>
  <c r="S13" i="20"/>
  <c r="R35" i="9" s="1"/>
  <c r="R92" i="9" s="1"/>
  <c r="D13" i="20"/>
  <c r="C35" i="9" s="1"/>
  <c r="L13" i="20"/>
  <c r="K35" i="9" s="1"/>
  <c r="K92" i="9" s="1"/>
  <c r="T13" i="20"/>
  <c r="S35" i="9" s="1"/>
  <c r="S92" i="9" s="1"/>
  <c r="E13" i="20"/>
  <c r="D35" i="9" s="1"/>
  <c r="Q13" i="20"/>
  <c r="P35" i="9" s="1"/>
  <c r="P92" i="9" s="1"/>
  <c r="B13" i="20"/>
  <c r="B14" i="20" s="1"/>
  <c r="C12" i="20" s="1"/>
  <c r="C14" i="20" s="1"/>
  <c r="R13" i="20"/>
  <c r="Q35" i="9" s="1"/>
  <c r="Q92" i="9" s="1"/>
  <c r="H13" i="20"/>
  <c r="G35" i="9" s="1"/>
  <c r="V13" i="20"/>
  <c r="U35" i="9" s="1"/>
  <c r="U92" i="9" s="1"/>
  <c r="I13" i="20"/>
  <c r="H35" i="9" s="1"/>
  <c r="H92" i="9" s="1"/>
  <c r="J13" i="20"/>
  <c r="I35" i="9" s="1"/>
  <c r="I92" i="9" s="1"/>
  <c r="F13" i="20"/>
  <c r="E35" i="9" s="1"/>
  <c r="M13" i="20"/>
  <c r="L35" i="9" s="1"/>
  <c r="L92" i="9" s="1"/>
  <c r="N13" i="20"/>
  <c r="M35" i="9" s="1"/>
  <c r="M92" i="9" s="1"/>
  <c r="P13" i="20"/>
  <c r="O35" i="9" s="1"/>
  <c r="O92" i="9" s="1"/>
  <c r="U13" i="20"/>
  <c r="T35" i="9" s="1"/>
  <c r="T92" i="9" s="1"/>
  <c r="K23" i="10"/>
  <c r="J24" i="4"/>
  <c r="B61" i="10"/>
  <c r="H33" i="13"/>
  <c r="H83" i="13"/>
  <c r="H85" i="13" s="1"/>
  <c r="I78" i="10"/>
  <c r="B78" i="10"/>
  <c r="J78" i="10"/>
  <c r="R78" i="10"/>
  <c r="G78" i="10"/>
  <c r="Q78" i="10"/>
  <c r="K78" i="10"/>
  <c r="T78" i="10"/>
  <c r="E78" i="10"/>
  <c r="O78" i="10"/>
  <c r="F78" i="10"/>
  <c r="P78" i="10"/>
  <c r="L78" i="10"/>
  <c r="M78" i="10"/>
  <c r="N78" i="10"/>
  <c r="C78" i="10"/>
  <c r="D78" i="10"/>
  <c r="D21" i="20"/>
  <c r="L21" i="20"/>
  <c r="T21" i="20"/>
  <c r="S78" i="10"/>
  <c r="H21" i="20"/>
  <c r="P21" i="20"/>
  <c r="B57" i="20"/>
  <c r="U78" i="10"/>
  <c r="I21" i="20"/>
  <c r="Q21" i="20"/>
  <c r="H78" i="10"/>
  <c r="E21" i="20"/>
  <c r="R21" i="20"/>
  <c r="G21" i="20"/>
  <c r="U21" i="20"/>
  <c r="J21" i="20"/>
  <c r="V21" i="20"/>
  <c r="K21" i="20"/>
  <c r="O21" i="20"/>
  <c r="S21" i="20"/>
  <c r="F21" i="20"/>
  <c r="M21" i="20"/>
  <c r="B21" i="20"/>
  <c r="C21" i="20"/>
  <c r="N21" i="20"/>
  <c r="F8" i="2"/>
  <c r="H33" i="11"/>
  <c r="K30" i="14"/>
  <c r="L23" i="14"/>
  <c r="M23" i="11"/>
  <c r="I56" i="12"/>
  <c r="L16" i="12"/>
  <c r="L24" i="12"/>
  <c r="AJ8" i="12" s="1"/>
  <c r="M5" i="12"/>
  <c r="AI7" i="11"/>
  <c r="G56" i="13"/>
  <c r="G37" i="13"/>
  <c r="H33" i="9"/>
  <c r="J26" i="11"/>
  <c r="I27" i="4"/>
  <c r="D28" i="22"/>
  <c r="E12" i="22" s="1"/>
  <c r="D27" i="22"/>
  <c r="L25" i="10"/>
  <c r="B61" i="9"/>
  <c r="L16" i="11"/>
  <c r="M5" i="11"/>
  <c r="L24" i="11"/>
  <c r="M24" i="14"/>
  <c r="AK8" i="14" s="1"/>
  <c r="M16" i="14"/>
  <c r="N5" i="14"/>
  <c r="B37" i="20"/>
  <c r="J37" i="20"/>
  <c r="I35" i="12" s="1"/>
  <c r="I92" i="12" s="1"/>
  <c r="R37" i="20"/>
  <c r="Q35" i="12" s="1"/>
  <c r="Q92" i="12" s="1"/>
  <c r="H37" i="20"/>
  <c r="G35" i="12" s="1"/>
  <c r="Q37" i="20"/>
  <c r="P35" i="12" s="1"/>
  <c r="P92" i="12" s="1"/>
  <c r="C37" i="20"/>
  <c r="B35" i="12" s="1"/>
  <c r="L37" i="20"/>
  <c r="K35" i="12" s="1"/>
  <c r="K92" i="12" s="1"/>
  <c r="U37" i="20"/>
  <c r="T35" i="12" s="1"/>
  <c r="T92" i="12" s="1"/>
  <c r="D37" i="20"/>
  <c r="C35" i="12" s="1"/>
  <c r="M37" i="20"/>
  <c r="L35" i="12" s="1"/>
  <c r="L92" i="12" s="1"/>
  <c r="V37" i="20"/>
  <c r="U35" i="12" s="1"/>
  <c r="U92" i="12" s="1"/>
  <c r="P37" i="20"/>
  <c r="O35" i="12" s="1"/>
  <c r="O92" i="12" s="1"/>
  <c r="E37" i="20"/>
  <c r="D35" i="12" s="1"/>
  <c r="S37" i="20"/>
  <c r="R35" i="12" s="1"/>
  <c r="R92" i="12" s="1"/>
  <c r="F37" i="20"/>
  <c r="E35" i="12" s="1"/>
  <c r="T37" i="20"/>
  <c r="S35" i="12" s="1"/>
  <c r="S92" i="12" s="1"/>
  <c r="K37" i="20"/>
  <c r="J35" i="12" s="1"/>
  <c r="J92" i="12" s="1"/>
  <c r="N37" i="20"/>
  <c r="M35" i="12" s="1"/>
  <c r="M92" i="12" s="1"/>
  <c r="G37" i="20"/>
  <c r="F35" i="12" s="1"/>
  <c r="I37" i="20"/>
  <c r="H35" i="12" s="1"/>
  <c r="G79" i="12"/>
  <c r="O79" i="12"/>
  <c r="O37" i="20"/>
  <c r="N35" i="12" s="1"/>
  <c r="N92" i="12" s="1"/>
  <c r="B38" i="20"/>
  <c r="C36" i="20" s="1"/>
  <c r="C38" i="20" s="1"/>
  <c r="B79" i="12"/>
  <c r="J79" i="12"/>
  <c r="R79" i="12"/>
  <c r="C79" i="12"/>
  <c r="K79" i="12"/>
  <c r="S79" i="12"/>
  <c r="D79" i="12"/>
  <c r="L79" i="12"/>
  <c r="T79" i="12"/>
  <c r="P79" i="12"/>
  <c r="Q79" i="12"/>
  <c r="E79" i="12"/>
  <c r="U79" i="12"/>
  <c r="I79" i="12"/>
  <c r="M79" i="12"/>
  <c r="N79" i="12"/>
  <c r="F79" i="12"/>
  <c r="H79" i="12"/>
  <c r="F99" i="20"/>
  <c r="E87" i="14" s="1"/>
  <c r="N99" i="20"/>
  <c r="M87" i="14" s="1"/>
  <c r="V99" i="20"/>
  <c r="U87" i="14" s="1"/>
  <c r="G99" i="20"/>
  <c r="F87" i="14" s="1"/>
  <c r="B100" i="20"/>
  <c r="C97" i="20" s="1"/>
  <c r="C100" i="20" s="1"/>
  <c r="D97" i="20" s="1"/>
  <c r="D100" i="20" s="1"/>
  <c r="E97" i="20" s="1"/>
  <c r="E100" i="20" s="1"/>
  <c r="F97" i="20" s="1"/>
  <c r="F100" i="20" s="1"/>
  <c r="G97" i="20" s="1"/>
  <c r="G100" i="20" s="1"/>
  <c r="H97" i="20" s="1"/>
  <c r="H100" i="20" s="1"/>
  <c r="I97" i="20" s="1"/>
  <c r="I100" i="20" s="1"/>
  <c r="J97" i="20" s="1"/>
  <c r="J100" i="20" s="1"/>
  <c r="K97" i="20" s="1"/>
  <c r="K100" i="20" s="1"/>
  <c r="L97" i="20" s="1"/>
  <c r="L100" i="20" s="1"/>
  <c r="M97" i="20" s="1"/>
  <c r="M100" i="20" s="1"/>
  <c r="N97" i="20" s="1"/>
  <c r="N100" i="20" s="1"/>
  <c r="O97" i="20" s="1"/>
  <c r="H99" i="20"/>
  <c r="G87" i="14" s="1"/>
  <c r="C99" i="20"/>
  <c r="B87" i="14" s="1"/>
  <c r="K99" i="20"/>
  <c r="J87" i="14" s="1"/>
  <c r="S99" i="20"/>
  <c r="R87" i="14" s="1"/>
  <c r="D99" i="20"/>
  <c r="C87" i="14" s="1"/>
  <c r="L99" i="20"/>
  <c r="K87" i="14" s="1"/>
  <c r="T99" i="20"/>
  <c r="S87" i="14" s="1"/>
  <c r="U99" i="20"/>
  <c r="T87" i="14" s="1"/>
  <c r="B99" i="20"/>
  <c r="E99" i="20"/>
  <c r="D87" i="14" s="1"/>
  <c r="I99" i="20"/>
  <c r="H87" i="14" s="1"/>
  <c r="J99" i="20"/>
  <c r="I87" i="14" s="1"/>
  <c r="M99" i="20"/>
  <c r="L87" i="14" s="1"/>
  <c r="C73" i="22"/>
  <c r="D52" i="22"/>
  <c r="M26" i="10"/>
  <c r="AG9" i="9"/>
  <c r="B78" i="9" l="1"/>
  <c r="D12" i="20"/>
  <c r="D14" i="20" s="1"/>
  <c r="J37" i="12"/>
  <c r="J56" i="12"/>
  <c r="J33" i="9"/>
  <c r="N94" i="20"/>
  <c r="O91" i="20" s="1"/>
  <c r="O93" i="9"/>
  <c r="AJ7" i="12"/>
  <c r="AJ9" i="12" s="1"/>
  <c r="Q35" i="10"/>
  <c r="Q89" i="10" s="1"/>
  <c r="R58" i="20"/>
  <c r="Q36" i="4" s="1"/>
  <c r="Q13" i="8" s="1"/>
  <c r="L23" i="10"/>
  <c r="K24" i="4"/>
  <c r="AH8" i="10"/>
  <c r="J25" i="4"/>
  <c r="D92" i="12"/>
  <c r="D37" i="12"/>
  <c r="E13" i="22"/>
  <c r="E14" i="22"/>
  <c r="E17" i="22" s="1"/>
  <c r="M35" i="10"/>
  <c r="M89" i="10" s="1"/>
  <c r="N58" i="20"/>
  <c r="M36" i="4" s="1"/>
  <c r="M13" i="8" s="1"/>
  <c r="J35" i="10"/>
  <c r="J89" i="10" s="1"/>
  <c r="K58" i="20"/>
  <c r="J36" i="4" s="1"/>
  <c r="J13" i="8" s="1"/>
  <c r="P35" i="10"/>
  <c r="P89" i="10" s="1"/>
  <c r="Q58" i="20"/>
  <c r="P36" i="4" s="1"/>
  <c r="P13" i="8" s="1"/>
  <c r="K35" i="10"/>
  <c r="K89" i="10" s="1"/>
  <c r="L58" i="20"/>
  <c r="K36" i="4" s="1"/>
  <c r="K13" i="8" s="1"/>
  <c r="W35" i="9"/>
  <c r="B92" i="9"/>
  <c r="B37" i="9"/>
  <c r="N93" i="9"/>
  <c r="S93" i="9"/>
  <c r="T118" i="20" s="1"/>
  <c r="T104" i="20"/>
  <c r="M24" i="13"/>
  <c r="N5" i="13"/>
  <c r="M16" i="13"/>
  <c r="B89" i="11"/>
  <c r="W35" i="11"/>
  <c r="B37" i="11"/>
  <c r="K30" i="9"/>
  <c r="J30" i="4"/>
  <c r="J30" i="14"/>
  <c r="J19" i="14"/>
  <c r="J20" i="14" s="1"/>
  <c r="M24" i="12"/>
  <c r="AK8" i="12" s="1"/>
  <c r="N5" i="12"/>
  <c r="M16" i="12"/>
  <c r="T35" i="10"/>
  <c r="T89" i="10" s="1"/>
  <c r="U58" i="20"/>
  <c r="T36" i="4" s="1"/>
  <c r="T13" i="8" s="1"/>
  <c r="F92" i="9"/>
  <c r="F37" i="9"/>
  <c r="E93" i="9"/>
  <c r="F118" i="20" s="1"/>
  <c r="F104" i="20"/>
  <c r="P6" i="20"/>
  <c r="O86" i="20"/>
  <c r="O87" i="20" s="1"/>
  <c r="N93" i="12" s="1"/>
  <c r="O92" i="20"/>
  <c r="O93" i="20" s="1"/>
  <c r="N94" i="13" s="1"/>
  <c r="O98" i="20"/>
  <c r="O99" i="20" s="1"/>
  <c r="N87" i="14" s="1"/>
  <c r="O5" i="14"/>
  <c r="N24" i="14"/>
  <c r="AL8" i="14" s="1"/>
  <c r="N16" i="14"/>
  <c r="T93" i="9"/>
  <c r="U118" i="20" s="1"/>
  <c r="U104" i="20"/>
  <c r="C93" i="13"/>
  <c r="C37" i="13"/>
  <c r="AI7" i="9"/>
  <c r="AI9" i="9" s="1"/>
  <c r="K19" i="9"/>
  <c r="K20" i="9"/>
  <c r="K33" i="9" s="1"/>
  <c r="I83" i="13"/>
  <c r="I85" i="13" s="1"/>
  <c r="I33" i="13"/>
  <c r="N26" i="10"/>
  <c r="H92" i="12"/>
  <c r="H37" i="12"/>
  <c r="G92" i="12"/>
  <c r="G37" i="12"/>
  <c r="M24" i="11"/>
  <c r="N5" i="11"/>
  <c r="M16" i="11"/>
  <c r="B35" i="10"/>
  <c r="C58" i="20"/>
  <c r="B36" i="4" s="1"/>
  <c r="U35" i="10"/>
  <c r="U89" i="10" s="1"/>
  <c r="V58" i="20"/>
  <c r="U36" i="4" s="1"/>
  <c r="U13" i="8" s="1"/>
  <c r="H35" i="10"/>
  <c r="H89" i="10" s="1"/>
  <c r="I58" i="20"/>
  <c r="H36" i="4" s="1"/>
  <c r="H13" i="8" s="1"/>
  <c r="C35" i="10"/>
  <c r="D58" i="20"/>
  <c r="C36" i="4" s="1"/>
  <c r="C13" i="8" s="1"/>
  <c r="M93" i="9"/>
  <c r="N118" i="20" s="1"/>
  <c r="N104" i="20"/>
  <c r="F93" i="9"/>
  <c r="G118" i="20" s="1"/>
  <c r="G104" i="20"/>
  <c r="J93" i="9"/>
  <c r="K118" i="20" s="1"/>
  <c r="K104" i="20"/>
  <c r="AJ7" i="13"/>
  <c r="D47" i="22"/>
  <c r="D48" i="22"/>
  <c r="E32" i="22" s="1"/>
  <c r="I33" i="11"/>
  <c r="W29" i="14"/>
  <c r="X30" i="4" s="1"/>
  <c r="B30" i="14"/>
  <c r="B19" i="14"/>
  <c r="B30" i="4"/>
  <c r="L27" i="10"/>
  <c r="K28" i="4"/>
  <c r="C81" i="9"/>
  <c r="C80" i="10"/>
  <c r="C81" i="12"/>
  <c r="C80" i="11"/>
  <c r="N23" i="11"/>
  <c r="D36" i="20"/>
  <c r="D38" i="20" s="1"/>
  <c r="B78" i="12"/>
  <c r="R35" i="10"/>
  <c r="R89" i="10" s="1"/>
  <c r="S58" i="20"/>
  <c r="R36" i="4" s="1"/>
  <c r="R13" i="8" s="1"/>
  <c r="C92" i="9"/>
  <c r="C37" i="9"/>
  <c r="B105" i="20"/>
  <c r="C103" i="20" s="1"/>
  <c r="I56" i="10"/>
  <c r="D54" i="22"/>
  <c r="D57" i="22" s="1"/>
  <c r="D53" i="22"/>
  <c r="D72" i="22"/>
  <c r="F92" i="12"/>
  <c r="F37" i="12"/>
  <c r="AJ7" i="11"/>
  <c r="B58" i="20"/>
  <c r="B59" i="20" s="1"/>
  <c r="C57" i="20" s="1"/>
  <c r="C59" i="20" s="1"/>
  <c r="D57" i="20" s="1"/>
  <c r="D59" i="20" s="1"/>
  <c r="E57" i="20" s="1"/>
  <c r="E59" i="20" s="1"/>
  <c r="F57" i="20" s="1"/>
  <c r="F59" i="20" s="1"/>
  <c r="G57" i="20" s="1"/>
  <c r="G59" i="20" s="1"/>
  <c r="H57" i="20" s="1"/>
  <c r="H59" i="20" s="1"/>
  <c r="I57" i="20" s="1"/>
  <c r="I59" i="20" s="1"/>
  <c r="J57" i="20" s="1"/>
  <c r="J59" i="20" s="1"/>
  <c r="K57" i="20" s="1"/>
  <c r="K59" i="20" s="1"/>
  <c r="L57" i="20" s="1"/>
  <c r="L59" i="20" s="1"/>
  <c r="M57" i="20" s="1"/>
  <c r="M59" i="20" s="1"/>
  <c r="N57" i="20" s="1"/>
  <c r="N59" i="20" s="1"/>
  <c r="O57" i="20" s="1"/>
  <c r="O59" i="20" s="1"/>
  <c r="P57" i="20" s="1"/>
  <c r="P59" i="20" s="1"/>
  <c r="Q57" i="20" s="1"/>
  <c r="Q59" i="20" s="1"/>
  <c r="R57" i="20" s="1"/>
  <c r="R59" i="20" s="1"/>
  <c r="S57" i="20" s="1"/>
  <c r="S59" i="20" s="1"/>
  <c r="T57" i="20" s="1"/>
  <c r="T59" i="20" s="1"/>
  <c r="U57" i="20" s="1"/>
  <c r="U59" i="20" s="1"/>
  <c r="V57" i="20" s="1"/>
  <c r="V59" i="20" s="1"/>
  <c r="D59" i="2" s="1"/>
  <c r="V31" i="5" s="1"/>
  <c r="I35" i="10"/>
  <c r="I89" i="10" s="1"/>
  <c r="J58" i="20"/>
  <c r="I36" i="4" s="1"/>
  <c r="I13" i="8" s="1"/>
  <c r="E92" i="9"/>
  <c r="E37" i="9"/>
  <c r="D92" i="9"/>
  <c r="D37" i="9"/>
  <c r="W79" i="9"/>
  <c r="I93" i="9"/>
  <c r="J118" i="20" s="1"/>
  <c r="J104" i="20"/>
  <c r="U93" i="9"/>
  <c r="V118" i="20" s="1"/>
  <c r="V104" i="20"/>
  <c r="B104" i="20"/>
  <c r="B117" i="20" s="1"/>
  <c r="B119" i="20" s="1"/>
  <c r="R5" i="20"/>
  <c r="Q68" i="20"/>
  <c r="Q69" i="20" s="1"/>
  <c r="Q74" i="20"/>
  <c r="Q75" i="20" s="1"/>
  <c r="P90" i="10" s="1"/>
  <c r="Q80" i="20"/>
  <c r="Q81" i="20" s="1"/>
  <c r="P90" i="11" s="1"/>
  <c r="AH9" i="9"/>
  <c r="M23" i="13"/>
  <c r="E89" i="11"/>
  <c r="E37" i="11"/>
  <c r="K26" i="11"/>
  <c r="J27" i="4"/>
  <c r="L93" i="9"/>
  <c r="M118" i="20" s="1"/>
  <c r="M104" i="20"/>
  <c r="K30" i="12"/>
  <c r="L23" i="12"/>
  <c r="G89" i="11"/>
  <c r="G37" i="11"/>
  <c r="D89" i="11"/>
  <c r="D37" i="11"/>
  <c r="K24" i="10"/>
  <c r="K16" i="10"/>
  <c r="K25" i="11"/>
  <c r="J26" i="4"/>
  <c r="J31" i="4" s="1"/>
  <c r="J19" i="11"/>
  <c r="J20" i="11" s="1"/>
  <c r="AH8" i="11"/>
  <c r="AH9" i="11" s="1"/>
  <c r="J30" i="11"/>
  <c r="C30" i="4"/>
  <c r="C31" i="4" s="1"/>
  <c r="C30" i="14"/>
  <c r="C19" i="14"/>
  <c r="H30" i="4"/>
  <c r="H31" i="4" s="1"/>
  <c r="H30" i="14"/>
  <c r="H19" i="14"/>
  <c r="B86" i="14"/>
  <c r="W86" i="14" s="1"/>
  <c r="W35" i="14"/>
  <c r="H37" i="10"/>
  <c r="H56" i="10"/>
  <c r="K33" i="14"/>
  <c r="W79" i="12"/>
  <c r="C92" i="12"/>
  <c r="C37" i="12"/>
  <c r="M23" i="14"/>
  <c r="L30" i="14"/>
  <c r="E35" i="10"/>
  <c r="F58" i="20"/>
  <c r="E36" i="4" s="1"/>
  <c r="E13" i="8" s="1"/>
  <c r="F35" i="10"/>
  <c r="G58" i="20"/>
  <c r="F36" i="4" s="1"/>
  <c r="F13" i="8" s="1"/>
  <c r="O35" i="10"/>
  <c r="O89" i="10" s="1"/>
  <c r="P58" i="20"/>
  <c r="O36" i="4" s="1"/>
  <c r="O13" i="8" s="1"/>
  <c r="J30" i="10"/>
  <c r="D93" i="9"/>
  <c r="E118" i="20" s="1"/>
  <c r="E104" i="20"/>
  <c r="C93" i="9"/>
  <c r="D118" i="20" s="1"/>
  <c r="D104" i="20"/>
  <c r="G93" i="9"/>
  <c r="H118" i="20" s="1"/>
  <c r="H104" i="20"/>
  <c r="H82" i="20"/>
  <c r="I79" i="20" s="1"/>
  <c r="I82" i="20" s="1"/>
  <c r="J79" i="20" s="1"/>
  <c r="J82" i="20" s="1"/>
  <c r="K79" i="20" s="1"/>
  <c r="K82" i="20" s="1"/>
  <c r="L79" i="20" s="1"/>
  <c r="L82" i="20" s="1"/>
  <c r="M79" i="20" s="1"/>
  <c r="M82" i="20" s="1"/>
  <c r="N79" i="20" s="1"/>
  <c r="N82" i="20" s="1"/>
  <c r="O79" i="20" s="1"/>
  <c r="O82" i="20" s="1"/>
  <c r="P79" i="20" s="1"/>
  <c r="P82" i="20" s="1"/>
  <c r="Q79" i="20" s="1"/>
  <c r="Q82" i="20" s="1"/>
  <c r="R79" i="20" s="1"/>
  <c r="D93" i="13"/>
  <c r="D37" i="13"/>
  <c r="AH7" i="10"/>
  <c r="AH9" i="10" s="1"/>
  <c r="J17" i="4"/>
  <c r="J19" i="10"/>
  <c r="J20" i="10"/>
  <c r="J33" i="10" s="1"/>
  <c r="E30" i="20"/>
  <c r="F28" i="20" s="1"/>
  <c r="F30" i="20" s="1"/>
  <c r="G28" i="20" s="1"/>
  <c r="G30" i="20" s="1"/>
  <c r="H28" i="20" s="1"/>
  <c r="H30" i="20" s="1"/>
  <c r="I28" i="20" s="1"/>
  <c r="I30" i="20" s="1"/>
  <c r="J28" i="20" s="1"/>
  <c r="J30" i="20" s="1"/>
  <c r="K28" i="20" s="1"/>
  <c r="K30" i="20" s="1"/>
  <c r="L28" i="20" s="1"/>
  <c r="L30" i="20" s="1"/>
  <c r="M28" i="20" s="1"/>
  <c r="M30" i="20" s="1"/>
  <c r="N28" i="20" s="1"/>
  <c r="N30" i="20" s="1"/>
  <c r="O28" i="20" s="1"/>
  <c r="O30" i="20" s="1"/>
  <c r="P28" i="20" s="1"/>
  <c r="P30" i="20" s="1"/>
  <c r="Q28" i="20" s="1"/>
  <c r="Q30" i="20" s="1"/>
  <c r="R28" i="20" s="1"/>
  <c r="R30" i="20" s="1"/>
  <c r="S28" i="20" s="1"/>
  <c r="S30" i="20" s="1"/>
  <c r="T28" i="20" s="1"/>
  <c r="T30" i="20" s="1"/>
  <c r="U28" i="20" s="1"/>
  <c r="U30" i="20" s="1"/>
  <c r="V28" i="20" s="1"/>
  <c r="V30" i="20" s="1"/>
  <c r="K19" i="12"/>
  <c r="K20" i="12" s="1"/>
  <c r="L16" i="9"/>
  <c r="M5" i="9"/>
  <c r="L5" i="10"/>
  <c r="L24" i="9"/>
  <c r="AJ8" i="9" s="1"/>
  <c r="E30" i="4"/>
  <c r="E31" i="4" s="1"/>
  <c r="E19" i="14"/>
  <c r="E30" i="14"/>
  <c r="F89" i="11"/>
  <c r="F37" i="11"/>
  <c r="G30" i="4"/>
  <c r="G31" i="4" s="1"/>
  <c r="G30" i="14"/>
  <c r="G19" i="14"/>
  <c r="L19" i="14"/>
  <c r="L20" i="14" s="1"/>
  <c r="L33" i="14" s="1"/>
  <c r="E92" i="12"/>
  <c r="E37" i="12"/>
  <c r="AK7" i="14"/>
  <c r="AK9" i="14" s="1"/>
  <c r="M20" i="14"/>
  <c r="M19" i="14"/>
  <c r="M25" i="10"/>
  <c r="H37" i="11"/>
  <c r="H56" i="11"/>
  <c r="N35" i="10"/>
  <c r="N89" i="10" s="1"/>
  <c r="O58" i="20"/>
  <c r="N36" i="4" s="1"/>
  <c r="N13" i="8" s="1"/>
  <c r="D35" i="10"/>
  <c r="E58" i="20"/>
  <c r="D36" i="4" s="1"/>
  <c r="D13" i="8" s="1"/>
  <c r="H37" i="13"/>
  <c r="H56" i="13"/>
  <c r="G92" i="9"/>
  <c r="G37" i="9"/>
  <c r="B70" i="20"/>
  <c r="C67" i="20" s="1"/>
  <c r="C70" i="20" s="1"/>
  <c r="D67" i="20" s="1"/>
  <c r="D70" i="20" s="1"/>
  <c r="E67" i="20" s="1"/>
  <c r="E70" i="20" s="1"/>
  <c r="F67" i="20" s="1"/>
  <c r="F70" i="20" s="1"/>
  <c r="G67" i="20" s="1"/>
  <c r="G70" i="20" s="1"/>
  <c r="H67" i="20" s="1"/>
  <c r="H70" i="20" s="1"/>
  <c r="I67" i="20" s="1"/>
  <c r="I70" i="20" s="1"/>
  <c r="J67" i="20" s="1"/>
  <c r="J70" i="20" s="1"/>
  <c r="K67" i="20" s="1"/>
  <c r="K70" i="20" s="1"/>
  <c r="L67" i="20" s="1"/>
  <c r="L70" i="20" s="1"/>
  <c r="M67" i="20" s="1"/>
  <c r="M70" i="20" s="1"/>
  <c r="N67" i="20" s="1"/>
  <c r="N70" i="20" s="1"/>
  <c r="O67" i="20" s="1"/>
  <c r="O70" i="20" s="1"/>
  <c r="P67" i="20" s="1"/>
  <c r="P70" i="20" s="1"/>
  <c r="Q67" i="20" s="1"/>
  <c r="Q70" i="20" s="1"/>
  <c r="R67" i="20" s="1"/>
  <c r="K93" i="9"/>
  <c r="L118" i="20" s="1"/>
  <c r="L104" i="20"/>
  <c r="AG5" i="4"/>
  <c r="E93" i="13"/>
  <c r="E37" i="13"/>
  <c r="C39" i="9"/>
  <c r="C39" i="10"/>
  <c r="C39" i="12"/>
  <c r="C39" i="11"/>
  <c r="C39" i="13"/>
  <c r="C39" i="14"/>
  <c r="C89" i="11"/>
  <c r="C37" i="11"/>
  <c r="I30" i="4"/>
  <c r="I31" i="4" s="1"/>
  <c r="I30" i="14"/>
  <c r="I19" i="14"/>
  <c r="I20" i="14" s="1"/>
  <c r="I33" i="14" s="1"/>
  <c r="D30" i="4"/>
  <c r="D31" i="4" s="1"/>
  <c r="D30" i="14"/>
  <c r="D19" i="14"/>
  <c r="K25" i="13"/>
  <c r="AH8" i="13"/>
  <c r="AH9" i="13" s="1"/>
  <c r="J19" i="13"/>
  <c r="J20" i="13" s="1"/>
  <c r="J30" i="13"/>
  <c r="I37" i="9"/>
  <c r="L35" i="10"/>
  <c r="L89" i="10" s="1"/>
  <c r="M58" i="20"/>
  <c r="L36" i="4" s="1"/>
  <c r="L13" i="8" s="1"/>
  <c r="O100" i="20"/>
  <c r="P97" i="20" s="1"/>
  <c r="H56" i="9"/>
  <c r="H37" i="9"/>
  <c r="G35" i="10"/>
  <c r="H58" i="20"/>
  <c r="G36" i="4" s="1"/>
  <c r="G13" i="8" s="1"/>
  <c r="W35" i="12"/>
  <c r="B92" i="12"/>
  <c r="W92" i="12" s="1"/>
  <c r="B37" i="12"/>
  <c r="I37" i="12"/>
  <c r="F15" i="2"/>
  <c r="B22" i="20"/>
  <c r="C20" i="20" s="1"/>
  <c r="C22" i="20" s="1"/>
  <c r="D20" i="20" s="1"/>
  <c r="D22" i="20" s="1"/>
  <c r="E20" i="20" s="1"/>
  <c r="E22" i="20" s="1"/>
  <c r="F20" i="20" s="1"/>
  <c r="F22" i="20" s="1"/>
  <c r="G20" i="20" s="1"/>
  <c r="G22" i="20" s="1"/>
  <c r="H20" i="20" s="1"/>
  <c r="H22" i="20" s="1"/>
  <c r="I20" i="20" s="1"/>
  <c r="I22" i="20" s="1"/>
  <c r="J20" i="20" s="1"/>
  <c r="J22" i="20" s="1"/>
  <c r="K20" i="20" s="1"/>
  <c r="K22" i="20" s="1"/>
  <c r="L20" i="20" s="1"/>
  <c r="L22" i="20" s="1"/>
  <c r="M20" i="20" s="1"/>
  <c r="M22" i="20" s="1"/>
  <c r="N20" i="20" s="1"/>
  <c r="N22" i="20" s="1"/>
  <c r="O20" i="20" s="1"/>
  <c r="O22" i="20" s="1"/>
  <c r="P20" i="20" s="1"/>
  <c r="P22" i="20" s="1"/>
  <c r="Q20" i="20" s="1"/>
  <c r="Q22" i="20" s="1"/>
  <c r="R20" i="20" s="1"/>
  <c r="R22" i="20" s="1"/>
  <c r="S20" i="20" s="1"/>
  <c r="S22" i="20" s="1"/>
  <c r="T20" i="20" s="1"/>
  <c r="T22" i="20" s="1"/>
  <c r="U20" i="20" s="1"/>
  <c r="U22" i="20" s="1"/>
  <c r="V20" i="20" s="1"/>
  <c r="V22" i="20" s="1"/>
  <c r="S35" i="10"/>
  <c r="S89" i="10" s="1"/>
  <c r="T58" i="20"/>
  <c r="S36" i="4" s="1"/>
  <c r="S13" i="8" s="1"/>
  <c r="R93" i="9"/>
  <c r="S118" i="20" s="1"/>
  <c r="S104" i="20"/>
  <c r="H93" i="9"/>
  <c r="I118" i="20" s="1"/>
  <c r="I104" i="20"/>
  <c r="B93" i="9"/>
  <c r="C104" i="20"/>
  <c r="B93" i="13"/>
  <c r="W35" i="13"/>
  <c r="B37" i="13"/>
  <c r="F93" i="13"/>
  <c r="F37" i="13"/>
  <c r="L30" i="9"/>
  <c r="M23" i="9"/>
  <c r="F30" i="4"/>
  <c r="F31" i="4" s="1"/>
  <c r="F30" i="14"/>
  <c r="F19" i="14"/>
  <c r="C59" i="9"/>
  <c r="C59" i="10"/>
  <c r="C59" i="12"/>
  <c r="C59" i="11"/>
  <c r="C59" i="14"/>
  <c r="C59" i="13"/>
  <c r="P100" i="20" l="1"/>
  <c r="Q97" i="20" s="1"/>
  <c r="L25" i="13"/>
  <c r="K19" i="13"/>
  <c r="K20" i="13" s="1"/>
  <c r="AI8" i="13"/>
  <c r="AI9" i="13" s="1"/>
  <c r="K30" i="13"/>
  <c r="G20" i="14"/>
  <c r="G33" i="14" s="1"/>
  <c r="G20" i="4"/>
  <c r="G21" i="4" s="1"/>
  <c r="G34" i="4" s="1"/>
  <c r="C20" i="4"/>
  <c r="C21" i="4" s="1"/>
  <c r="C34" i="4" s="1"/>
  <c r="C20" i="14"/>
  <c r="C33" i="14" s="1"/>
  <c r="AI7" i="10"/>
  <c r="K17" i="4"/>
  <c r="K19" i="10"/>
  <c r="K20" i="10" s="1"/>
  <c r="K33" i="10" s="1"/>
  <c r="L26" i="11"/>
  <c r="K27" i="4"/>
  <c r="P93" i="9"/>
  <c r="D61" i="22"/>
  <c r="D64" i="22" s="1"/>
  <c r="D60" i="22"/>
  <c r="W35" i="10"/>
  <c r="X36" i="4" s="1"/>
  <c r="B89" i="10"/>
  <c r="B37" i="10"/>
  <c r="K37" i="9"/>
  <c r="K56" i="9"/>
  <c r="AK7" i="13"/>
  <c r="E20" i="22"/>
  <c r="E21" i="22"/>
  <c r="E24" i="22" s="1"/>
  <c r="D20" i="4"/>
  <c r="D21" i="4" s="1"/>
  <c r="D34" i="4" s="1"/>
  <c r="D20" i="14"/>
  <c r="D33" i="14" s="1"/>
  <c r="R82" i="20"/>
  <c r="S79" i="20" s="1"/>
  <c r="S82" i="20" s="1"/>
  <c r="T79" i="20" s="1"/>
  <c r="T82" i="20" s="1"/>
  <c r="U79" i="20" s="1"/>
  <c r="U82" i="20" s="1"/>
  <c r="V79" i="20" s="1"/>
  <c r="V82" i="20" s="1"/>
  <c r="C41" i="12"/>
  <c r="AI8" i="10"/>
  <c r="K25" i="4"/>
  <c r="M23" i="12"/>
  <c r="M19" i="12" s="1"/>
  <c r="M20" i="12" s="1"/>
  <c r="L30" i="12"/>
  <c r="S5" i="20"/>
  <c r="T5" i="20" s="1"/>
  <c r="U5" i="20" s="1"/>
  <c r="V5" i="20" s="1"/>
  <c r="R80" i="20"/>
  <c r="R81" i="20" s="1"/>
  <c r="Q90" i="11" s="1"/>
  <c r="W90" i="11" s="1"/>
  <c r="R74" i="20"/>
  <c r="R75" i="20" s="1"/>
  <c r="Q90" i="10" s="1"/>
  <c r="W90" i="10" s="1"/>
  <c r="R68" i="20"/>
  <c r="R69" i="20" s="1"/>
  <c r="R70" i="20" s="1"/>
  <c r="S67" i="20" s="1"/>
  <c r="S70" i="20" s="1"/>
  <c r="T67" i="20" s="1"/>
  <c r="T70" i="20" s="1"/>
  <c r="U67" i="20" s="1"/>
  <c r="U70" i="20" s="1"/>
  <c r="V67" i="20" s="1"/>
  <c r="V70" i="20" s="1"/>
  <c r="E33" i="22"/>
  <c r="E34" i="22"/>
  <c r="E37" i="22" s="1"/>
  <c r="F14" i="8"/>
  <c r="G117" i="20"/>
  <c r="G119" i="20" s="1"/>
  <c r="AK7" i="11"/>
  <c r="O5" i="13"/>
  <c r="N24" i="13"/>
  <c r="N16" i="13"/>
  <c r="B41" i="9"/>
  <c r="C78" i="9"/>
  <c r="E12" i="20"/>
  <c r="E14" i="20" s="1"/>
  <c r="C61" i="12"/>
  <c r="C61" i="10"/>
  <c r="B14" i="8"/>
  <c r="C117" i="20"/>
  <c r="L16" i="10"/>
  <c r="L24" i="10"/>
  <c r="I20" i="4"/>
  <c r="I21" i="4" s="1"/>
  <c r="I34" i="4" s="1"/>
  <c r="F89" i="10"/>
  <c r="F37" i="10"/>
  <c r="N23" i="13"/>
  <c r="I37" i="10"/>
  <c r="E36" i="20"/>
  <c r="E38" i="20" s="1"/>
  <c r="C78" i="12"/>
  <c r="C89" i="10"/>
  <c r="C37" i="10"/>
  <c r="C41" i="10" s="1"/>
  <c r="O5" i="11"/>
  <c r="N16" i="11"/>
  <c r="N24" i="11"/>
  <c r="Q6" i="20"/>
  <c r="P86" i="20"/>
  <c r="P87" i="20" s="1"/>
  <c r="P92" i="20"/>
  <c r="P93" i="20" s="1"/>
  <c r="O94" i="13" s="1"/>
  <c r="P98" i="20"/>
  <c r="P99" i="20" s="1"/>
  <c r="O87" i="14" s="1"/>
  <c r="AK7" i="12"/>
  <c r="AK9" i="12" s="1"/>
  <c r="W92" i="9"/>
  <c r="AH6" i="4"/>
  <c r="O94" i="20"/>
  <c r="P91" i="20" s="1"/>
  <c r="R14" i="8"/>
  <c r="S117" i="20"/>
  <c r="S119" i="20" s="1"/>
  <c r="C118" i="20"/>
  <c r="M16" i="9"/>
  <c r="N5" i="9"/>
  <c r="M5" i="10"/>
  <c r="M24" i="9"/>
  <c r="AK8" i="9" s="1"/>
  <c r="J37" i="10"/>
  <c r="J56" i="10"/>
  <c r="G14" i="8"/>
  <c r="H117" i="20"/>
  <c r="H119" i="20" s="1"/>
  <c r="M117" i="20"/>
  <c r="M119" i="20" s="1"/>
  <c r="L14" i="8"/>
  <c r="U14" i="8"/>
  <c r="V117" i="20"/>
  <c r="V119" i="20" s="1"/>
  <c r="C105" i="20"/>
  <c r="D103" i="20" s="1"/>
  <c r="D105" i="20" s="1"/>
  <c r="E103" i="20" s="1"/>
  <c r="E105" i="20" s="1"/>
  <c r="F103" i="20" s="1"/>
  <c r="F105" i="20" s="1"/>
  <c r="G103" i="20" s="1"/>
  <c r="G105" i="20" s="1"/>
  <c r="H103" i="20" s="1"/>
  <c r="H105" i="20" s="1"/>
  <c r="I103" i="20" s="1"/>
  <c r="I105" i="20" s="1"/>
  <c r="J103" i="20" s="1"/>
  <c r="J105" i="20" s="1"/>
  <c r="K103" i="20" s="1"/>
  <c r="K105" i="20" s="1"/>
  <c r="L103" i="20" s="1"/>
  <c r="L105" i="20" s="1"/>
  <c r="M103" i="20" s="1"/>
  <c r="M105" i="20" s="1"/>
  <c r="N103" i="20" s="1"/>
  <c r="N105" i="20" s="1"/>
  <c r="O103" i="20" s="1"/>
  <c r="M14" i="8"/>
  <c r="N117" i="20"/>
  <c r="N119" i="20" s="1"/>
  <c r="O26" i="10"/>
  <c r="AL7" i="14"/>
  <c r="AL9" i="14" s="1"/>
  <c r="E14" i="8"/>
  <c r="F117" i="20"/>
  <c r="F119" i="20" s="1"/>
  <c r="N16" i="12"/>
  <c r="O5" i="12"/>
  <c r="N24" i="12"/>
  <c r="AL8" i="12" s="1"/>
  <c r="B41" i="11"/>
  <c r="S14" i="8"/>
  <c r="T117" i="20"/>
  <c r="T119" i="20" s="1"/>
  <c r="O88" i="20"/>
  <c r="P85" i="20" s="1"/>
  <c r="P88" i="20" s="1"/>
  <c r="Q85" i="20" s="1"/>
  <c r="I117" i="20"/>
  <c r="I119" i="20" s="1"/>
  <c r="H14" i="8"/>
  <c r="G89" i="10"/>
  <c r="G37" i="10"/>
  <c r="I56" i="14"/>
  <c r="I37" i="14"/>
  <c r="D89" i="10"/>
  <c r="D37" i="10"/>
  <c r="AJ7" i="9"/>
  <c r="AJ9" i="9" s="1"/>
  <c r="L19" i="9"/>
  <c r="L20" i="9" s="1"/>
  <c r="J20" i="4"/>
  <c r="E89" i="10"/>
  <c r="E37" i="10"/>
  <c r="C41" i="9"/>
  <c r="I37" i="11"/>
  <c r="I56" i="11"/>
  <c r="C41" i="13"/>
  <c r="L19" i="12"/>
  <c r="L20" i="12" s="1"/>
  <c r="L33" i="12" s="1"/>
  <c r="J37" i="9"/>
  <c r="J56" i="9"/>
  <c r="B41" i="12"/>
  <c r="C61" i="9"/>
  <c r="F20" i="14"/>
  <c r="F33" i="14" s="1"/>
  <c r="F20" i="4"/>
  <c r="F21" i="4" s="1"/>
  <c r="F34" i="4" s="1"/>
  <c r="C61" i="13"/>
  <c r="B41" i="13"/>
  <c r="K33" i="12"/>
  <c r="AH5" i="4"/>
  <c r="J21" i="4"/>
  <c r="J34" i="4" s="1"/>
  <c r="C14" i="8"/>
  <c r="D117" i="20"/>
  <c r="D119" i="20" s="1"/>
  <c r="H20" i="14"/>
  <c r="H33" i="14" s="1"/>
  <c r="H20" i="4"/>
  <c r="H21" i="4" s="1"/>
  <c r="H34" i="4" s="1"/>
  <c r="J33" i="11"/>
  <c r="I14" i="8"/>
  <c r="J117" i="20"/>
  <c r="J119" i="20" s="1"/>
  <c r="M27" i="10"/>
  <c r="L28" i="4"/>
  <c r="O16" i="14"/>
  <c r="P5" i="14"/>
  <c r="O24" i="14"/>
  <c r="AM8" i="14" s="1"/>
  <c r="W89" i="11"/>
  <c r="O104" i="20"/>
  <c r="Q76" i="20"/>
  <c r="R73" i="20" s="1"/>
  <c r="R76" i="20" s="1"/>
  <c r="S73" i="20" s="1"/>
  <c r="S76" i="20" s="1"/>
  <c r="T73" i="20" s="1"/>
  <c r="T76" i="20" s="1"/>
  <c r="U73" i="20" s="1"/>
  <c r="U76" i="20" s="1"/>
  <c r="V73" i="20" s="1"/>
  <c r="V76" i="20" s="1"/>
  <c r="J83" i="13"/>
  <c r="J85" i="13" s="1"/>
  <c r="J33" i="13"/>
  <c r="K14" i="8"/>
  <c r="L117" i="20"/>
  <c r="L119" i="20" s="1"/>
  <c r="N25" i="10"/>
  <c r="N23" i="14"/>
  <c r="M30" i="14"/>
  <c r="M33" i="14" s="1"/>
  <c r="O23" i="11"/>
  <c r="W30" i="4"/>
  <c r="Y30" i="4" s="1"/>
  <c r="B31" i="4"/>
  <c r="I56" i="13"/>
  <c r="I37" i="13"/>
  <c r="T14" i="8"/>
  <c r="U117" i="20"/>
  <c r="U119" i="20" s="1"/>
  <c r="O118" i="20"/>
  <c r="K30" i="10"/>
  <c r="C61" i="11"/>
  <c r="M30" i="9"/>
  <c r="N23" i="9"/>
  <c r="W93" i="13"/>
  <c r="C41" i="11"/>
  <c r="L37" i="14"/>
  <c r="L56" i="14"/>
  <c r="E20" i="14"/>
  <c r="E33" i="14" s="1"/>
  <c r="E20" i="4"/>
  <c r="E21" i="4" s="1"/>
  <c r="E34" i="4" s="1"/>
  <c r="D14" i="8"/>
  <c r="E117" i="20"/>
  <c r="E119" i="20" s="1"/>
  <c r="K56" i="14"/>
  <c r="K37" i="14"/>
  <c r="L25" i="11"/>
  <c r="AI8" i="11"/>
  <c r="AI9" i="11" s="1"/>
  <c r="K26" i="4"/>
  <c r="K31" i="4" s="1"/>
  <c r="K30" i="11"/>
  <c r="K19" i="11"/>
  <c r="K20" i="11" s="1"/>
  <c r="K33" i="11" s="1"/>
  <c r="B20" i="4"/>
  <c r="B20" i="14"/>
  <c r="K117" i="20"/>
  <c r="K119" i="20" s="1"/>
  <c r="J14" i="8"/>
  <c r="B13" i="8"/>
  <c r="W13" i="8" s="1"/>
  <c r="W36" i="4"/>
  <c r="Y36" i="4" s="1"/>
  <c r="J33" i="14"/>
  <c r="M23" i="10"/>
  <c r="L30" i="10"/>
  <c r="L24" i="4"/>
  <c r="K37" i="10" l="1"/>
  <c r="K56" i="10"/>
  <c r="M37" i="14"/>
  <c r="M56" i="14"/>
  <c r="L33" i="9"/>
  <c r="B21" i="4"/>
  <c r="G37" i="14"/>
  <c r="G56" i="14"/>
  <c r="B33" i="14"/>
  <c r="M25" i="11"/>
  <c r="L30" i="11"/>
  <c r="L19" i="11"/>
  <c r="L20" i="11" s="1"/>
  <c r="L26" i="4"/>
  <c r="AJ8" i="11"/>
  <c r="AJ9" i="11" s="1"/>
  <c r="O23" i="9"/>
  <c r="N30" i="9"/>
  <c r="N14" i="8"/>
  <c r="O117" i="20"/>
  <c r="O119" i="20" s="1"/>
  <c r="G10" i="5"/>
  <c r="F8" i="22"/>
  <c r="F38" i="4"/>
  <c r="F64" i="2"/>
  <c r="L37" i="12"/>
  <c r="L56" i="12"/>
  <c r="O16" i="11"/>
  <c r="P5" i="11"/>
  <c r="O24" i="11"/>
  <c r="AJ7" i="10"/>
  <c r="L17" i="4"/>
  <c r="L20" i="10"/>
  <c r="L33" i="10" s="1"/>
  <c r="L19" i="10"/>
  <c r="L20" i="4" s="1"/>
  <c r="AL7" i="13"/>
  <c r="E40" i="22"/>
  <c r="E41" i="22"/>
  <c r="E44" i="22" s="1"/>
  <c r="C43" i="12"/>
  <c r="C44" i="12" s="1"/>
  <c r="C46" i="12" s="1"/>
  <c r="C91" i="12"/>
  <c r="C94" i="12" s="1"/>
  <c r="C97" i="12" s="1"/>
  <c r="M26" i="11"/>
  <c r="L27" i="4"/>
  <c r="H10" i="5"/>
  <c r="G8" i="22"/>
  <c r="G38" i="4"/>
  <c r="K83" i="13"/>
  <c r="K85" i="13" s="1"/>
  <c r="K33" i="13"/>
  <c r="J37" i="14"/>
  <c r="J56" i="14"/>
  <c r="J56" i="11"/>
  <c r="J37" i="11"/>
  <c r="K56" i="12"/>
  <c r="K37" i="12"/>
  <c r="O24" i="12"/>
  <c r="AM8" i="12" s="1"/>
  <c r="O16" i="12"/>
  <c r="P5" i="12"/>
  <c r="P26" i="10"/>
  <c r="M24" i="10"/>
  <c r="M16" i="10"/>
  <c r="D78" i="9"/>
  <c r="F12" i="20"/>
  <c r="F14" i="20" s="1"/>
  <c r="O16" i="13"/>
  <c r="P5" i="13"/>
  <c r="O24" i="13"/>
  <c r="M25" i="13"/>
  <c r="L19" i="13"/>
  <c r="L20" i="13" s="1"/>
  <c r="L30" i="13"/>
  <c r="AJ8" i="13"/>
  <c r="AJ9" i="13" s="1"/>
  <c r="F56" i="14"/>
  <c r="F37" i="14"/>
  <c r="I10" i="5"/>
  <c r="H8" i="22"/>
  <c r="H38" i="4"/>
  <c r="N16" i="9"/>
  <c r="O5" i="9"/>
  <c r="N5" i="10"/>
  <c r="N24" i="9"/>
  <c r="AL8" i="9" s="1"/>
  <c r="K20" i="4"/>
  <c r="K37" i="11"/>
  <c r="K56" i="11"/>
  <c r="C44" i="11"/>
  <c r="C88" i="11"/>
  <c r="C91" i="11" s="1"/>
  <c r="C94" i="11" s="1"/>
  <c r="C43" i="11"/>
  <c r="C46" i="11" s="1"/>
  <c r="N30" i="14"/>
  <c r="O23" i="14"/>
  <c r="P24" i="14"/>
  <c r="AN8" i="14" s="1"/>
  <c r="P16" i="14"/>
  <c r="Q5" i="14"/>
  <c r="H37" i="14"/>
  <c r="H56" i="14"/>
  <c r="B78" i="13"/>
  <c r="B80" i="13" s="1"/>
  <c r="B87" i="13" s="1"/>
  <c r="B43" i="13"/>
  <c r="B44" i="13" s="1"/>
  <c r="B92" i="13"/>
  <c r="AK7" i="9"/>
  <c r="AK9" i="9" s="1"/>
  <c r="M19" i="9"/>
  <c r="M20" i="9" s="1"/>
  <c r="M33" i="9" s="1"/>
  <c r="O93" i="12"/>
  <c r="P104" i="20"/>
  <c r="F36" i="20"/>
  <c r="F38" i="20" s="1"/>
  <c r="D78" i="12"/>
  <c r="C119" i="20"/>
  <c r="AI6" i="4"/>
  <c r="D37" i="14"/>
  <c r="D56" i="14"/>
  <c r="AI5" i="4"/>
  <c r="K21" i="4"/>
  <c r="K34" i="4" s="1"/>
  <c r="D68" i="22"/>
  <c r="D67" i="22"/>
  <c r="D91" i="22" s="1"/>
  <c r="D40" i="4" s="1"/>
  <c r="Y13" i="8"/>
  <c r="AM7" i="14"/>
  <c r="AM9" i="14" s="1"/>
  <c r="B43" i="12"/>
  <c r="B44" i="12" s="1"/>
  <c r="B91" i="12"/>
  <c r="C43" i="9"/>
  <c r="C91" i="9"/>
  <c r="C94" i="9" s="1"/>
  <c r="C97" i="9" s="1"/>
  <c r="R6" i="20"/>
  <c r="Q86" i="20"/>
  <c r="Q87" i="20" s="1"/>
  <c r="Q88" i="20" s="1"/>
  <c r="R85" i="20" s="1"/>
  <c r="Q92" i="20"/>
  <c r="Q93" i="20" s="1"/>
  <c r="P94" i="13" s="1"/>
  <c r="Q98" i="20"/>
  <c r="Q99" i="20" s="1"/>
  <c r="P87" i="14" s="1"/>
  <c r="E10" i="5"/>
  <c r="D8" i="22"/>
  <c r="D64" i="2"/>
  <c r="D38" i="4"/>
  <c r="AI9" i="10"/>
  <c r="N23" i="10"/>
  <c r="M30" i="10"/>
  <c r="M24" i="4"/>
  <c r="P23" i="11"/>
  <c r="C78" i="13"/>
  <c r="C80" i="13" s="1"/>
  <c r="C87" i="13" s="1"/>
  <c r="C92" i="13"/>
  <c r="C95" i="13" s="1"/>
  <c r="C98" i="13" s="1"/>
  <c r="C43" i="13"/>
  <c r="C44" i="13" s="1"/>
  <c r="C43" i="10"/>
  <c r="C44" i="10" s="1"/>
  <c r="C46" i="10" s="1"/>
  <c r="C88" i="10"/>
  <c r="C91" i="10" s="1"/>
  <c r="C94" i="10" s="1"/>
  <c r="AL7" i="12"/>
  <c r="AL9" i="12" s="1"/>
  <c r="M30" i="12"/>
  <c r="M33" i="12" s="1"/>
  <c r="N23" i="12"/>
  <c r="N19" i="12" s="1"/>
  <c r="N20" i="12" s="1"/>
  <c r="E8" i="22"/>
  <c r="F10" i="5"/>
  <c r="E38" i="4"/>
  <c r="E64" i="2"/>
  <c r="O25" i="10"/>
  <c r="N19" i="14"/>
  <c r="J10" i="5"/>
  <c r="I8" i="22"/>
  <c r="I38" i="4"/>
  <c r="Q93" i="9"/>
  <c r="B41" i="10"/>
  <c r="C56" i="14"/>
  <c r="C61" i="14" s="1"/>
  <c r="C37" i="14"/>
  <c r="C41" i="14" s="1"/>
  <c r="J56" i="13"/>
  <c r="J37" i="13"/>
  <c r="P94" i="20"/>
  <c r="Q91" i="20" s="1"/>
  <c r="Q94" i="20" s="1"/>
  <c r="R91" i="20" s="1"/>
  <c r="E37" i="14"/>
  <c r="E56" i="14"/>
  <c r="N27" i="10"/>
  <c r="M28" i="4"/>
  <c r="K10" i="5"/>
  <c r="J8" i="22"/>
  <c r="J38" i="4"/>
  <c r="B88" i="11"/>
  <c r="B43" i="11"/>
  <c r="O105" i="20"/>
  <c r="P103" i="20" s="1"/>
  <c r="P105" i="20" s="1"/>
  <c r="Q103" i="20" s="1"/>
  <c r="AL7" i="11"/>
  <c r="O23" i="13"/>
  <c r="AJ8" i="10"/>
  <c r="L25" i="4"/>
  <c r="AJ6" i="4" s="1"/>
  <c r="B43" i="9"/>
  <c r="B91" i="9"/>
  <c r="E27" i="22"/>
  <c r="E28" i="22"/>
  <c r="F12" i="22" s="1"/>
  <c r="W89" i="10"/>
  <c r="X13" i="8" s="1"/>
  <c r="C8" i="22"/>
  <c r="C79" i="22" s="1"/>
  <c r="D10" i="5"/>
  <c r="D17" i="5" s="1"/>
  <c r="C66" i="2" s="1"/>
  <c r="C38" i="4"/>
  <c r="C42" i="4" s="1"/>
  <c r="C64" i="2"/>
  <c r="B46" i="12" l="1"/>
  <c r="M37" i="12"/>
  <c r="M56" i="12"/>
  <c r="W87" i="14"/>
  <c r="B46" i="13"/>
  <c r="D39" i="9"/>
  <c r="D39" i="10"/>
  <c r="D39" i="12"/>
  <c r="D39" i="11"/>
  <c r="D39" i="13"/>
  <c r="D39" i="14"/>
  <c r="C46" i="13"/>
  <c r="M37" i="9"/>
  <c r="M56" i="9"/>
  <c r="D42" i="4"/>
  <c r="Q23" i="11"/>
  <c r="AM7" i="12"/>
  <c r="AM9" i="12" s="1"/>
  <c r="AJ5" i="4"/>
  <c r="L21" i="4"/>
  <c r="P23" i="9"/>
  <c r="B91" i="11"/>
  <c r="S6" i="20"/>
  <c r="T6" i="20" s="1"/>
  <c r="U6" i="20" s="1"/>
  <c r="V6" i="20" s="1"/>
  <c r="R86" i="20"/>
  <c r="R87" i="20" s="1"/>
  <c r="R92" i="20"/>
  <c r="R93" i="20" s="1"/>
  <c r="Q94" i="13" s="1"/>
  <c r="W94" i="13" s="1"/>
  <c r="R98" i="20"/>
  <c r="R99" i="20" s="1"/>
  <c r="Q87" i="14" s="1"/>
  <c r="D73" i="22"/>
  <c r="E52" i="22"/>
  <c r="E47" i="22"/>
  <c r="E48" i="22"/>
  <c r="F32" i="22" s="1"/>
  <c r="AJ9" i="10"/>
  <c r="C85" i="14"/>
  <c r="C88" i="14" s="1"/>
  <c r="C91" i="14" s="1"/>
  <c r="C43" i="14"/>
  <c r="C44" i="4" s="1"/>
  <c r="N30" i="12"/>
  <c r="N33" i="12" s="1"/>
  <c r="O23" i="12"/>
  <c r="O19" i="12" s="1"/>
  <c r="O20" i="12" s="1"/>
  <c r="B94" i="12"/>
  <c r="D41" i="14"/>
  <c r="O30" i="14"/>
  <c r="P23" i="14"/>
  <c r="O27" i="10"/>
  <c r="N28" i="4"/>
  <c r="Q100" i="20"/>
  <c r="R97" i="20" s="1"/>
  <c r="R100" i="20" s="1"/>
  <c r="S97" i="20" s="1"/>
  <c r="S100" i="20" s="1"/>
  <c r="T97" i="20" s="1"/>
  <c r="T100" i="20" s="1"/>
  <c r="U97" i="20" s="1"/>
  <c r="U100" i="20" s="1"/>
  <c r="V97" i="20" s="1"/>
  <c r="V100" i="20" s="1"/>
  <c r="L83" i="13"/>
  <c r="L85" i="13" s="1"/>
  <c r="L33" i="13"/>
  <c r="AM7" i="13"/>
  <c r="P93" i="12"/>
  <c r="Q118" i="20" s="1"/>
  <c r="Q104" i="20"/>
  <c r="Q105" i="20" s="1"/>
  <c r="R103" i="20" s="1"/>
  <c r="E78" i="9"/>
  <c r="G12" i="20"/>
  <c r="G14" i="20" s="1"/>
  <c r="B37" i="14"/>
  <c r="B56" i="14"/>
  <c r="P23" i="13"/>
  <c r="P25" i="10"/>
  <c r="C12" i="8"/>
  <c r="B94" i="9"/>
  <c r="B44" i="11"/>
  <c r="B43" i="10"/>
  <c r="B88" i="10"/>
  <c r="C105" i="9"/>
  <c r="C63" i="9" s="1"/>
  <c r="C100" i="9"/>
  <c r="C102" i="9"/>
  <c r="D76" i="22"/>
  <c r="N25" i="13"/>
  <c r="AK8" i="13"/>
  <c r="AK9" i="13" s="1"/>
  <c r="M19" i="13"/>
  <c r="M20" i="13" s="1"/>
  <c r="M30" i="13"/>
  <c r="AK7" i="10"/>
  <c r="M17" i="4"/>
  <c r="M19" i="10"/>
  <c r="M20" i="10" s="1"/>
  <c r="M33" i="10" s="1"/>
  <c r="P24" i="11"/>
  <c r="P16" i="11"/>
  <c r="Q5" i="11"/>
  <c r="F14" i="22"/>
  <c r="F17" i="22" s="1"/>
  <c r="F13" i="22"/>
  <c r="AL7" i="9"/>
  <c r="AL9" i="9" s="1"/>
  <c r="N19" i="9"/>
  <c r="N20" i="9"/>
  <c r="N33" i="9" s="1"/>
  <c r="L37" i="9"/>
  <c r="L56" i="9"/>
  <c r="B44" i="9"/>
  <c r="B46" i="11"/>
  <c r="N20" i="14"/>
  <c r="O23" i="10"/>
  <c r="N24" i="4"/>
  <c r="C44" i="9"/>
  <c r="C46" i="9" s="1"/>
  <c r="K8" i="22"/>
  <c r="L10" i="5"/>
  <c r="K38" i="4"/>
  <c r="B95" i="13"/>
  <c r="Q24" i="14"/>
  <c r="AO8" i="14" s="1"/>
  <c r="R5" i="14"/>
  <c r="Q16" i="14"/>
  <c r="AK8" i="10"/>
  <c r="M25" i="4"/>
  <c r="M31" i="4" s="1"/>
  <c r="N26" i="11"/>
  <c r="M27" i="4"/>
  <c r="AM7" i="11"/>
  <c r="L33" i="11"/>
  <c r="B34" i="4"/>
  <c r="C99" i="10"/>
  <c r="C102" i="10"/>
  <c r="C97" i="10"/>
  <c r="P118" i="20"/>
  <c r="L37" i="10"/>
  <c r="L56" i="10"/>
  <c r="W93" i="9"/>
  <c r="O19" i="14"/>
  <c r="O20" i="14" s="1"/>
  <c r="G36" i="20"/>
  <c r="G38" i="20" s="1"/>
  <c r="E78" i="12"/>
  <c r="AN7" i="14"/>
  <c r="AN9" i="14" s="1"/>
  <c r="P19" i="14"/>
  <c r="P20" i="14" s="1"/>
  <c r="C99" i="11"/>
  <c r="C102" i="11"/>
  <c r="C63" i="11" s="1"/>
  <c r="C97" i="11"/>
  <c r="N24" i="10"/>
  <c r="N30" i="10" s="1"/>
  <c r="N16" i="10"/>
  <c r="K37" i="13"/>
  <c r="K56" i="13"/>
  <c r="C100" i="12"/>
  <c r="C102" i="12"/>
  <c r="C105" i="12"/>
  <c r="C63" i="12" s="1"/>
  <c r="Q5" i="12"/>
  <c r="P16" i="12"/>
  <c r="P24" i="12"/>
  <c r="AN8" i="12" s="1"/>
  <c r="L31" i="4"/>
  <c r="C101" i="13"/>
  <c r="C106" i="13"/>
  <c r="C108" i="13" s="1"/>
  <c r="C63" i="13" s="1"/>
  <c r="C103" i="13"/>
  <c r="O14" i="8"/>
  <c r="P117" i="20"/>
  <c r="P119" i="20" s="1"/>
  <c r="O16" i="9"/>
  <c r="P5" i="9"/>
  <c r="O5" i="10"/>
  <c r="O24" i="9"/>
  <c r="AM8" i="9" s="1"/>
  <c r="Q5" i="13"/>
  <c r="P24" i="13"/>
  <c r="P16" i="13"/>
  <c r="Q26" i="10"/>
  <c r="N25" i="11"/>
  <c r="M26" i="4"/>
  <c r="M19" i="11"/>
  <c r="M20" i="11" s="1"/>
  <c r="M33" i="11" s="1"/>
  <c r="AK8" i="11"/>
  <c r="AK9" i="11" s="1"/>
  <c r="M30" i="11"/>
  <c r="M56" i="10" l="1"/>
  <c r="M37" i="10"/>
  <c r="N37" i="12"/>
  <c r="N56" i="12"/>
  <c r="AL7" i="10"/>
  <c r="AL9" i="10" s="1"/>
  <c r="N17" i="4"/>
  <c r="N19" i="10"/>
  <c r="C63" i="10"/>
  <c r="N33" i="14"/>
  <c r="B97" i="9"/>
  <c r="D85" i="14"/>
  <c r="D88" i="14" s="1"/>
  <c r="D91" i="14" s="1"/>
  <c r="D43" i="14"/>
  <c r="D44" i="14" s="1"/>
  <c r="R26" i="10"/>
  <c r="AM7" i="9"/>
  <c r="AM9" i="9" s="1"/>
  <c r="O19" i="9"/>
  <c r="O20" i="9" s="1"/>
  <c r="O33" i="9" s="1"/>
  <c r="Q24" i="11"/>
  <c r="Q16" i="11"/>
  <c r="R5" i="11"/>
  <c r="AK9" i="10"/>
  <c r="Q23" i="14"/>
  <c r="Q19" i="14" s="1"/>
  <c r="P30" i="14"/>
  <c r="P33" i="14" s="1"/>
  <c r="R94" i="20"/>
  <c r="S91" i="20" s="1"/>
  <c r="S94" i="20" s="1"/>
  <c r="T91" i="20" s="1"/>
  <c r="T94" i="20" s="1"/>
  <c r="U91" i="20" s="1"/>
  <c r="U94" i="20" s="1"/>
  <c r="V91" i="20" s="1"/>
  <c r="V94" i="20" s="1"/>
  <c r="D41" i="12"/>
  <c r="M37" i="11"/>
  <c r="M56" i="11"/>
  <c r="AO7" i="14"/>
  <c r="AO9" i="14" s="1"/>
  <c r="B91" i="10"/>
  <c r="B94" i="11"/>
  <c r="AN7" i="12"/>
  <c r="AN9" i="12" s="1"/>
  <c r="P19" i="12"/>
  <c r="P20" i="12" s="1"/>
  <c r="R16" i="14"/>
  <c r="S5" i="14"/>
  <c r="R24" i="14"/>
  <c r="AP8" i="14" s="1"/>
  <c r="B44" i="10"/>
  <c r="C99" i="14"/>
  <c r="C63" i="14" s="1"/>
  <c r="C94" i="14"/>
  <c r="C96" i="14"/>
  <c r="E72" i="22"/>
  <c r="E54" i="22"/>
  <c r="E57" i="22" s="1"/>
  <c r="E53" i="22"/>
  <c r="O30" i="9"/>
  <c r="AN7" i="13"/>
  <c r="N37" i="9"/>
  <c r="N56" i="9"/>
  <c r="Q23" i="13"/>
  <c r="R5" i="12"/>
  <c r="Q24" i="12"/>
  <c r="AO8" i="12" s="1"/>
  <c r="Q16" i="12"/>
  <c r="H36" i="20"/>
  <c r="H38" i="20" s="1"/>
  <c r="F78" i="12"/>
  <c r="O25" i="13"/>
  <c r="AL8" i="13"/>
  <c r="AL9" i="13" s="1"/>
  <c r="N19" i="13"/>
  <c r="N20" i="13" s="1"/>
  <c r="N30" i="13"/>
  <c r="B41" i="14"/>
  <c r="L56" i="13"/>
  <c r="L37" i="13"/>
  <c r="C44" i="14"/>
  <c r="D81" i="9"/>
  <c r="D80" i="10"/>
  <c r="D81" i="12"/>
  <c r="D80" i="11"/>
  <c r="Q23" i="9"/>
  <c r="R23" i="11"/>
  <c r="B46" i="9"/>
  <c r="Q117" i="20"/>
  <c r="Q119" i="20" s="1"/>
  <c r="P14" i="8"/>
  <c r="AL8" i="10"/>
  <c r="N25" i="4"/>
  <c r="AL6" i="4" s="1"/>
  <c r="M33" i="13"/>
  <c r="M83" i="13"/>
  <c r="M85" i="13" s="1"/>
  <c r="B61" i="14"/>
  <c r="D41" i="9"/>
  <c r="O25" i="11"/>
  <c r="N30" i="11"/>
  <c r="AL8" i="11"/>
  <c r="AL9" i="11" s="1"/>
  <c r="N19" i="11"/>
  <c r="N20" i="11" s="1"/>
  <c r="N26" i="4"/>
  <c r="Q16" i="13"/>
  <c r="R5" i="13"/>
  <c r="Q24" i="13"/>
  <c r="O33" i="14"/>
  <c r="C10" i="5"/>
  <c r="B8" i="22"/>
  <c r="B79" i="22" s="1"/>
  <c r="B38" i="4"/>
  <c r="B64" i="2"/>
  <c r="O26" i="11"/>
  <c r="N27" i="4"/>
  <c r="B98" i="13"/>
  <c r="P23" i="10"/>
  <c r="O24" i="4"/>
  <c r="F21" i="22"/>
  <c r="F24" i="22" s="1"/>
  <c r="F20" i="22"/>
  <c r="L34" i="4"/>
  <c r="D41" i="10"/>
  <c r="M20" i="4"/>
  <c r="E15" i="5"/>
  <c r="D77" i="22"/>
  <c r="Q25" i="10"/>
  <c r="F78" i="9"/>
  <c r="H12" i="20"/>
  <c r="H14" i="20" s="1"/>
  <c r="P27" i="10"/>
  <c r="O28" i="4"/>
  <c r="B97" i="12"/>
  <c r="F33" i="22"/>
  <c r="F34" i="22"/>
  <c r="F37" i="22" s="1"/>
  <c r="D41" i="13"/>
  <c r="AN7" i="11"/>
  <c r="O24" i="10"/>
  <c r="O16" i="10"/>
  <c r="Q5" i="9"/>
  <c r="P24" i="9"/>
  <c r="AN8" i="9" s="1"/>
  <c r="P16" i="9"/>
  <c r="P5" i="10"/>
  <c r="L37" i="11"/>
  <c r="L56" i="11"/>
  <c r="AK6" i="4"/>
  <c r="AK5" i="4"/>
  <c r="P23" i="12"/>
  <c r="O30" i="12"/>
  <c r="O33" i="12" s="1"/>
  <c r="Q93" i="12"/>
  <c r="R118" i="20" s="1"/>
  <c r="R104" i="20"/>
  <c r="D12" i="8"/>
  <c r="D41" i="11"/>
  <c r="R88" i="20"/>
  <c r="S85" i="20" s="1"/>
  <c r="S88" i="20" s="1"/>
  <c r="T85" i="20" s="1"/>
  <c r="T88" i="20" s="1"/>
  <c r="U85" i="20" s="1"/>
  <c r="U88" i="20" s="1"/>
  <c r="V85" i="20" s="1"/>
  <c r="V88" i="20" s="1"/>
  <c r="O37" i="12" l="1"/>
  <c r="O56" i="12"/>
  <c r="O37" i="9"/>
  <c r="O56" i="9"/>
  <c r="Q20" i="14"/>
  <c r="P37" i="14"/>
  <c r="P56" i="14"/>
  <c r="AM8" i="10"/>
  <c r="O25" i="4"/>
  <c r="AM6" i="4" s="1"/>
  <c r="R23" i="13"/>
  <c r="Q16" i="9"/>
  <c r="R5" i="9"/>
  <c r="Q24" i="9"/>
  <c r="AO8" i="9" s="1"/>
  <c r="Q5" i="10"/>
  <c r="M10" i="5"/>
  <c r="L8" i="22"/>
  <c r="L38" i="4"/>
  <c r="B103" i="13"/>
  <c r="B106" i="13"/>
  <c r="B101" i="13"/>
  <c r="B104" i="13" s="1"/>
  <c r="C100" i="13" s="1"/>
  <c r="C104" i="13" s="1"/>
  <c r="D100" i="13" s="1"/>
  <c r="C17" i="5"/>
  <c r="N20" i="4"/>
  <c r="O37" i="14"/>
  <c r="O56" i="14"/>
  <c r="D43" i="11"/>
  <c r="D44" i="11"/>
  <c r="D46" i="11"/>
  <c r="D88" i="11"/>
  <c r="Q14" i="8"/>
  <c r="W14" i="8" s="1"/>
  <c r="Y14" i="8" s="1"/>
  <c r="R117" i="20"/>
  <c r="R119" i="20" s="1"/>
  <c r="AM7" i="10"/>
  <c r="O17" i="4"/>
  <c r="O19" i="10"/>
  <c r="O20" i="10"/>
  <c r="O33" i="10" s="1"/>
  <c r="G78" i="9"/>
  <c r="I12" i="20"/>
  <c r="I14" i="20" s="1"/>
  <c r="N33" i="11"/>
  <c r="C46" i="14"/>
  <c r="C45" i="4"/>
  <c r="C47" i="4" s="1"/>
  <c r="C65" i="2" s="1"/>
  <c r="P25" i="13"/>
  <c r="O19" i="13"/>
  <c r="O20" i="13" s="1"/>
  <c r="O30" i="13"/>
  <c r="AM8" i="13"/>
  <c r="AM9" i="13" s="1"/>
  <c r="I36" i="20"/>
  <c r="I38" i="20" s="1"/>
  <c r="G78" i="12"/>
  <c r="B94" i="10"/>
  <c r="S26" i="10"/>
  <c r="B105" i="9"/>
  <c r="B102" i="9"/>
  <c r="B100" i="9"/>
  <c r="B103" i="9" s="1"/>
  <c r="C99" i="9" s="1"/>
  <c r="C103" i="9" s="1"/>
  <c r="D99" i="9" s="1"/>
  <c r="AL5" i="4"/>
  <c r="N21" i="4"/>
  <c r="D43" i="10"/>
  <c r="D44" i="10" s="1"/>
  <c r="D88" i="10"/>
  <c r="S23" i="11"/>
  <c r="Q23" i="12"/>
  <c r="P30" i="12"/>
  <c r="P33" i="12" s="1"/>
  <c r="B102" i="12"/>
  <c r="B105" i="12"/>
  <c r="B100" i="12"/>
  <c r="R25" i="10"/>
  <c r="F27" i="22"/>
  <c r="F28" i="22"/>
  <c r="G12" i="22" s="1"/>
  <c r="P25" i="11"/>
  <c r="O30" i="11"/>
  <c r="AM8" i="11"/>
  <c r="AM9" i="11" s="1"/>
  <c r="O19" i="11"/>
  <c r="O20" i="11" s="1"/>
  <c r="O33" i="11" s="1"/>
  <c r="O26" i="4"/>
  <c r="P30" i="9"/>
  <c r="N31" i="4"/>
  <c r="N56" i="14"/>
  <c r="N37" i="14"/>
  <c r="R105" i="20"/>
  <c r="S103" i="20" s="1"/>
  <c r="S105" i="20" s="1"/>
  <c r="T103" i="20" s="1"/>
  <c r="T105" i="20" s="1"/>
  <c r="U103" i="20" s="1"/>
  <c r="U105" i="20" s="1"/>
  <c r="V103" i="20" s="1"/>
  <c r="V105" i="20" s="1"/>
  <c r="E61" i="22"/>
  <c r="E64" i="22" s="1"/>
  <c r="E60" i="22"/>
  <c r="M21" i="4"/>
  <c r="P16" i="10"/>
  <c r="P24" i="10"/>
  <c r="D43" i="9"/>
  <c r="D91" i="9"/>
  <c r="B85" i="14"/>
  <c r="B43" i="14"/>
  <c r="R16" i="12"/>
  <c r="S5" i="12"/>
  <c r="R24" i="12"/>
  <c r="AP8" i="12" s="1"/>
  <c r="D96" i="14"/>
  <c r="D99" i="14"/>
  <c r="D63" i="14" s="1"/>
  <c r="D94" i="14"/>
  <c r="C8" i="8"/>
  <c r="F40" i="22"/>
  <c r="F41" i="22"/>
  <c r="F44" i="22" s="1"/>
  <c r="P26" i="11"/>
  <c r="O27" i="4"/>
  <c r="Q30" i="9"/>
  <c r="R23" i="9"/>
  <c r="Q30" i="14"/>
  <c r="R23" i="14"/>
  <c r="AN7" i="9"/>
  <c r="AN9" i="9" s="1"/>
  <c r="P19" i="9"/>
  <c r="P20" i="9" s="1"/>
  <c r="P33" i="9" s="1"/>
  <c r="D59" i="9"/>
  <c r="D59" i="10"/>
  <c r="D79" i="22"/>
  <c r="D59" i="12"/>
  <c r="D59" i="11"/>
  <c r="D59" i="13"/>
  <c r="D59" i="14"/>
  <c r="O30" i="10"/>
  <c r="B42" i="4"/>
  <c r="R24" i="13"/>
  <c r="R16" i="13"/>
  <c r="S5" i="13"/>
  <c r="S24" i="14"/>
  <c r="AQ8" i="14" s="1"/>
  <c r="T5" i="14"/>
  <c r="S16" i="14"/>
  <c r="R24" i="11"/>
  <c r="S5" i="11"/>
  <c r="R16" i="11"/>
  <c r="D46" i="14"/>
  <c r="M37" i="13"/>
  <c r="M56" i="13"/>
  <c r="W93" i="12"/>
  <c r="X14" i="8" s="1"/>
  <c r="AO7" i="12"/>
  <c r="AO9" i="12" s="1"/>
  <c r="Q20" i="12"/>
  <c r="Q19" i="12"/>
  <c r="D43" i="13"/>
  <c r="D92" i="13"/>
  <c r="D78" i="13"/>
  <c r="D80" i="13" s="1"/>
  <c r="D87" i="13" s="1"/>
  <c r="Q27" i="10"/>
  <c r="P28" i="4"/>
  <c r="E17" i="5"/>
  <c r="D66" i="2" s="1"/>
  <c r="P30" i="10"/>
  <c r="Q23" i="10"/>
  <c r="P24" i="4"/>
  <c r="D85" i="22"/>
  <c r="E51" i="2" s="1"/>
  <c r="D84" i="22"/>
  <c r="D51" i="2" s="1"/>
  <c r="AO7" i="13"/>
  <c r="N33" i="13"/>
  <c r="N83" i="13"/>
  <c r="N85" i="13" s="1"/>
  <c r="AP7" i="14"/>
  <c r="AP9" i="14" s="1"/>
  <c r="R19" i="14"/>
  <c r="R20" i="14"/>
  <c r="B97" i="11"/>
  <c r="B102" i="11"/>
  <c r="B99" i="11"/>
  <c r="D46" i="12"/>
  <c r="D43" i="12"/>
  <c r="D91" i="12"/>
  <c r="D44" i="12"/>
  <c r="AO7" i="11"/>
  <c r="N20" i="10"/>
  <c r="N33" i="10" s="1"/>
  <c r="B46" i="10"/>
  <c r="D46" i="10" l="1"/>
  <c r="P56" i="9"/>
  <c r="P37" i="9"/>
  <c r="B46" i="14"/>
  <c r="P37" i="12"/>
  <c r="P56" i="12"/>
  <c r="R27" i="10"/>
  <c r="Q28" i="4"/>
  <c r="B63" i="11"/>
  <c r="G13" i="22"/>
  <c r="G14" i="22"/>
  <c r="G17" i="22" s="1"/>
  <c r="D91" i="11"/>
  <c r="N37" i="10"/>
  <c r="N56" i="10"/>
  <c r="AP7" i="11"/>
  <c r="S24" i="13"/>
  <c r="T5" i="13"/>
  <c r="S16" i="13"/>
  <c r="D61" i="11"/>
  <c r="S23" i="14"/>
  <c r="R30" i="14"/>
  <c r="R33" i="14" s="1"/>
  <c r="AP7" i="12"/>
  <c r="AP9" i="12" s="1"/>
  <c r="D94" i="9"/>
  <c r="AN7" i="10"/>
  <c r="P17" i="4"/>
  <c r="P20" i="10"/>
  <c r="P33" i="10" s="1"/>
  <c r="P19" i="10"/>
  <c r="B63" i="12"/>
  <c r="J36" i="20"/>
  <c r="J38" i="20" s="1"/>
  <c r="H78" i="12"/>
  <c r="N37" i="11"/>
  <c r="N56" i="11"/>
  <c r="B66" i="2"/>
  <c r="S23" i="13"/>
  <c r="Q33" i="14"/>
  <c r="AP7" i="13"/>
  <c r="Q25" i="11"/>
  <c r="P26" i="4"/>
  <c r="P19" i="11"/>
  <c r="P20" i="11" s="1"/>
  <c r="P33" i="11" s="1"/>
  <c r="P30" i="11"/>
  <c r="AN8" i="11"/>
  <c r="AN9" i="11" s="1"/>
  <c r="D61" i="10"/>
  <c r="R16" i="9"/>
  <c r="S5" i="9"/>
  <c r="R5" i="10"/>
  <c r="R24" i="9"/>
  <c r="AP8" i="9" s="1"/>
  <c r="R23" i="10"/>
  <c r="Q24" i="4"/>
  <c r="D95" i="13"/>
  <c r="AQ7" i="14"/>
  <c r="AQ9" i="14" s="1"/>
  <c r="S19" i="14"/>
  <c r="D61" i="9"/>
  <c r="B44" i="14"/>
  <c r="R23" i="12"/>
  <c r="R19" i="12" s="1"/>
  <c r="R20" i="12" s="1"/>
  <c r="Q30" i="12"/>
  <c r="Q33" i="12" s="1"/>
  <c r="B99" i="10"/>
  <c r="B102" i="10"/>
  <c r="B97" i="10"/>
  <c r="Q25" i="13"/>
  <c r="P19" i="13"/>
  <c r="P20" i="13" s="1"/>
  <c r="P30" i="13"/>
  <c r="AN8" i="13"/>
  <c r="AN9" i="13" s="1"/>
  <c r="O20" i="4"/>
  <c r="AO7" i="9"/>
  <c r="AO9" i="9" s="1"/>
  <c r="Q19" i="9"/>
  <c r="Q20" i="9"/>
  <c r="Q33" i="9" s="1"/>
  <c r="D19" i="5"/>
  <c r="C15" i="8"/>
  <c r="C16" i="8" s="1"/>
  <c r="C19" i="8" s="1"/>
  <c r="B12" i="8"/>
  <c r="E68" i="22"/>
  <c r="E67" i="22"/>
  <c r="E76" i="22" s="1"/>
  <c r="T26" i="10"/>
  <c r="O37" i="10"/>
  <c r="O56" i="10"/>
  <c r="D44" i="4"/>
  <c r="T16" i="14"/>
  <c r="U5" i="14"/>
  <c r="T24" i="14"/>
  <c r="AR8" i="14" s="1"/>
  <c r="Q26" i="11"/>
  <c r="P27" i="4"/>
  <c r="O31" i="4"/>
  <c r="N34" i="4"/>
  <c r="AM5" i="4"/>
  <c r="O21" i="4"/>
  <c r="O34" i="4" s="1"/>
  <c r="N37" i="13"/>
  <c r="N56" i="13"/>
  <c r="D61" i="12"/>
  <c r="M34" i="4"/>
  <c r="B63" i="9"/>
  <c r="Q16" i="10"/>
  <c r="Q24" i="10"/>
  <c r="Q30" i="10" s="1"/>
  <c r="B100" i="11"/>
  <c r="C96" i="11" s="1"/>
  <c r="C100" i="11" s="1"/>
  <c r="D96" i="11" s="1"/>
  <c r="B108" i="13"/>
  <c r="D94" i="12"/>
  <c r="D44" i="13"/>
  <c r="D61" i="14"/>
  <c r="O37" i="11"/>
  <c r="O56" i="11"/>
  <c r="S25" i="10"/>
  <c r="T23" i="11"/>
  <c r="AM9" i="10"/>
  <c r="T5" i="11"/>
  <c r="S24" i="11"/>
  <c r="S16" i="11"/>
  <c r="B44" i="4"/>
  <c r="D91" i="10"/>
  <c r="H78" i="9"/>
  <c r="J12" i="20"/>
  <c r="J14" i="20" s="1"/>
  <c r="R30" i="9"/>
  <c r="S23" i="9"/>
  <c r="B88" i="14"/>
  <c r="O33" i="13"/>
  <c r="O83" i="13"/>
  <c r="O85" i="13" s="1"/>
  <c r="D61" i="13"/>
  <c r="F47" i="22"/>
  <c r="F48" i="22"/>
  <c r="G32" i="22" s="1"/>
  <c r="T5" i="12"/>
  <c r="S24" i="12"/>
  <c r="AQ8" i="12" s="1"/>
  <c r="S16" i="12"/>
  <c r="D44" i="9"/>
  <c r="AN8" i="10"/>
  <c r="P25" i="4"/>
  <c r="B103" i="12"/>
  <c r="C99" i="12" s="1"/>
  <c r="C103" i="12" s="1"/>
  <c r="D99" i="12" s="1"/>
  <c r="F15" i="5" l="1"/>
  <c r="F17" i="5" s="1"/>
  <c r="E77" i="22"/>
  <c r="Q37" i="12"/>
  <c r="Q56" i="12"/>
  <c r="R37" i="14"/>
  <c r="R56" i="14"/>
  <c r="D45" i="4"/>
  <c r="M8" i="22"/>
  <c r="N10" i="5"/>
  <c r="M38" i="4"/>
  <c r="P10" i="5"/>
  <c r="O8" i="22"/>
  <c r="O38" i="4"/>
  <c r="AR7" i="14"/>
  <c r="AR9" i="14" s="1"/>
  <c r="T19" i="14"/>
  <c r="T20" i="14" s="1"/>
  <c r="C24" i="8"/>
  <c r="C22" i="8"/>
  <c r="P37" i="10"/>
  <c r="P56" i="10"/>
  <c r="AN6" i="4"/>
  <c r="U23" i="11"/>
  <c r="U26" i="10"/>
  <c r="R24" i="10"/>
  <c r="R30" i="10" s="1"/>
  <c r="R16" i="10"/>
  <c r="Q56" i="14"/>
  <c r="Q37" i="14"/>
  <c r="AN5" i="4"/>
  <c r="S30" i="14"/>
  <c r="T23" i="14"/>
  <c r="D94" i="11"/>
  <c r="AQ7" i="11"/>
  <c r="S16" i="9"/>
  <c r="T5" i="9"/>
  <c r="S5" i="10"/>
  <c r="S24" i="9"/>
  <c r="AQ8" i="9" s="1"/>
  <c r="AN9" i="10"/>
  <c r="T25" i="10"/>
  <c r="F52" i="22"/>
  <c r="E73" i="22"/>
  <c r="I78" i="9"/>
  <c r="K12" i="20"/>
  <c r="K14" i="20" s="1"/>
  <c r="Q37" i="9"/>
  <c r="Q56" i="9"/>
  <c r="P33" i="13"/>
  <c r="P83" i="13"/>
  <c r="P85" i="13" s="1"/>
  <c r="B45" i="4"/>
  <c r="D98" i="13"/>
  <c r="E91" i="22"/>
  <c r="E40" i="4" s="1"/>
  <c r="R25" i="11"/>
  <c r="Q30" i="11"/>
  <c r="Q19" i="11"/>
  <c r="Q20" i="11" s="1"/>
  <c r="Q33" i="11" s="1"/>
  <c r="AO8" i="11"/>
  <c r="AO9" i="11" s="1"/>
  <c r="Q26" i="4"/>
  <c r="D97" i="9"/>
  <c r="AQ7" i="13"/>
  <c r="S30" i="9"/>
  <c r="T23" i="9"/>
  <c r="D97" i="12"/>
  <c r="N8" i="22"/>
  <c r="O10" i="5"/>
  <c r="N38" i="4"/>
  <c r="K36" i="20"/>
  <c r="K38" i="20" s="1"/>
  <c r="I78" i="12"/>
  <c r="G20" i="22"/>
  <c r="G21" i="22"/>
  <c r="G24" i="22" s="1"/>
  <c r="D46" i="13"/>
  <c r="D47" i="4"/>
  <c r="D65" i="2" s="1"/>
  <c r="AP7" i="9"/>
  <c r="AP9" i="9" s="1"/>
  <c r="R19" i="9"/>
  <c r="R20" i="9" s="1"/>
  <c r="R33" i="9" s="1"/>
  <c r="AO7" i="10"/>
  <c r="Q17" i="4"/>
  <c r="Q20" i="10"/>
  <c r="Q33" i="10" s="1"/>
  <c r="Q19" i="10"/>
  <c r="R26" i="11"/>
  <c r="Q27" i="4"/>
  <c r="Q31" i="4" s="1"/>
  <c r="R25" i="13"/>
  <c r="Q30" i="13"/>
  <c r="Q19" i="13"/>
  <c r="Q20" i="13" s="1"/>
  <c r="AO8" i="13"/>
  <c r="AO9" i="13" s="1"/>
  <c r="T16" i="13"/>
  <c r="U5" i="13"/>
  <c r="T24" i="13"/>
  <c r="P37" i="11"/>
  <c r="P56" i="11"/>
  <c r="T16" i="11"/>
  <c r="U5" i="11"/>
  <c r="T24" i="11"/>
  <c r="T16" i="12"/>
  <c r="U5" i="12"/>
  <c r="T24" i="12"/>
  <c r="AR8" i="12" s="1"/>
  <c r="O56" i="13"/>
  <c r="O37" i="13"/>
  <c r="B63" i="13"/>
  <c r="B47" i="4"/>
  <c r="B100" i="10"/>
  <c r="C96" i="10" s="1"/>
  <c r="C100" i="10" s="1"/>
  <c r="D96" i="10" s="1"/>
  <c r="R30" i="12"/>
  <c r="R33" i="12" s="1"/>
  <c r="S23" i="12"/>
  <c r="S19" i="12" s="1"/>
  <c r="S20" i="12" s="1"/>
  <c r="T23" i="13"/>
  <c r="D46" i="9"/>
  <c r="AO8" i="10"/>
  <c r="Q25" i="4"/>
  <c r="AQ7" i="12"/>
  <c r="AQ9" i="12" s="1"/>
  <c r="G33" i="22"/>
  <c r="G34" i="22"/>
  <c r="G37" i="22" s="1"/>
  <c r="B91" i="14"/>
  <c r="D94" i="10"/>
  <c r="U24" i="14"/>
  <c r="U16" i="14"/>
  <c r="B63" i="10"/>
  <c r="S20" i="14"/>
  <c r="S23" i="10"/>
  <c r="R24" i="4"/>
  <c r="P31" i="4"/>
  <c r="P20" i="4"/>
  <c r="P21" i="4" s="1"/>
  <c r="S27" i="10"/>
  <c r="R28" i="4"/>
  <c r="R37" i="9" l="1"/>
  <c r="R56" i="9"/>
  <c r="P34" i="4"/>
  <c r="R37" i="12"/>
  <c r="R56" i="12"/>
  <c r="Q37" i="10"/>
  <c r="Q56" i="10"/>
  <c r="G28" i="22"/>
  <c r="H12" i="22" s="1"/>
  <c r="G27" i="22"/>
  <c r="D102" i="12"/>
  <c r="D100" i="12"/>
  <c r="D105" i="12"/>
  <c r="E39" i="9"/>
  <c r="E41" i="9" s="1"/>
  <c r="E39" i="10"/>
  <c r="E41" i="10" s="1"/>
  <c r="E39" i="12"/>
  <c r="E41" i="12" s="1"/>
  <c r="E39" i="11"/>
  <c r="E41" i="11" s="1"/>
  <c r="E39" i="14"/>
  <c r="E41" i="14" s="1"/>
  <c r="E39" i="13"/>
  <c r="E41" i="13" s="1"/>
  <c r="E42" i="4"/>
  <c r="F72" i="22"/>
  <c r="F53" i="22"/>
  <c r="F54" i="22"/>
  <c r="F57" i="22" s="1"/>
  <c r="AQ7" i="9"/>
  <c r="AQ9" i="9" s="1"/>
  <c r="S19" i="9"/>
  <c r="S20" i="9" s="1"/>
  <c r="S33" i="9" s="1"/>
  <c r="W23" i="11"/>
  <c r="C64" i="9"/>
  <c r="C66" i="9" s="1"/>
  <c r="C64" i="10"/>
  <c r="C66" i="10" s="1"/>
  <c r="D20" i="5"/>
  <c r="D22" i="5" s="1"/>
  <c r="C64" i="12"/>
  <c r="C66" i="12" s="1"/>
  <c r="C64" i="11"/>
  <c r="C66" i="11" s="1"/>
  <c r="C64" i="13"/>
  <c r="C66" i="13" s="1"/>
  <c r="C64" i="14"/>
  <c r="C66" i="14" s="1"/>
  <c r="B96" i="14"/>
  <c r="B99" i="14"/>
  <c r="B94" i="14"/>
  <c r="B97" i="14" s="1"/>
  <c r="C93" i="14" s="1"/>
  <c r="C97" i="14" s="1"/>
  <c r="D93" i="14" s="1"/>
  <c r="D97" i="14" s="1"/>
  <c r="E93" i="14" s="1"/>
  <c r="AO6" i="4"/>
  <c r="AR7" i="11"/>
  <c r="U24" i="13"/>
  <c r="U16" i="13"/>
  <c r="AO5" i="4"/>
  <c r="U23" i="9"/>
  <c r="J78" i="9"/>
  <c r="L12" i="20"/>
  <c r="L14" i="20" s="1"/>
  <c r="D97" i="11"/>
  <c r="D100" i="11" s="1"/>
  <c r="E96" i="11" s="1"/>
  <c r="D99" i="11"/>
  <c r="D102" i="11"/>
  <c r="U25" i="10"/>
  <c r="AS7" i="14"/>
  <c r="W16" i="14"/>
  <c r="S26" i="11"/>
  <c r="R27" i="4"/>
  <c r="T27" i="10"/>
  <c r="S28" i="4"/>
  <c r="AS8" i="14"/>
  <c r="W24" i="14"/>
  <c r="G41" i="22"/>
  <c r="G44" i="22" s="1"/>
  <c r="G40" i="22"/>
  <c r="AR7" i="13"/>
  <c r="D100" i="9"/>
  <c r="D102" i="9"/>
  <c r="D105" i="9"/>
  <c r="B65" i="2"/>
  <c r="AP8" i="10"/>
  <c r="R25" i="4"/>
  <c r="T23" i="10"/>
  <c r="S24" i="4"/>
  <c r="U23" i="13"/>
  <c r="U24" i="12"/>
  <c r="U16" i="12"/>
  <c r="Q83" i="13"/>
  <c r="Q85" i="13" s="1"/>
  <c r="Q33" i="13"/>
  <c r="Q56" i="11"/>
  <c r="Q37" i="11"/>
  <c r="W26" i="10"/>
  <c r="U24" i="11"/>
  <c r="U16" i="11"/>
  <c r="AP7" i="10"/>
  <c r="AP9" i="10" s="1"/>
  <c r="R17" i="4"/>
  <c r="R19" i="10"/>
  <c r="R20" i="10"/>
  <c r="R33" i="10" s="1"/>
  <c r="L36" i="20"/>
  <c r="L38" i="20" s="1"/>
  <c r="J78" i="12"/>
  <c r="U23" i="14"/>
  <c r="T30" i="14"/>
  <c r="T33" i="14" s="1"/>
  <c r="S33" i="14"/>
  <c r="AR7" i="12"/>
  <c r="AR9" i="12" s="1"/>
  <c r="T19" i="12"/>
  <c r="T20" i="12" s="1"/>
  <c r="P37" i="13"/>
  <c r="P56" i="13"/>
  <c r="S24" i="10"/>
  <c r="S30" i="10" s="1"/>
  <c r="S16" i="10"/>
  <c r="E59" i="9"/>
  <c r="E59" i="10"/>
  <c r="E79" i="22"/>
  <c r="E59" i="12"/>
  <c r="E59" i="11"/>
  <c r="E59" i="14"/>
  <c r="E61" i="14" s="1"/>
  <c r="E59" i="13"/>
  <c r="AO9" i="10"/>
  <c r="D103" i="13"/>
  <c r="D106" i="13"/>
  <c r="D101" i="13"/>
  <c r="D102" i="10"/>
  <c r="D97" i="10"/>
  <c r="D100" i="10" s="1"/>
  <c r="E96" i="10" s="1"/>
  <c r="D99" i="10"/>
  <c r="S30" i="12"/>
  <c r="S33" i="12" s="1"/>
  <c r="T23" i="12"/>
  <c r="S25" i="13"/>
  <c r="AP8" i="13"/>
  <c r="AP9" i="13" s="1"/>
  <c r="R19" i="13"/>
  <c r="R20" i="13" s="1"/>
  <c r="R30" i="13"/>
  <c r="Q20" i="4"/>
  <c r="Q21" i="4" s="1"/>
  <c r="S25" i="11"/>
  <c r="R19" i="11"/>
  <c r="R20" i="11" s="1"/>
  <c r="R30" i="11"/>
  <c r="R26" i="4"/>
  <c r="R31" i="4" s="1"/>
  <c r="AP8" i="11"/>
  <c r="AP9" i="11" s="1"/>
  <c r="E81" i="9"/>
  <c r="E80" i="10"/>
  <c r="E81" i="12"/>
  <c r="E80" i="11"/>
  <c r="T16" i="9"/>
  <c r="U5" i="9"/>
  <c r="T5" i="10"/>
  <c r="T24" i="9"/>
  <c r="AR8" i="9" s="1"/>
  <c r="E66" i="2"/>
  <c r="Q34" i="4" l="1"/>
  <c r="S37" i="9"/>
  <c r="S56" i="9"/>
  <c r="T37" i="14"/>
  <c r="T56" i="14"/>
  <c r="T33" i="12"/>
  <c r="S56" i="12"/>
  <c r="S37" i="12"/>
  <c r="D104" i="13"/>
  <c r="E100" i="13" s="1"/>
  <c r="E61" i="12"/>
  <c r="M36" i="20"/>
  <c r="M38" i="20" s="1"/>
  <c r="K78" i="12"/>
  <c r="W24" i="11"/>
  <c r="G48" i="22"/>
  <c r="H32" i="22" s="1"/>
  <c r="G47" i="22"/>
  <c r="U27" i="10"/>
  <c r="T28" i="4"/>
  <c r="AS9" i="14"/>
  <c r="Y7" i="14"/>
  <c r="D63" i="11"/>
  <c r="B63" i="14"/>
  <c r="B8" i="8"/>
  <c r="E43" i="14"/>
  <c r="E44" i="14"/>
  <c r="E46" i="14" s="1"/>
  <c r="E85" i="14"/>
  <c r="D108" i="13"/>
  <c r="Q56" i="13"/>
  <c r="Q37" i="13"/>
  <c r="D63" i="9"/>
  <c r="AS7" i="13"/>
  <c r="W16" i="13"/>
  <c r="F60" i="22"/>
  <c r="F61" i="22"/>
  <c r="F64" i="22" s="1"/>
  <c r="E88" i="11"/>
  <c r="E43" i="11"/>
  <c r="E61" i="10"/>
  <c r="U23" i="10"/>
  <c r="T24" i="4"/>
  <c r="W25" i="10"/>
  <c r="E43" i="12"/>
  <c r="E91" i="12"/>
  <c r="E44" i="12"/>
  <c r="E46" i="12" s="1"/>
  <c r="T26" i="11"/>
  <c r="S27" i="4"/>
  <c r="T25" i="13"/>
  <c r="S19" i="13"/>
  <c r="S20" i="13" s="1"/>
  <c r="S30" i="13"/>
  <c r="AQ8" i="13"/>
  <c r="AQ9" i="13" s="1"/>
  <c r="S56" i="14"/>
  <c r="S37" i="14"/>
  <c r="AP5" i="4"/>
  <c r="AS7" i="12"/>
  <c r="W16" i="12"/>
  <c r="AP6" i="4"/>
  <c r="E44" i="9"/>
  <c r="E43" i="9"/>
  <c r="E91" i="9"/>
  <c r="E46" i="9"/>
  <c r="W24" i="13"/>
  <c r="H14" i="22"/>
  <c r="H17" i="22" s="1"/>
  <c r="H13" i="22"/>
  <c r="E61" i="9"/>
  <c r="D103" i="9"/>
  <c r="E99" i="9" s="1"/>
  <c r="K78" i="9"/>
  <c r="M12" i="20"/>
  <c r="M14" i="20" s="1"/>
  <c r="E44" i="10"/>
  <c r="E88" i="10"/>
  <c r="E46" i="10"/>
  <c r="E43" i="10"/>
  <c r="AR7" i="9"/>
  <c r="AR9" i="9" s="1"/>
  <c r="T20" i="9"/>
  <c r="T19" i="9"/>
  <c r="AQ7" i="10"/>
  <c r="AQ9" i="10" s="1"/>
  <c r="S17" i="4"/>
  <c r="S19" i="10"/>
  <c r="S20" i="10" s="1"/>
  <c r="S33" i="10" s="1"/>
  <c r="R33" i="11"/>
  <c r="E61" i="13"/>
  <c r="AQ8" i="10"/>
  <c r="S25" i="4"/>
  <c r="AQ6" i="4" s="1"/>
  <c r="AS8" i="12"/>
  <c r="W24" i="12"/>
  <c r="W23" i="9"/>
  <c r="T16" i="10"/>
  <c r="T24" i="10"/>
  <c r="T30" i="10" s="1"/>
  <c r="R37" i="10"/>
  <c r="R56" i="10"/>
  <c r="R20" i="4"/>
  <c r="R21" i="4" s="1"/>
  <c r="R34" i="4" s="1"/>
  <c r="T25" i="11"/>
  <c r="S30" i="11"/>
  <c r="AQ8" i="11"/>
  <c r="AQ9" i="11" s="1"/>
  <c r="S19" i="11"/>
  <c r="S20" i="11" s="1"/>
  <c r="S33" i="11" s="1"/>
  <c r="S26" i="4"/>
  <c r="U30" i="14"/>
  <c r="W30" i="14" s="1"/>
  <c r="W23" i="14"/>
  <c r="W23" i="13"/>
  <c r="U19" i="14"/>
  <c r="T30" i="9"/>
  <c r="E12" i="8"/>
  <c r="D63" i="12"/>
  <c r="R83" i="13"/>
  <c r="R85" i="13" s="1"/>
  <c r="R33" i="13"/>
  <c r="Q10" i="5"/>
  <c r="P8" i="22"/>
  <c r="P38" i="4"/>
  <c r="U16" i="9"/>
  <c r="U5" i="10"/>
  <c r="U24" i="9"/>
  <c r="U30" i="9" s="1"/>
  <c r="W30" i="9" s="1"/>
  <c r="D63" i="10"/>
  <c r="D8" i="8"/>
  <c r="T30" i="12"/>
  <c r="U23" i="12"/>
  <c r="E61" i="11"/>
  <c r="AS7" i="11"/>
  <c r="W16" i="11"/>
  <c r="D30" i="5"/>
  <c r="D32" i="5" s="1"/>
  <c r="C67" i="2"/>
  <c r="E78" i="13"/>
  <c r="E80" i="13" s="1"/>
  <c r="E87" i="13" s="1"/>
  <c r="E92" i="13"/>
  <c r="E43" i="13"/>
  <c r="E44" i="13"/>
  <c r="E46" i="13" s="1"/>
  <c r="D103" i="12"/>
  <c r="E99" i="12" s="1"/>
  <c r="S10" i="5" l="1"/>
  <c r="R8" i="22"/>
  <c r="R38" i="4"/>
  <c r="S37" i="10"/>
  <c r="S56" i="10"/>
  <c r="U30" i="12"/>
  <c r="W30" i="12" s="1"/>
  <c r="W23" i="12"/>
  <c r="U26" i="11"/>
  <c r="T27" i="4"/>
  <c r="E91" i="11"/>
  <c r="D63" i="13"/>
  <c r="N36" i="20"/>
  <c r="N38" i="20" s="1"/>
  <c r="L78" i="12"/>
  <c r="T37" i="12"/>
  <c r="T56" i="12"/>
  <c r="E44" i="4"/>
  <c r="U19" i="12"/>
  <c r="C19" i="5"/>
  <c r="B15" i="8"/>
  <c r="U28" i="4"/>
  <c r="W28" i="4" s="1"/>
  <c r="W27" i="10"/>
  <c r="X28" i="4" s="1"/>
  <c r="R56" i="11"/>
  <c r="R37" i="11"/>
  <c r="S37" i="11"/>
  <c r="S56" i="11"/>
  <c r="S20" i="4"/>
  <c r="U24" i="4"/>
  <c r="W23" i="10"/>
  <c r="X24" i="4" s="1"/>
  <c r="F67" i="22"/>
  <c r="F91" i="22" s="1"/>
  <c r="F40" i="4" s="1"/>
  <c r="F68" i="22"/>
  <c r="E91" i="10"/>
  <c r="AR8" i="10"/>
  <c r="T25" i="4"/>
  <c r="E94" i="9"/>
  <c r="U25" i="13"/>
  <c r="T30" i="13"/>
  <c r="AR8" i="13"/>
  <c r="AR9" i="13" s="1"/>
  <c r="T19" i="13"/>
  <c r="T20" i="13" s="1"/>
  <c r="E94" i="12"/>
  <c r="E88" i="14"/>
  <c r="S31" i="4"/>
  <c r="E19" i="5"/>
  <c r="D15" i="8"/>
  <c r="D16" i="8" s="1"/>
  <c r="D19" i="8" s="1"/>
  <c r="H20" i="22"/>
  <c r="H21" i="22"/>
  <c r="H24" i="22" s="1"/>
  <c r="AS9" i="12"/>
  <c r="Y7" i="12"/>
  <c r="AS8" i="9"/>
  <c r="W24" i="9"/>
  <c r="U25" i="11"/>
  <c r="AR8" i="11"/>
  <c r="AR9" i="11" s="1"/>
  <c r="T19" i="11"/>
  <c r="T20" i="11" s="1"/>
  <c r="T33" i="11" s="1"/>
  <c r="T26" i="4"/>
  <c r="T30" i="11"/>
  <c r="AR7" i="10"/>
  <c r="AR9" i="10" s="1"/>
  <c r="T17" i="4"/>
  <c r="T19" i="10"/>
  <c r="T20" i="4" s="1"/>
  <c r="T20" i="10"/>
  <c r="T33" i="10" s="1"/>
  <c r="L78" i="9"/>
  <c r="N12" i="20"/>
  <c r="N14" i="20" s="1"/>
  <c r="AQ5" i="4"/>
  <c r="S21" i="4"/>
  <c r="S34" i="4" s="1"/>
  <c r="U16" i="10"/>
  <c r="U24" i="10"/>
  <c r="R56" i="13"/>
  <c r="R37" i="13"/>
  <c r="T33" i="9"/>
  <c r="E95" i="13"/>
  <c r="S83" i="13"/>
  <c r="S85" i="13" s="1"/>
  <c r="S33" i="13"/>
  <c r="H34" i="22"/>
  <c r="H37" i="22" s="1"/>
  <c r="H33" i="22"/>
  <c r="AS7" i="9"/>
  <c r="U19" i="9"/>
  <c r="W19" i="9" s="1"/>
  <c r="W16" i="9"/>
  <c r="W19" i="14"/>
  <c r="U20" i="14"/>
  <c r="E44" i="11"/>
  <c r="R10" i="5"/>
  <c r="Q8" i="22"/>
  <c r="Q38" i="4"/>
  <c r="AS8" i="10" l="1"/>
  <c r="U25" i="4"/>
  <c r="W24" i="10"/>
  <c r="X25" i="4" s="1"/>
  <c r="AS7" i="10"/>
  <c r="U17" i="4"/>
  <c r="U19" i="10"/>
  <c r="U20" i="10" s="1"/>
  <c r="W16" i="10"/>
  <c r="X17" i="4" s="1"/>
  <c r="D22" i="8"/>
  <c r="D24" i="8"/>
  <c r="E97" i="9"/>
  <c r="W19" i="12"/>
  <c r="U20" i="12"/>
  <c r="H40" i="22"/>
  <c r="H41" i="22"/>
  <c r="H44" i="22" s="1"/>
  <c r="F76" i="22"/>
  <c r="S37" i="13"/>
  <c r="S56" i="13"/>
  <c r="M78" i="9"/>
  <c r="O12" i="20"/>
  <c r="O14" i="20" s="1"/>
  <c r="T37" i="11"/>
  <c r="T56" i="11"/>
  <c r="E97" i="12"/>
  <c r="AR6" i="4"/>
  <c r="E94" i="10"/>
  <c r="E94" i="11"/>
  <c r="U30" i="10"/>
  <c r="W30" i="10" s="1"/>
  <c r="U20" i="9"/>
  <c r="T83" i="13"/>
  <c r="T85" i="13" s="1"/>
  <c r="T33" i="13"/>
  <c r="G52" i="22"/>
  <c r="F73" i="22"/>
  <c r="T31" i="4"/>
  <c r="T37" i="9"/>
  <c r="T56" i="9"/>
  <c r="T56" i="10"/>
  <c r="T37" i="10"/>
  <c r="W25" i="11"/>
  <c r="U26" i="4"/>
  <c r="W26" i="4" s="1"/>
  <c r="AS8" i="11"/>
  <c r="U30" i="11"/>
  <c r="W30" i="11" s="1"/>
  <c r="U19" i="11"/>
  <c r="H27" i="22"/>
  <c r="H28" i="22"/>
  <c r="I12" i="22" s="1"/>
  <c r="F39" i="9"/>
  <c r="F41" i="9" s="1"/>
  <c r="F39" i="10"/>
  <c r="F41" i="10" s="1"/>
  <c r="F39" i="12"/>
  <c r="F41" i="12" s="1"/>
  <c r="F39" i="11"/>
  <c r="F41" i="11" s="1"/>
  <c r="F39" i="13"/>
  <c r="F41" i="13" s="1"/>
  <c r="F39" i="14"/>
  <c r="F41" i="14" s="1"/>
  <c r="F42" i="4"/>
  <c r="Y28" i="4"/>
  <c r="O36" i="20"/>
  <c r="O38" i="20" s="1"/>
  <c r="M78" i="12"/>
  <c r="E91" i="14"/>
  <c r="B16" i="8"/>
  <c r="B19" i="8" s="1"/>
  <c r="W26" i="11"/>
  <c r="X27" i="4" s="1"/>
  <c r="U27" i="4"/>
  <c r="W27" i="4" s="1"/>
  <c r="U33" i="14"/>
  <c r="W20" i="14"/>
  <c r="AS9" i="9"/>
  <c r="Y7" i="9"/>
  <c r="S8" i="22"/>
  <c r="T10" i="5"/>
  <c r="S38" i="4"/>
  <c r="E98" i="13"/>
  <c r="AR5" i="4"/>
  <c r="T21" i="4"/>
  <c r="T34" i="4" s="1"/>
  <c r="W25" i="13"/>
  <c r="U19" i="13"/>
  <c r="AS8" i="13"/>
  <c r="U30" i="13"/>
  <c r="W30" i="13" s="1"/>
  <c r="E45" i="4"/>
  <c r="E47" i="4" s="1"/>
  <c r="W24" i="4"/>
  <c r="Y24" i="4" s="1"/>
  <c r="E46" i="11"/>
  <c r="E65" i="2" l="1"/>
  <c r="U33" i="10"/>
  <c r="W20" i="10"/>
  <c r="U33" i="9"/>
  <c r="W20" i="9"/>
  <c r="E102" i="9"/>
  <c r="E100" i="9"/>
  <c r="E105" i="9"/>
  <c r="AS9" i="10"/>
  <c r="Y7" i="10"/>
  <c r="Y7" i="13"/>
  <c r="AS9" i="13"/>
  <c r="U37" i="14"/>
  <c r="U56" i="14"/>
  <c r="W33" i="14"/>
  <c r="F43" i="13"/>
  <c r="F78" i="13"/>
  <c r="F80" i="13" s="1"/>
  <c r="F87" i="13" s="1"/>
  <c r="F92" i="13"/>
  <c r="W19" i="13"/>
  <c r="U20" i="13"/>
  <c r="F43" i="11"/>
  <c r="F46" i="11" s="1"/>
  <c r="F44" i="11"/>
  <c r="F88" i="11"/>
  <c r="AS9" i="11"/>
  <c r="Y7" i="11"/>
  <c r="X31" i="4"/>
  <c r="E102" i="12"/>
  <c r="E105" i="12"/>
  <c r="E100" i="12"/>
  <c r="E103" i="12" s="1"/>
  <c r="F99" i="12" s="1"/>
  <c r="G15" i="5"/>
  <c r="G17" i="5" s="1"/>
  <c r="F77" i="22"/>
  <c r="D64" i="9"/>
  <c r="D66" i="9" s="1"/>
  <c r="D64" i="10"/>
  <c r="D66" i="10" s="1"/>
  <c r="E20" i="5"/>
  <c r="E22" i="5" s="1"/>
  <c r="D64" i="12"/>
  <c r="D66" i="12" s="1"/>
  <c r="D64" i="14"/>
  <c r="D66" i="14" s="1"/>
  <c r="D64" i="13"/>
  <c r="D66" i="13" s="1"/>
  <c r="D64" i="11"/>
  <c r="D66" i="11" s="1"/>
  <c r="W19" i="11"/>
  <c r="U20" i="11"/>
  <c r="Y27" i="4"/>
  <c r="F43" i="12"/>
  <c r="F91" i="12"/>
  <c r="F81" i="9"/>
  <c r="F80" i="10"/>
  <c r="F81" i="12"/>
  <c r="F80" i="11"/>
  <c r="U33" i="12"/>
  <c r="W20" i="12"/>
  <c r="AS6" i="4"/>
  <c r="W25" i="4"/>
  <c r="Y25" i="4" s="1"/>
  <c r="E94" i="14"/>
  <c r="E96" i="14"/>
  <c r="E99" i="14" s="1"/>
  <c r="F43" i="10"/>
  <c r="F44" i="10" s="1"/>
  <c r="F46" i="10" s="1"/>
  <c r="F88" i="10"/>
  <c r="X26" i="4"/>
  <c r="Y26" i="4" s="1"/>
  <c r="G54" i="22"/>
  <c r="G57" i="22" s="1"/>
  <c r="G53" i="22"/>
  <c r="G72" i="22"/>
  <c r="E97" i="11"/>
  <c r="E99" i="11"/>
  <c r="E102" i="11"/>
  <c r="F44" i="14"/>
  <c r="F85" i="14"/>
  <c r="F43" i="14"/>
  <c r="U10" i="5"/>
  <c r="T8" i="22"/>
  <c r="T38" i="4"/>
  <c r="B22" i="8"/>
  <c r="B21" i="8"/>
  <c r="C21" i="8" s="1"/>
  <c r="D21" i="8" s="1"/>
  <c r="B24" i="8"/>
  <c r="F43" i="9"/>
  <c r="F91" i="9"/>
  <c r="T56" i="13"/>
  <c r="T37" i="13"/>
  <c r="N78" i="9"/>
  <c r="P12" i="20"/>
  <c r="P14" i="20" s="1"/>
  <c r="H47" i="22"/>
  <c r="H48" i="22"/>
  <c r="I32" i="22" s="1"/>
  <c r="P36" i="20"/>
  <c r="P38" i="20" s="1"/>
  <c r="N78" i="12"/>
  <c r="U31" i="4"/>
  <c r="W31" i="4" s="1"/>
  <c r="Y31" i="4" s="1"/>
  <c r="I14" i="22"/>
  <c r="I17" i="22" s="1"/>
  <c r="I13" i="22"/>
  <c r="U20" i="4"/>
  <c r="W20" i="4" s="1"/>
  <c r="Y20" i="4" s="1"/>
  <c r="W19" i="10"/>
  <c r="X20" i="4" s="1"/>
  <c r="E103" i="13"/>
  <c r="E101" i="13"/>
  <c r="E104" i="13" s="1"/>
  <c r="F100" i="13" s="1"/>
  <c r="E106" i="13"/>
  <c r="F12" i="8"/>
  <c r="E99" i="10"/>
  <c r="E102" i="10"/>
  <c r="E97" i="10"/>
  <c r="E100" i="10" s="1"/>
  <c r="F96" i="10" s="1"/>
  <c r="AS5" i="4"/>
  <c r="Y5" i="4" s="1"/>
  <c r="W17" i="4"/>
  <c r="Y17" i="4" s="1"/>
  <c r="E63" i="14" l="1"/>
  <c r="E108" i="13"/>
  <c r="E8" i="8" s="1"/>
  <c r="F44" i="9"/>
  <c r="F46" i="9" s="1"/>
  <c r="E100" i="11"/>
  <c r="F96" i="11" s="1"/>
  <c r="U37" i="12"/>
  <c r="U56" i="12"/>
  <c r="W33" i="12"/>
  <c r="F44" i="12"/>
  <c r="F46" i="12" s="1"/>
  <c r="F59" i="9"/>
  <c r="F61" i="9" s="1"/>
  <c r="F59" i="10"/>
  <c r="F61" i="10" s="1"/>
  <c r="F59" i="12"/>
  <c r="F61" i="12" s="1"/>
  <c r="F79" i="22"/>
  <c r="F59" i="11"/>
  <c r="F61" i="11" s="1"/>
  <c r="F59" i="13"/>
  <c r="F61" i="13" s="1"/>
  <c r="F59" i="14"/>
  <c r="F61" i="14" s="1"/>
  <c r="F44" i="13"/>
  <c r="U21" i="4"/>
  <c r="E63" i="10"/>
  <c r="O78" i="12"/>
  <c r="Q36" i="20"/>
  <c r="Q38" i="20" s="1"/>
  <c r="B64" i="9"/>
  <c r="B64" i="10"/>
  <c r="C20" i="5"/>
  <c r="B64" i="12"/>
  <c r="B64" i="13"/>
  <c r="B64" i="14"/>
  <c r="B64" i="11"/>
  <c r="F94" i="12"/>
  <c r="F66" i="2"/>
  <c r="F91" i="11"/>
  <c r="U37" i="9"/>
  <c r="U56" i="9"/>
  <c r="W33" i="9"/>
  <c r="F88" i="14"/>
  <c r="G61" i="22"/>
  <c r="G64" i="22" s="1"/>
  <c r="G60" i="22"/>
  <c r="E63" i="12"/>
  <c r="E30" i="5"/>
  <c r="E32" i="5" s="1"/>
  <c r="D67" i="2"/>
  <c r="F44" i="4"/>
  <c r="E63" i="9"/>
  <c r="F95" i="13"/>
  <c r="F46" i="14"/>
  <c r="E97" i="14"/>
  <c r="F93" i="14" s="1"/>
  <c r="I34" i="22"/>
  <c r="I37" i="22" s="1"/>
  <c r="I33" i="22"/>
  <c r="U33" i="13"/>
  <c r="U83" i="13"/>
  <c r="U85" i="13" s="1"/>
  <c r="W20" i="13"/>
  <c r="E103" i="9"/>
  <c r="F99" i="9" s="1"/>
  <c r="U56" i="10"/>
  <c r="U37" i="10"/>
  <c r="W33" i="10"/>
  <c r="I20" i="22"/>
  <c r="I21" i="22"/>
  <c r="I24" i="22" s="1"/>
  <c r="F94" i="9"/>
  <c r="E63" i="11"/>
  <c r="F91" i="10"/>
  <c r="U33" i="11"/>
  <c r="W20" i="11"/>
  <c r="X21" i="4" s="1"/>
  <c r="W56" i="14"/>
  <c r="O78" i="9"/>
  <c r="Q12" i="20"/>
  <c r="Q14" i="20" s="1"/>
  <c r="W37" i="14"/>
  <c r="F19" i="5" l="1"/>
  <c r="E15" i="8"/>
  <c r="B66" i="11"/>
  <c r="P78" i="9"/>
  <c r="R12" i="20"/>
  <c r="R14" i="20" s="1"/>
  <c r="R36" i="20"/>
  <c r="R38" i="20" s="1"/>
  <c r="P78" i="12"/>
  <c r="F97" i="12"/>
  <c r="B66" i="10"/>
  <c r="I28" i="22"/>
  <c r="J12" i="22" s="1"/>
  <c r="I27" i="22"/>
  <c r="B66" i="14"/>
  <c r="W56" i="9"/>
  <c r="B66" i="9"/>
  <c r="U34" i="4"/>
  <c r="W21" i="4"/>
  <c r="Y21" i="4" s="1"/>
  <c r="G68" i="22"/>
  <c r="G67" i="22"/>
  <c r="F94" i="11"/>
  <c r="W37" i="9"/>
  <c r="U37" i="13"/>
  <c r="U56" i="13"/>
  <c r="W33" i="13"/>
  <c r="F94" i="10"/>
  <c r="B66" i="13"/>
  <c r="F97" i="9"/>
  <c r="U56" i="11"/>
  <c r="U37" i="11"/>
  <c r="W33" i="11"/>
  <c r="X34" i="4" s="1"/>
  <c r="W37" i="10"/>
  <c r="I41" i="22"/>
  <c r="I44" i="22" s="1"/>
  <c r="I40" i="22"/>
  <c r="F98" i="13"/>
  <c r="B66" i="12"/>
  <c r="W56" i="12"/>
  <c r="E63" i="13"/>
  <c r="F45" i="4"/>
  <c r="W56" i="10"/>
  <c r="F91" i="14"/>
  <c r="C22" i="5"/>
  <c r="W37" i="12"/>
  <c r="F46" i="13"/>
  <c r="G73" i="22" l="1"/>
  <c r="H52" i="22"/>
  <c r="G91" i="22"/>
  <c r="G40" i="4" s="1"/>
  <c r="G76" i="22"/>
  <c r="I48" i="22"/>
  <c r="J32" i="22" s="1"/>
  <c r="I47" i="22"/>
  <c r="F102" i="10"/>
  <c r="F99" i="10"/>
  <c r="F97" i="10"/>
  <c r="F100" i="10" s="1"/>
  <c r="G96" i="10" s="1"/>
  <c r="S36" i="20"/>
  <c r="S38" i="20" s="1"/>
  <c r="Q78" i="12"/>
  <c r="W56" i="11"/>
  <c r="X10" i="5" s="1"/>
  <c r="F96" i="14"/>
  <c r="F99" i="14" s="1"/>
  <c r="F94" i="14"/>
  <c r="F100" i="9"/>
  <c r="F105" i="9"/>
  <c r="F102" i="9"/>
  <c r="B79" i="10"/>
  <c r="Q78" i="9"/>
  <c r="S12" i="20"/>
  <c r="S14" i="20" s="1"/>
  <c r="E16" i="8"/>
  <c r="E19" i="8" s="1"/>
  <c r="F103" i="13"/>
  <c r="F106" i="13"/>
  <c r="F101" i="13"/>
  <c r="F104" i="13" s="1"/>
  <c r="G100" i="13" s="1"/>
  <c r="B80" i="12"/>
  <c r="W56" i="13"/>
  <c r="F99" i="11"/>
  <c r="F102" i="11" s="1"/>
  <c r="F97" i="11"/>
  <c r="U8" i="22"/>
  <c r="V10" i="5"/>
  <c r="U38" i="4"/>
  <c r="W34" i="4"/>
  <c r="Y34" i="4" s="1"/>
  <c r="B79" i="11"/>
  <c r="C30" i="5"/>
  <c r="C32" i="5" s="1"/>
  <c r="B67" i="2"/>
  <c r="W37" i="11"/>
  <c r="X38" i="4" s="1"/>
  <c r="W37" i="13"/>
  <c r="F47" i="4"/>
  <c r="B80" i="9"/>
  <c r="J13" i="22"/>
  <c r="J14" i="22"/>
  <c r="J17" i="22" s="1"/>
  <c r="F100" i="12"/>
  <c r="F102" i="12"/>
  <c r="F105" i="12"/>
  <c r="F63" i="14" l="1"/>
  <c r="F63" i="11"/>
  <c r="H15" i="5"/>
  <c r="H17" i="5" s="1"/>
  <c r="G77" i="22"/>
  <c r="B81" i="11"/>
  <c r="C79" i="11"/>
  <c r="J33" i="22"/>
  <c r="J34" i="22"/>
  <c r="J37" i="22" s="1"/>
  <c r="B82" i="12"/>
  <c r="C80" i="12"/>
  <c r="F63" i="9"/>
  <c r="J21" i="22"/>
  <c r="J24" i="22" s="1"/>
  <c r="J20" i="22"/>
  <c r="W10" i="5"/>
  <c r="Y10" i="5" s="1"/>
  <c r="E21" i="8"/>
  <c r="E22" i="8" s="1"/>
  <c r="E24" i="8" s="1"/>
  <c r="T36" i="20"/>
  <c r="T38" i="20" s="1"/>
  <c r="R78" i="12"/>
  <c r="H53" i="22"/>
  <c r="H72" i="22"/>
  <c r="H54" i="22"/>
  <c r="H57" i="22" s="1"/>
  <c r="F65" i="2"/>
  <c r="F108" i="13"/>
  <c r="F103" i="12"/>
  <c r="G99" i="12" s="1"/>
  <c r="G39" i="9"/>
  <c r="G41" i="9" s="1"/>
  <c r="G39" i="10"/>
  <c r="G41" i="10" s="1"/>
  <c r="G39" i="12"/>
  <c r="G41" i="12" s="1"/>
  <c r="G39" i="11"/>
  <c r="G41" i="11" s="1"/>
  <c r="G39" i="13"/>
  <c r="G41" i="13" s="1"/>
  <c r="G39" i="14"/>
  <c r="G41" i="14" s="1"/>
  <c r="G42" i="4"/>
  <c r="R78" i="9"/>
  <c r="T12" i="20"/>
  <c r="T14" i="20" s="1"/>
  <c r="G81" i="9"/>
  <c r="G80" i="10"/>
  <c r="G81" i="12"/>
  <c r="G80" i="11"/>
  <c r="F63" i="12"/>
  <c r="W38" i="4"/>
  <c r="Y38" i="4" s="1"/>
  <c r="B82" i="9"/>
  <c r="C80" i="9"/>
  <c r="F100" i="11"/>
  <c r="G96" i="11" s="1"/>
  <c r="B81" i="10"/>
  <c r="C79" i="10"/>
  <c r="F97" i="14"/>
  <c r="G93" i="14" s="1"/>
  <c r="F63" i="10"/>
  <c r="F8" i="8"/>
  <c r="E64" i="9" l="1"/>
  <c r="E64" i="10"/>
  <c r="F20" i="5"/>
  <c r="E64" i="12"/>
  <c r="E64" i="11"/>
  <c r="E64" i="13"/>
  <c r="E64" i="14"/>
  <c r="G44" i="11"/>
  <c r="G46" i="11" s="1"/>
  <c r="G43" i="11"/>
  <c r="G88" i="11"/>
  <c r="B84" i="12"/>
  <c r="F63" i="13"/>
  <c r="G59" i="9"/>
  <c r="G61" i="9" s="1"/>
  <c r="G59" i="10"/>
  <c r="G61" i="10" s="1"/>
  <c r="G79" i="22"/>
  <c r="G59" i="12"/>
  <c r="G61" i="12" s="1"/>
  <c r="G59" i="11"/>
  <c r="G61" i="11" s="1"/>
  <c r="G59" i="13"/>
  <c r="G61" i="13" s="1"/>
  <c r="G59" i="14"/>
  <c r="G61" i="14" s="1"/>
  <c r="G43" i="13"/>
  <c r="G92" i="13"/>
  <c r="G78" i="13"/>
  <c r="G80" i="13" s="1"/>
  <c r="G87" i="13" s="1"/>
  <c r="C82" i="12"/>
  <c r="C84" i="12" s="1"/>
  <c r="D80" i="12"/>
  <c r="D82" i="12" s="1"/>
  <c r="D84" i="12" s="1"/>
  <c r="G43" i="12"/>
  <c r="G91" i="12"/>
  <c r="H61" i="22"/>
  <c r="H64" i="22" s="1"/>
  <c r="H60" i="22"/>
  <c r="C81" i="10"/>
  <c r="D79" i="10"/>
  <c r="D81" i="10" s="1"/>
  <c r="G88" i="10"/>
  <c r="G43" i="10"/>
  <c r="G44" i="10" s="1"/>
  <c r="J41" i="22"/>
  <c r="J44" i="22" s="1"/>
  <c r="J40" i="22"/>
  <c r="G85" i="14"/>
  <c r="G43" i="14"/>
  <c r="G46" i="14" s="1"/>
  <c r="G44" i="14"/>
  <c r="S78" i="9"/>
  <c r="U12" i="20"/>
  <c r="U14" i="20" s="1"/>
  <c r="G43" i="9"/>
  <c r="G44" i="9" s="1"/>
  <c r="G91" i="9"/>
  <c r="B84" i="9"/>
  <c r="J27" i="22"/>
  <c r="J28" i="22"/>
  <c r="K12" i="22" s="1"/>
  <c r="C81" i="11"/>
  <c r="D79" i="11"/>
  <c r="D81" i="11" s="1"/>
  <c r="G19" i="5"/>
  <c r="F15" i="8"/>
  <c r="C82" i="9"/>
  <c r="C84" i="9" s="1"/>
  <c r="D80" i="9"/>
  <c r="G12" i="8"/>
  <c r="U36" i="20"/>
  <c r="U38" i="20" s="1"/>
  <c r="S78" i="12"/>
  <c r="J48" i="22" l="1"/>
  <c r="K32" i="22" s="1"/>
  <c r="J47" i="22"/>
  <c r="D82" i="9"/>
  <c r="G46" i="10"/>
  <c r="G94" i="9"/>
  <c r="E66" i="13"/>
  <c r="G46" i="9"/>
  <c r="G88" i="14"/>
  <c r="G91" i="10"/>
  <c r="G94" i="12"/>
  <c r="G95" i="13"/>
  <c r="G91" i="11"/>
  <c r="E66" i="11"/>
  <c r="H68" i="22"/>
  <c r="H67" i="22"/>
  <c r="F16" i="8"/>
  <c r="F19" i="8" s="1"/>
  <c r="G44" i="12"/>
  <c r="G46" i="12" s="1"/>
  <c r="G44" i="13"/>
  <c r="E66" i="12"/>
  <c r="T78" i="9"/>
  <c r="V12" i="20"/>
  <c r="V14" i="20" s="1"/>
  <c r="U78" i="9" s="1"/>
  <c r="K14" i="22"/>
  <c r="K17" i="22" s="1"/>
  <c r="K13" i="22"/>
  <c r="E66" i="14"/>
  <c r="V36" i="20"/>
  <c r="V38" i="20" s="1"/>
  <c r="U78" i="12" s="1"/>
  <c r="T78" i="12"/>
  <c r="F22" i="5"/>
  <c r="G44" i="4"/>
  <c r="E66" i="10"/>
  <c r="E66" i="9"/>
  <c r="W78" i="12" l="1"/>
  <c r="G98" i="13"/>
  <c r="H91" i="22"/>
  <c r="H40" i="4" s="1"/>
  <c r="H76" i="22"/>
  <c r="G91" i="14"/>
  <c r="E80" i="12"/>
  <c r="E79" i="10"/>
  <c r="E81" i="10" s="1"/>
  <c r="G97" i="9"/>
  <c r="E80" i="9"/>
  <c r="F30" i="5"/>
  <c r="F32" i="5" s="1"/>
  <c r="E67" i="2"/>
  <c r="G45" i="4"/>
  <c r="G47" i="4" s="1"/>
  <c r="E79" i="11"/>
  <c r="E81" i="11" s="1"/>
  <c r="G97" i="12"/>
  <c r="I52" i="22"/>
  <c r="H73" i="22"/>
  <c r="K33" i="22"/>
  <c r="K34" i="22"/>
  <c r="K37" i="22" s="1"/>
  <c r="D84" i="9"/>
  <c r="G46" i="13"/>
  <c r="K21" i="22"/>
  <c r="K24" i="22" s="1"/>
  <c r="K20" i="22"/>
  <c r="G94" i="10"/>
  <c r="G94" i="11"/>
  <c r="W78" i="9"/>
  <c r="F21" i="8"/>
  <c r="F22" i="8" s="1"/>
  <c r="F24" i="8" s="1"/>
  <c r="F64" i="9" l="1"/>
  <c r="F64" i="10"/>
  <c r="G20" i="5"/>
  <c r="F64" i="12"/>
  <c r="F64" i="11"/>
  <c r="F64" i="13"/>
  <c r="F64" i="14"/>
  <c r="E82" i="9"/>
  <c r="H39" i="9"/>
  <c r="H41" i="9" s="1"/>
  <c r="H39" i="10"/>
  <c r="H41" i="10" s="1"/>
  <c r="H39" i="12"/>
  <c r="H41" i="12" s="1"/>
  <c r="H39" i="11"/>
  <c r="H41" i="11" s="1"/>
  <c r="H39" i="13"/>
  <c r="H41" i="13" s="1"/>
  <c r="H39" i="14"/>
  <c r="H41" i="14" s="1"/>
  <c r="H42" i="4"/>
  <c r="G100" i="12"/>
  <c r="G102" i="12"/>
  <c r="G105" i="12"/>
  <c r="I15" i="5"/>
  <c r="I17" i="5" s="1"/>
  <c r="H77" i="22"/>
  <c r="G97" i="10"/>
  <c r="G100" i="10" s="1"/>
  <c r="H96" i="10" s="1"/>
  <c r="G99" i="10"/>
  <c r="G102" i="10"/>
  <c r="K40" i="22"/>
  <c r="K41" i="22"/>
  <c r="K44" i="22" s="1"/>
  <c r="G100" i="9"/>
  <c r="G105" i="9"/>
  <c r="G102" i="9"/>
  <c r="E82" i="12"/>
  <c r="G101" i="13"/>
  <c r="G104" i="13" s="1"/>
  <c r="H100" i="13" s="1"/>
  <c r="G103" i="13"/>
  <c r="G106" i="13"/>
  <c r="G99" i="11"/>
  <c r="G102" i="11"/>
  <c r="G97" i="11"/>
  <c r="G100" i="11" s="1"/>
  <c r="H96" i="11" s="1"/>
  <c r="K28" i="22"/>
  <c r="L12" i="22" s="1"/>
  <c r="K27" i="22"/>
  <c r="H81" i="9"/>
  <c r="H80" i="10"/>
  <c r="H81" i="12"/>
  <c r="H80" i="11"/>
  <c r="I72" i="22"/>
  <c r="I53" i="22"/>
  <c r="I54" i="22"/>
  <c r="I57" i="22" s="1"/>
  <c r="G96" i="14"/>
  <c r="G99" i="14" s="1"/>
  <c r="G94" i="14"/>
  <c r="G97" i="14" s="1"/>
  <c r="H93" i="14" s="1"/>
  <c r="G63" i="14" l="1"/>
  <c r="G63" i="11"/>
  <c r="H43" i="12"/>
  <c r="H91" i="12"/>
  <c r="H94" i="12" s="1"/>
  <c r="H97" i="12" s="1"/>
  <c r="G63" i="12"/>
  <c r="F66" i="11"/>
  <c r="G108" i="13"/>
  <c r="K47" i="22"/>
  <c r="K48" i="22"/>
  <c r="L32" i="22" s="1"/>
  <c r="H43" i="9"/>
  <c r="H91" i="9"/>
  <c r="H94" i="9" s="1"/>
  <c r="H97" i="9" s="1"/>
  <c r="F66" i="12"/>
  <c r="G103" i="9"/>
  <c r="H99" i="9" s="1"/>
  <c r="H88" i="10"/>
  <c r="H91" i="10" s="1"/>
  <c r="H94" i="10" s="1"/>
  <c r="H43" i="10"/>
  <c r="G103" i="12"/>
  <c r="H99" i="12" s="1"/>
  <c r="G22" i="5"/>
  <c r="G63" i="10"/>
  <c r="E84" i="9"/>
  <c r="F66" i="10"/>
  <c r="G63" i="9"/>
  <c r="F66" i="13"/>
  <c r="H12" i="8"/>
  <c r="I60" i="22"/>
  <c r="I61" i="22"/>
  <c r="I64" i="22" s="1"/>
  <c r="H43" i="14"/>
  <c r="H44" i="14" s="1"/>
  <c r="H46" i="14" s="1"/>
  <c r="H85" i="14"/>
  <c r="F66" i="9"/>
  <c r="L13" i="22"/>
  <c r="L14" i="22"/>
  <c r="L17" i="22" s="1"/>
  <c r="E84" i="12"/>
  <c r="H78" i="13"/>
  <c r="H80" i="13" s="1"/>
  <c r="H87" i="13" s="1"/>
  <c r="H92" i="13"/>
  <c r="H95" i="13" s="1"/>
  <c r="H98" i="13" s="1"/>
  <c r="H44" i="13"/>
  <c r="H43" i="13"/>
  <c r="H46" i="13"/>
  <c r="H59" i="9"/>
  <c r="H61" i="9" s="1"/>
  <c r="H59" i="10"/>
  <c r="H61" i="10" s="1"/>
  <c r="H79" i="22"/>
  <c r="H59" i="12"/>
  <c r="H61" i="12" s="1"/>
  <c r="H59" i="11"/>
  <c r="H61" i="11" s="1"/>
  <c r="H59" i="14"/>
  <c r="H61" i="14" s="1"/>
  <c r="H59" i="13"/>
  <c r="H61" i="13" s="1"/>
  <c r="H43" i="11"/>
  <c r="H44" i="11"/>
  <c r="H88" i="11"/>
  <c r="H91" i="11" s="1"/>
  <c r="H94" i="11" s="1"/>
  <c r="H46" i="11"/>
  <c r="F66" i="14"/>
  <c r="F80" i="9" l="1"/>
  <c r="G63" i="13"/>
  <c r="F79" i="10"/>
  <c r="F81" i="10" s="1"/>
  <c r="F80" i="12"/>
  <c r="H44" i="12"/>
  <c r="H46" i="12" s="1"/>
  <c r="G30" i="5"/>
  <c r="G32" i="5" s="1"/>
  <c r="F67" i="2"/>
  <c r="H88" i="14"/>
  <c r="H102" i="9"/>
  <c r="H105" i="9" s="1"/>
  <c r="H63" i="9" s="1"/>
  <c r="H100" i="9"/>
  <c r="L21" i="22"/>
  <c r="L24" i="22" s="1"/>
  <c r="L20" i="22"/>
  <c r="H97" i="10"/>
  <c r="H100" i="10" s="1"/>
  <c r="I96" i="10" s="1"/>
  <c r="H99" i="10"/>
  <c r="H102" i="10" s="1"/>
  <c r="F79" i="11"/>
  <c r="F81" i="11" s="1"/>
  <c r="H99" i="11"/>
  <c r="H102" i="11"/>
  <c r="H63" i="11" s="1"/>
  <c r="H97" i="11"/>
  <c r="H100" i="11" s="1"/>
  <c r="I96" i="11" s="1"/>
  <c r="H44" i="4"/>
  <c r="H44" i="10"/>
  <c r="H46" i="10" s="1"/>
  <c r="H44" i="9"/>
  <c r="H46" i="9" s="1"/>
  <c r="I91" i="22"/>
  <c r="I40" i="4" s="1"/>
  <c r="G8" i="8"/>
  <c r="H101" i="13"/>
  <c r="H104" i="13" s="1"/>
  <c r="I100" i="13" s="1"/>
  <c r="H103" i="13"/>
  <c r="H106" i="13" s="1"/>
  <c r="H108" i="13" s="1"/>
  <c r="H63" i="13" s="1"/>
  <c r="I67" i="22"/>
  <c r="I76" i="22" s="1"/>
  <c r="I68" i="22"/>
  <c r="L34" i="22"/>
  <c r="L37" i="22" s="1"/>
  <c r="L33" i="22"/>
  <c r="H102" i="12"/>
  <c r="H105" i="12" s="1"/>
  <c r="H63" i="12" s="1"/>
  <c r="H100" i="12"/>
  <c r="H63" i="10" l="1"/>
  <c r="J15" i="5"/>
  <c r="J17" i="5" s="1"/>
  <c r="I77" i="22"/>
  <c r="H19" i="5"/>
  <c r="G15" i="8"/>
  <c r="H91" i="14"/>
  <c r="H103" i="12"/>
  <c r="I99" i="12" s="1"/>
  <c r="H103" i="9"/>
  <c r="I99" i="9" s="1"/>
  <c r="F82" i="9"/>
  <c r="J52" i="22"/>
  <c r="I73" i="22"/>
  <c r="L28" i="22"/>
  <c r="M12" i="22" s="1"/>
  <c r="L27" i="22"/>
  <c r="L41" i="22"/>
  <c r="L44" i="22" s="1"/>
  <c r="L40" i="22"/>
  <c r="I39" i="9"/>
  <c r="I41" i="9" s="1"/>
  <c r="I39" i="10"/>
  <c r="I41" i="10" s="1"/>
  <c r="I39" i="12"/>
  <c r="I41" i="12" s="1"/>
  <c r="I39" i="11"/>
  <c r="I41" i="11" s="1"/>
  <c r="I39" i="13"/>
  <c r="I41" i="13" s="1"/>
  <c r="I39" i="14"/>
  <c r="I41" i="14" s="1"/>
  <c r="I42" i="4"/>
  <c r="F82" i="12"/>
  <c r="H45" i="4"/>
  <c r="H47" i="4" s="1"/>
  <c r="I43" i="13" l="1"/>
  <c r="I78" i="13"/>
  <c r="I80" i="13" s="1"/>
  <c r="I87" i="13" s="1"/>
  <c r="I92" i="13"/>
  <c r="I95" i="13" s="1"/>
  <c r="I98" i="13" s="1"/>
  <c r="H94" i="14"/>
  <c r="H97" i="14" s="1"/>
  <c r="I93" i="14" s="1"/>
  <c r="H96" i="14"/>
  <c r="H99" i="14"/>
  <c r="I43" i="14"/>
  <c r="I85" i="14"/>
  <c r="I88" i="14" s="1"/>
  <c r="I91" i="14" s="1"/>
  <c r="I44" i="14"/>
  <c r="I46" i="14" s="1"/>
  <c r="L47" i="22"/>
  <c r="L48" i="22"/>
  <c r="M32" i="22" s="1"/>
  <c r="I43" i="11"/>
  <c r="I44" i="11" s="1"/>
  <c r="I88" i="11"/>
  <c r="I91" i="11" s="1"/>
  <c r="I94" i="11" s="1"/>
  <c r="I43" i="10"/>
  <c r="I88" i="10"/>
  <c r="I91" i="10" s="1"/>
  <c r="I94" i="10" s="1"/>
  <c r="I44" i="10"/>
  <c r="I46" i="10" s="1"/>
  <c r="I81" i="9"/>
  <c r="I80" i="10"/>
  <c r="I81" i="12"/>
  <c r="I80" i="11"/>
  <c r="I91" i="12"/>
  <c r="I94" i="12" s="1"/>
  <c r="I97" i="12" s="1"/>
  <c r="I43" i="12"/>
  <c r="I44" i="9"/>
  <c r="I46" i="9" s="1"/>
  <c r="I43" i="9"/>
  <c r="I91" i="9"/>
  <c r="I94" i="9" s="1"/>
  <c r="I97" i="9" s="1"/>
  <c r="J72" i="22"/>
  <c r="J54" i="22"/>
  <c r="J57" i="22" s="1"/>
  <c r="J53" i="22"/>
  <c r="G16" i="8"/>
  <c r="G19" i="8" s="1"/>
  <c r="M13" i="22"/>
  <c r="M14" i="22"/>
  <c r="M17" i="22" s="1"/>
  <c r="F84" i="12"/>
  <c r="I12" i="8"/>
  <c r="F84" i="9"/>
  <c r="I59" i="9"/>
  <c r="I61" i="9" s="1"/>
  <c r="I59" i="10"/>
  <c r="I61" i="10" s="1"/>
  <c r="I79" i="22"/>
  <c r="I59" i="12"/>
  <c r="I61" i="12" s="1"/>
  <c r="I59" i="13"/>
  <c r="I61" i="13" s="1"/>
  <c r="I59" i="11"/>
  <c r="I61" i="11" s="1"/>
  <c r="I59" i="14"/>
  <c r="I61" i="14" s="1"/>
  <c r="G21" i="8" l="1"/>
  <c r="G22" i="8" s="1"/>
  <c r="G24" i="8" s="1"/>
  <c r="J61" i="22"/>
  <c r="J64" i="22" s="1"/>
  <c r="J60" i="22"/>
  <c r="I102" i="12"/>
  <c r="I105" i="12" s="1"/>
  <c r="I63" i="12" s="1"/>
  <c r="I100" i="12"/>
  <c r="I94" i="14"/>
  <c r="I96" i="14"/>
  <c r="I99" i="14" s="1"/>
  <c r="I63" i="14" s="1"/>
  <c r="I103" i="13"/>
  <c r="I106" i="13"/>
  <c r="I108" i="13" s="1"/>
  <c r="I63" i="13" s="1"/>
  <c r="I101" i="13"/>
  <c r="I104" i="13" s="1"/>
  <c r="J100" i="13" s="1"/>
  <c r="I105" i="9"/>
  <c r="I63" i="9" s="1"/>
  <c r="I102" i="9"/>
  <c r="I100" i="9"/>
  <c r="I97" i="10"/>
  <c r="I100" i="10" s="1"/>
  <c r="J96" i="10" s="1"/>
  <c r="I99" i="10"/>
  <c r="I102" i="10"/>
  <c r="I44" i="12"/>
  <c r="I46" i="12" s="1"/>
  <c r="M20" i="22"/>
  <c r="M21" i="22"/>
  <c r="M24" i="22" s="1"/>
  <c r="I44" i="4"/>
  <c r="I46" i="11"/>
  <c r="I44" i="13"/>
  <c r="I45" i="4" s="1"/>
  <c r="M33" i="22"/>
  <c r="M34" i="22"/>
  <c r="M37" i="22" s="1"/>
  <c r="I99" i="11"/>
  <c r="I102" i="11"/>
  <c r="I63" i="11" s="1"/>
  <c r="I97" i="11"/>
  <c r="I100" i="11" s="1"/>
  <c r="J96" i="11" s="1"/>
  <c r="H63" i="14"/>
  <c r="H8" i="8"/>
  <c r="I97" i="14"/>
  <c r="J93" i="14" s="1"/>
  <c r="G64" i="9" l="1"/>
  <c r="G64" i="10"/>
  <c r="H20" i="5"/>
  <c r="G64" i="12"/>
  <c r="G64" i="11"/>
  <c r="G64" i="13"/>
  <c r="G64" i="14"/>
  <c r="I63" i="10"/>
  <c r="I8" i="8"/>
  <c r="I46" i="13"/>
  <c r="I19" i="5"/>
  <c r="H15" i="8"/>
  <c r="M41" i="22"/>
  <c r="M44" i="22" s="1"/>
  <c r="M40" i="22"/>
  <c r="I47" i="4"/>
  <c r="I103" i="9"/>
  <c r="J99" i="9" s="1"/>
  <c r="J68" i="22"/>
  <c r="J67" i="22"/>
  <c r="J76" i="22" s="1"/>
  <c r="M28" i="22"/>
  <c r="N12" i="22" s="1"/>
  <c r="M27" i="22"/>
  <c r="I103" i="12"/>
  <c r="J99" i="12" s="1"/>
  <c r="J19" i="5" l="1"/>
  <c r="I15" i="8"/>
  <c r="I16" i="8" s="1"/>
  <c r="I19" i="8" s="1"/>
  <c r="K15" i="5"/>
  <c r="K17" i="5" s="1"/>
  <c r="J77" i="22"/>
  <c r="G66" i="9"/>
  <c r="G66" i="11"/>
  <c r="M48" i="22"/>
  <c r="N32" i="22" s="1"/>
  <c r="M47" i="22"/>
  <c r="G66" i="12"/>
  <c r="H22" i="5"/>
  <c r="H30" i="5" s="1"/>
  <c r="H32" i="5" s="1"/>
  <c r="G66" i="14"/>
  <c r="N14" i="22"/>
  <c r="N17" i="22" s="1"/>
  <c r="N13" i="22"/>
  <c r="H16" i="8"/>
  <c r="H19" i="8" s="1"/>
  <c r="G66" i="10"/>
  <c r="K52" i="22"/>
  <c r="J73" i="22"/>
  <c r="G66" i="13"/>
  <c r="J91" i="22"/>
  <c r="J40" i="4" s="1"/>
  <c r="G80" i="9" l="1"/>
  <c r="H21" i="8"/>
  <c r="H22" i="8"/>
  <c r="H24" i="8" s="1"/>
  <c r="J59" i="9"/>
  <c r="J61" i="9" s="1"/>
  <c r="J59" i="10"/>
  <c r="J61" i="10" s="1"/>
  <c r="J79" i="22"/>
  <c r="J59" i="12"/>
  <c r="J61" i="12" s="1"/>
  <c r="J59" i="11"/>
  <c r="J61" i="11" s="1"/>
  <c r="J59" i="13"/>
  <c r="J61" i="13" s="1"/>
  <c r="J59" i="14"/>
  <c r="J61" i="14" s="1"/>
  <c r="G79" i="11"/>
  <c r="G81" i="11" s="1"/>
  <c r="N21" i="22"/>
  <c r="N24" i="22" s="1"/>
  <c r="N20" i="22"/>
  <c r="I21" i="8"/>
  <c r="I22" i="8" s="1"/>
  <c r="I24" i="8" s="1"/>
  <c r="G79" i="10"/>
  <c r="G81" i="10" s="1"/>
  <c r="G80" i="12"/>
  <c r="G82" i="12" s="1"/>
  <c r="J81" i="9"/>
  <c r="J80" i="10"/>
  <c r="J81" i="12"/>
  <c r="J80" i="11"/>
  <c r="N34" i="22"/>
  <c r="N37" i="22" s="1"/>
  <c r="N33" i="22"/>
  <c r="J39" i="9"/>
  <c r="J41" i="9" s="1"/>
  <c r="J39" i="10"/>
  <c r="J41" i="10" s="1"/>
  <c r="J39" i="12"/>
  <c r="J41" i="12" s="1"/>
  <c r="J39" i="11"/>
  <c r="J41" i="11" s="1"/>
  <c r="J39" i="14"/>
  <c r="J41" i="14" s="1"/>
  <c r="J39" i="13"/>
  <c r="J41" i="13" s="1"/>
  <c r="J42" i="4"/>
  <c r="K53" i="22"/>
  <c r="K54" i="22"/>
  <c r="K57" i="22" s="1"/>
  <c r="K72" i="22"/>
  <c r="I64" i="9" l="1"/>
  <c r="I66" i="9" s="1"/>
  <c r="I64" i="10"/>
  <c r="I66" i="10" s="1"/>
  <c r="J20" i="5"/>
  <c r="J22" i="5" s="1"/>
  <c r="J30" i="5" s="1"/>
  <c r="J32" i="5" s="1"/>
  <c r="I64" i="12"/>
  <c r="I66" i="12" s="1"/>
  <c r="I64" i="11"/>
  <c r="I66" i="11" s="1"/>
  <c r="I64" i="14"/>
  <c r="I66" i="14" s="1"/>
  <c r="I64" i="13"/>
  <c r="I66" i="13" s="1"/>
  <c r="H64" i="9"/>
  <c r="I20" i="5"/>
  <c r="H64" i="10"/>
  <c r="H64" i="12"/>
  <c r="H64" i="11"/>
  <c r="H64" i="13"/>
  <c r="H64" i="14"/>
  <c r="J88" i="11"/>
  <c r="J91" i="11" s="1"/>
  <c r="J94" i="11" s="1"/>
  <c r="J43" i="11"/>
  <c r="J44" i="11" s="1"/>
  <c r="J46" i="11" s="1"/>
  <c r="K60" i="22"/>
  <c r="K61" i="22"/>
  <c r="K64" i="22" s="1"/>
  <c r="J43" i="10"/>
  <c r="J44" i="10" s="1"/>
  <c r="J46" i="10" s="1"/>
  <c r="J88" i="10"/>
  <c r="J91" i="10" s="1"/>
  <c r="J94" i="10" s="1"/>
  <c r="J43" i="9"/>
  <c r="J44" i="9" s="1"/>
  <c r="J46" i="9" s="1"/>
  <c r="J91" i="9"/>
  <c r="J94" i="9" s="1"/>
  <c r="J97" i="9" s="1"/>
  <c r="G84" i="12"/>
  <c r="J12" i="8"/>
  <c r="N40" i="22"/>
  <c r="N41" i="22"/>
  <c r="N44" i="22" s="1"/>
  <c r="N27" i="22"/>
  <c r="N28" i="22"/>
  <c r="O12" i="22" s="1"/>
  <c r="J92" i="13"/>
  <c r="J95" i="13" s="1"/>
  <c r="J98" i="13" s="1"/>
  <c r="J78" i="13"/>
  <c r="J80" i="13" s="1"/>
  <c r="J87" i="13" s="1"/>
  <c r="J43" i="13"/>
  <c r="J43" i="12"/>
  <c r="J44" i="12" s="1"/>
  <c r="J91" i="12"/>
  <c r="J94" i="12" s="1"/>
  <c r="J97" i="12" s="1"/>
  <c r="J43" i="14"/>
  <c r="J44" i="14" s="1"/>
  <c r="J46" i="14" s="1"/>
  <c r="J85" i="14"/>
  <c r="J88" i="14" s="1"/>
  <c r="J91" i="14" s="1"/>
  <c r="G82" i="9"/>
  <c r="H66" i="9" l="1"/>
  <c r="J102" i="9"/>
  <c r="J105" i="9" s="1"/>
  <c r="J63" i="9" s="1"/>
  <c r="J100" i="9"/>
  <c r="K67" i="22"/>
  <c r="K68" i="22"/>
  <c r="H66" i="14"/>
  <c r="N47" i="22"/>
  <c r="N48" i="22"/>
  <c r="O32" i="22" s="1"/>
  <c r="G84" i="9"/>
  <c r="J96" i="14"/>
  <c r="J99" i="14"/>
  <c r="J63" i="14" s="1"/>
  <c r="J94" i="14"/>
  <c r="J103" i="13"/>
  <c r="J106" i="13"/>
  <c r="J108" i="13" s="1"/>
  <c r="J63" i="13" s="1"/>
  <c r="J101" i="13"/>
  <c r="J102" i="12"/>
  <c r="J105" i="12" s="1"/>
  <c r="J63" i="12" s="1"/>
  <c r="J100" i="12"/>
  <c r="J103" i="12" s="1"/>
  <c r="K99" i="12" s="1"/>
  <c r="H66" i="11"/>
  <c r="J44" i="4"/>
  <c r="J47" i="4" s="1"/>
  <c r="J46" i="12"/>
  <c r="J97" i="11"/>
  <c r="J99" i="11"/>
  <c r="J102" i="11"/>
  <c r="J63" i="11" s="1"/>
  <c r="H66" i="12"/>
  <c r="H66" i="13"/>
  <c r="J44" i="13"/>
  <c r="J45" i="4" s="1"/>
  <c r="O14" i="22"/>
  <c r="O17" i="22" s="1"/>
  <c r="O13" i="22"/>
  <c r="J99" i="10"/>
  <c r="J102" i="10"/>
  <c r="J97" i="10"/>
  <c r="J100" i="10" s="1"/>
  <c r="K96" i="10" s="1"/>
  <c r="H66" i="10"/>
  <c r="I22" i="5"/>
  <c r="I30" i="5" s="1"/>
  <c r="I32" i="5" s="1"/>
  <c r="H80" i="12" l="1"/>
  <c r="J97" i="14"/>
  <c r="K93" i="14" s="1"/>
  <c r="J63" i="10"/>
  <c r="J8" i="8"/>
  <c r="H79" i="11"/>
  <c r="L52" i="22"/>
  <c r="K73" i="22"/>
  <c r="J100" i="11"/>
  <c r="K96" i="11" s="1"/>
  <c r="K76" i="22"/>
  <c r="K91" i="22"/>
  <c r="K40" i="4" s="1"/>
  <c r="H80" i="9"/>
  <c r="O21" i="22"/>
  <c r="O24" i="22" s="1"/>
  <c r="O20" i="22"/>
  <c r="J46" i="13"/>
  <c r="O33" i="22"/>
  <c r="O34" i="22"/>
  <c r="O37" i="22" s="1"/>
  <c r="H79" i="10"/>
  <c r="J104" i="13"/>
  <c r="K100" i="13" s="1"/>
  <c r="J103" i="9"/>
  <c r="K99" i="9" s="1"/>
  <c r="O41" i="22" l="1"/>
  <c r="O44" i="22" s="1"/>
  <c r="O40" i="22"/>
  <c r="K81" i="9"/>
  <c r="K80" i="10"/>
  <c r="K81" i="12"/>
  <c r="K80" i="11"/>
  <c r="K39" i="9"/>
  <c r="K41" i="9" s="1"/>
  <c r="K39" i="10"/>
  <c r="K41" i="10" s="1"/>
  <c r="K39" i="12"/>
  <c r="K41" i="12" s="1"/>
  <c r="K39" i="11"/>
  <c r="K41" i="11" s="1"/>
  <c r="K39" i="13"/>
  <c r="K41" i="13" s="1"/>
  <c r="K39" i="14"/>
  <c r="K41" i="14" s="1"/>
  <c r="K42" i="4"/>
  <c r="L54" i="22"/>
  <c r="L57" i="22" s="1"/>
  <c r="L53" i="22"/>
  <c r="L72" i="22"/>
  <c r="O27" i="22"/>
  <c r="O28" i="22"/>
  <c r="P12" i="22" s="1"/>
  <c r="L15" i="5"/>
  <c r="L17" i="5" s="1"/>
  <c r="K77" i="22"/>
  <c r="K19" i="5"/>
  <c r="J15" i="8"/>
  <c r="J16" i="8" s="1"/>
  <c r="J19" i="8" s="1"/>
  <c r="H81" i="10"/>
  <c r="I79" i="10"/>
  <c r="I81" i="10" s="1"/>
  <c r="H82" i="9"/>
  <c r="H84" i="9" s="1"/>
  <c r="I80" i="9"/>
  <c r="I82" i="9" s="1"/>
  <c r="I84" i="9" s="1"/>
  <c r="H81" i="11"/>
  <c r="I79" i="11"/>
  <c r="I81" i="11" s="1"/>
  <c r="H82" i="12"/>
  <c r="H84" i="12" s="1"/>
  <c r="I80" i="12"/>
  <c r="I82" i="12" s="1"/>
  <c r="I84" i="12" s="1"/>
  <c r="K59" i="9" l="1"/>
  <c r="K61" i="9" s="1"/>
  <c r="K59" i="10"/>
  <c r="K61" i="10" s="1"/>
  <c r="K79" i="22"/>
  <c r="K59" i="12"/>
  <c r="K61" i="12" s="1"/>
  <c r="K59" i="13"/>
  <c r="K61" i="13" s="1"/>
  <c r="K59" i="14"/>
  <c r="K61" i="14" s="1"/>
  <c r="K59" i="11"/>
  <c r="K61" i="11" s="1"/>
  <c r="K12" i="8"/>
  <c r="L61" i="22"/>
  <c r="L64" i="22" s="1"/>
  <c r="L60" i="22"/>
  <c r="K85" i="14"/>
  <c r="K88" i="14" s="1"/>
  <c r="K91" i="14" s="1"/>
  <c r="K43" i="14"/>
  <c r="K78" i="13"/>
  <c r="K80" i="13" s="1"/>
  <c r="K87" i="13" s="1"/>
  <c r="K92" i="13"/>
  <c r="K95" i="13" s="1"/>
  <c r="K98" i="13" s="1"/>
  <c r="K44" i="13"/>
  <c r="K43" i="13"/>
  <c r="K44" i="11"/>
  <c r="K88" i="11"/>
  <c r="K91" i="11" s="1"/>
  <c r="K94" i="11" s="1"/>
  <c r="K43" i="11"/>
  <c r="K46" i="11" s="1"/>
  <c r="K43" i="9"/>
  <c r="K91" i="9"/>
  <c r="K94" i="9" s="1"/>
  <c r="K97" i="9" s="1"/>
  <c r="P13" i="22"/>
  <c r="P14" i="22"/>
  <c r="P17" i="22" s="1"/>
  <c r="J21" i="8"/>
  <c r="J22" i="8" s="1"/>
  <c r="J24" i="8" s="1"/>
  <c r="K43" i="12"/>
  <c r="K46" i="12" s="1"/>
  <c r="K44" i="12"/>
  <c r="K91" i="12"/>
  <c r="K94" i="12" s="1"/>
  <c r="K97" i="12" s="1"/>
  <c r="O48" i="22"/>
  <c r="P32" i="22" s="1"/>
  <c r="O47" i="22"/>
  <c r="K43" i="10"/>
  <c r="K44" i="10"/>
  <c r="K46" i="10" s="1"/>
  <c r="K88" i="10"/>
  <c r="K91" i="10" s="1"/>
  <c r="K94" i="10" s="1"/>
  <c r="J64" i="9" l="1"/>
  <c r="J66" i="9" s="1"/>
  <c r="J80" i="9" s="1"/>
  <c r="J82" i="9" s="1"/>
  <c r="J84" i="9" s="1"/>
  <c r="J64" i="10"/>
  <c r="J66" i="10" s="1"/>
  <c r="J79" i="10" s="1"/>
  <c r="J81" i="10" s="1"/>
  <c r="K20" i="5"/>
  <c r="K22" i="5" s="1"/>
  <c r="K30" i="5" s="1"/>
  <c r="K32" i="5" s="1"/>
  <c r="J64" i="12"/>
  <c r="J66" i="12" s="1"/>
  <c r="J80" i="12" s="1"/>
  <c r="J82" i="12" s="1"/>
  <c r="J84" i="12" s="1"/>
  <c r="J64" i="13"/>
  <c r="J66" i="13" s="1"/>
  <c r="J64" i="11"/>
  <c r="J66" i="11" s="1"/>
  <c r="J79" i="11" s="1"/>
  <c r="J81" i="11" s="1"/>
  <c r="J64" i="14"/>
  <c r="J66" i="14" s="1"/>
  <c r="P20" i="22"/>
  <c r="P21" i="22"/>
  <c r="P24" i="22" s="1"/>
  <c r="K44" i="9"/>
  <c r="K46" i="9" s="1"/>
  <c r="K44" i="4"/>
  <c r="K44" i="14"/>
  <c r="K46" i="14" s="1"/>
  <c r="K99" i="11"/>
  <c r="K102" i="11" s="1"/>
  <c r="K63" i="11" s="1"/>
  <c r="K97" i="11"/>
  <c r="K100" i="11" s="1"/>
  <c r="L96" i="11" s="1"/>
  <c r="K99" i="10"/>
  <c r="K102" i="10" s="1"/>
  <c r="K97" i="10"/>
  <c r="K46" i="13"/>
  <c r="L67" i="22"/>
  <c r="L76" i="22" s="1"/>
  <c r="L68" i="22"/>
  <c r="K105" i="9"/>
  <c r="K63" i="9" s="1"/>
  <c r="K100" i="9"/>
  <c r="K103" i="9" s="1"/>
  <c r="L99" i="9" s="1"/>
  <c r="K102" i="9"/>
  <c r="K101" i="13"/>
  <c r="K103" i="13"/>
  <c r="K106" i="13"/>
  <c r="L91" i="22"/>
  <c r="L40" i="4" s="1"/>
  <c r="K100" i="12"/>
  <c r="K103" i="12" s="1"/>
  <c r="L99" i="12" s="1"/>
  <c r="K105" i="12"/>
  <c r="K63" i="12" s="1"/>
  <c r="K102" i="12"/>
  <c r="K94" i="14"/>
  <c r="K96" i="14"/>
  <c r="K99" i="14" s="1"/>
  <c r="K63" i="14" s="1"/>
  <c r="K108" i="13"/>
  <c r="K63" i="13" s="1"/>
  <c r="P34" i="22"/>
  <c r="P37" i="22" s="1"/>
  <c r="P33" i="22"/>
  <c r="K63" i="10" l="1"/>
  <c r="K8" i="8"/>
  <c r="M15" i="5"/>
  <c r="M17" i="5" s="1"/>
  <c r="L77" i="22"/>
  <c r="K104" i="13"/>
  <c r="L100" i="13" s="1"/>
  <c r="P40" i="22"/>
  <c r="P41" i="22"/>
  <c r="P44" i="22" s="1"/>
  <c r="P27" i="22"/>
  <c r="P28" i="22"/>
  <c r="Q12" i="22" s="1"/>
  <c r="M52" i="22"/>
  <c r="L73" i="22"/>
  <c r="K45" i="4"/>
  <c r="K47" i="4" s="1"/>
  <c r="K97" i="14"/>
  <c r="L93" i="14" s="1"/>
  <c r="K100" i="10"/>
  <c r="L96" i="10" s="1"/>
  <c r="L39" i="9"/>
  <c r="L41" i="9" s="1"/>
  <c r="L39" i="10"/>
  <c r="L41" i="10" s="1"/>
  <c r="L39" i="12"/>
  <c r="L41" i="12" s="1"/>
  <c r="L39" i="11"/>
  <c r="L41" i="11" s="1"/>
  <c r="L39" i="13"/>
  <c r="L41" i="13" s="1"/>
  <c r="L39" i="14"/>
  <c r="L41" i="14" s="1"/>
  <c r="L42" i="4"/>
  <c r="L88" i="10" l="1"/>
  <c r="L91" i="10" s="1"/>
  <c r="L94" i="10" s="1"/>
  <c r="L43" i="10"/>
  <c r="L44" i="10" s="1"/>
  <c r="L43" i="13"/>
  <c r="L44" i="4" s="1"/>
  <c r="L92" i="13"/>
  <c r="L95" i="13" s="1"/>
  <c r="L98" i="13" s="1"/>
  <c r="L78" i="13"/>
  <c r="L80" i="13" s="1"/>
  <c r="L87" i="13" s="1"/>
  <c r="L43" i="12"/>
  <c r="L91" i="12"/>
  <c r="L94" i="12" s="1"/>
  <c r="L97" i="12" s="1"/>
  <c r="L44" i="12"/>
  <c r="L46" i="12" s="1"/>
  <c r="L43" i="9"/>
  <c r="L44" i="9" s="1"/>
  <c r="L46" i="9" s="1"/>
  <c r="L91" i="9"/>
  <c r="L94" i="9" s="1"/>
  <c r="L97" i="9" s="1"/>
  <c r="L81" i="9"/>
  <c r="L80" i="10"/>
  <c r="L81" i="12"/>
  <c r="L80" i="11"/>
  <c r="L59" i="9"/>
  <c r="L61" i="9" s="1"/>
  <c r="L59" i="10"/>
  <c r="L61" i="10" s="1"/>
  <c r="L79" i="22"/>
  <c r="L59" i="12"/>
  <c r="L61" i="12" s="1"/>
  <c r="L59" i="11"/>
  <c r="L61" i="11" s="1"/>
  <c r="L59" i="13"/>
  <c r="L61" i="13" s="1"/>
  <c r="L59" i="14"/>
  <c r="L61" i="14" s="1"/>
  <c r="M72" i="22"/>
  <c r="M54" i="22"/>
  <c r="M57" i="22" s="1"/>
  <c r="M53" i="22"/>
  <c r="L43" i="14"/>
  <c r="L44" i="14" s="1"/>
  <c r="L85" i="14"/>
  <c r="L88" i="14" s="1"/>
  <c r="L91" i="14" s="1"/>
  <c r="L43" i="11"/>
  <c r="L44" i="11"/>
  <c r="L46" i="11"/>
  <c r="L88" i="11"/>
  <c r="L91" i="11" s="1"/>
  <c r="L94" i="11" s="1"/>
  <c r="L12" i="8"/>
  <c r="Q13" i="22"/>
  <c r="Q14" i="22"/>
  <c r="Q17" i="22" s="1"/>
  <c r="L19" i="5"/>
  <c r="K15" i="8"/>
  <c r="K16" i="8" s="1"/>
  <c r="K19" i="8" s="1"/>
  <c r="P47" i="22"/>
  <c r="P48" i="22"/>
  <c r="Q32" i="22" s="1"/>
  <c r="L94" i="14" l="1"/>
  <c r="L96" i="14"/>
  <c r="L99" i="14"/>
  <c r="L63" i="14" s="1"/>
  <c r="L105" i="12"/>
  <c r="L63" i="12" s="1"/>
  <c r="L100" i="12"/>
  <c r="L102" i="12"/>
  <c r="L99" i="10"/>
  <c r="L102" i="10" s="1"/>
  <c r="L97" i="10"/>
  <c r="L44" i="13"/>
  <c r="L45" i="4" s="1"/>
  <c r="L47" i="4" s="1"/>
  <c r="L46" i="14"/>
  <c r="L46" i="10"/>
  <c r="L97" i="11"/>
  <c r="L99" i="11"/>
  <c r="L102" i="11" s="1"/>
  <c r="L63" i="11" s="1"/>
  <c r="M61" i="22"/>
  <c r="M64" i="22" s="1"/>
  <c r="M60" i="22"/>
  <c r="Q20" i="22"/>
  <c r="Q21" i="22"/>
  <c r="Q24" i="22" s="1"/>
  <c r="L46" i="13"/>
  <c r="Q34" i="22"/>
  <c r="Q37" i="22" s="1"/>
  <c r="Q33" i="22"/>
  <c r="K21" i="8"/>
  <c r="K22" i="8"/>
  <c r="K24" i="8" s="1"/>
  <c r="L100" i="9"/>
  <c r="L102" i="9"/>
  <c r="L105" i="9"/>
  <c r="L63" i="9" s="1"/>
  <c r="L103" i="13"/>
  <c r="L106" i="13" s="1"/>
  <c r="L108" i="13" s="1"/>
  <c r="L63" i="13" s="1"/>
  <c r="L101" i="13"/>
  <c r="L63" i="10" l="1"/>
  <c r="L8" i="8"/>
  <c r="K64" i="9"/>
  <c r="K66" i="9" s="1"/>
  <c r="K80" i="9" s="1"/>
  <c r="K82" i="9" s="1"/>
  <c r="K84" i="9" s="1"/>
  <c r="K64" i="10"/>
  <c r="K66" i="10" s="1"/>
  <c r="K79" i="10" s="1"/>
  <c r="K81" i="10" s="1"/>
  <c r="L20" i="5"/>
  <c r="L22" i="5" s="1"/>
  <c r="L30" i="5" s="1"/>
  <c r="L32" i="5" s="1"/>
  <c r="K64" i="12"/>
  <c r="K66" i="12" s="1"/>
  <c r="K80" i="12" s="1"/>
  <c r="K82" i="12" s="1"/>
  <c r="K84" i="12" s="1"/>
  <c r="K64" i="11"/>
  <c r="K66" i="11" s="1"/>
  <c r="K79" i="11" s="1"/>
  <c r="K81" i="11" s="1"/>
  <c r="K64" i="13"/>
  <c r="K66" i="13" s="1"/>
  <c r="K64" i="14"/>
  <c r="K66" i="14" s="1"/>
  <c r="L104" i="13"/>
  <c r="M100" i="13" s="1"/>
  <c r="L97" i="14"/>
  <c r="M93" i="14" s="1"/>
  <c r="L103" i="9"/>
  <c r="M99" i="9" s="1"/>
  <c r="M68" i="22"/>
  <c r="M67" i="22"/>
  <c r="Q28" i="22"/>
  <c r="R12" i="22" s="1"/>
  <c r="Q27" i="22"/>
  <c r="L100" i="10"/>
  <c r="M96" i="10" s="1"/>
  <c r="L103" i="12"/>
  <c r="M99" i="12" s="1"/>
  <c r="Q41" i="22"/>
  <c r="Q44" i="22" s="1"/>
  <c r="Q40" i="22"/>
  <c r="L100" i="11"/>
  <c r="M96" i="11" s="1"/>
  <c r="R13" i="22" l="1"/>
  <c r="R14" i="22"/>
  <c r="R17" i="22" s="1"/>
  <c r="Q47" i="22"/>
  <c r="Q48" i="22"/>
  <c r="R32" i="22" s="1"/>
  <c r="N52" i="22"/>
  <c r="M73" i="22"/>
  <c r="M19" i="5"/>
  <c r="L15" i="8"/>
  <c r="L16" i="8" s="1"/>
  <c r="L19" i="8" s="1"/>
  <c r="M76" i="22"/>
  <c r="M91" i="22"/>
  <c r="M40" i="4" s="1"/>
  <c r="N72" i="22" l="1"/>
  <c r="N54" i="22"/>
  <c r="N57" i="22" s="1"/>
  <c r="N53" i="22"/>
  <c r="R34" i="22"/>
  <c r="R37" i="22" s="1"/>
  <c r="R33" i="22"/>
  <c r="M39" i="9"/>
  <c r="M41" i="9" s="1"/>
  <c r="M39" i="10"/>
  <c r="M41" i="10" s="1"/>
  <c r="M39" i="12"/>
  <c r="M41" i="12" s="1"/>
  <c r="M39" i="11"/>
  <c r="M41" i="11" s="1"/>
  <c r="M39" i="13"/>
  <c r="M41" i="13" s="1"/>
  <c r="M39" i="14"/>
  <c r="M41" i="14" s="1"/>
  <c r="M42" i="4"/>
  <c r="L21" i="8"/>
  <c r="L22" i="8" s="1"/>
  <c r="L24" i="8" s="1"/>
  <c r="N15" i="5"/>
  <c r="N17" i="5" s="1"/>
  <c r="M77" i="22"/>
  <c r="R20" i="22"/>
  <c r="R21" i="22"/>
  <c r="R24" i="22" s="1"/>
  <c r="M81" i="9"/>
  <c r="M80" i="10"/>
  <c r="M81" i="12"/>
  <c r="M80" i="11"/>
  <c r="L64" i="9" l="1"/>
  <c r="L66" i="9" s="1"/>
  <c r="L80" i="9" s="1"/>
  <c r="L82" i="9" s="1"/>
  <c r="L84" i="9" s="1"/>
  <c r="L64" i="10"/>
  <c r="L66" i="10" s="1"/>
  <c r="L79" i="10" s="1"/>
  <c r="L81" i="10" s="1"/>
  <c r="M20" i="5"/>
  <c r="M22" i="5" s="1"/>
  <c r="M30" i="5" s="1"/>
  <c r="M32" i="5" s="1"/>
  <c r="L64" i="12"/>
  <c r="L66" i="12" s="1"/>
  <c r="L80" i="12" s="1"/>
  <c r="L82" i="12" s="1"/>
  <c r="L84" i="12" s="1"/>
  <c r="L64" i="11"/>
  <c r="L66" i="11" s="1"/>
  <c r="L79" i="11" s="1"/>
  <c r="L81" i="11" s="1"/>
  <c r="L64" i="13"/>
  <c r="L66" i="13" s="1"/>
  <c r="L64" i="14"/>
  <c r="L66" i="14" s="1"/>
  <c r="M91" i="12"/>
  <c r="M94" i="12" s="1"/>
  <c r="M97" i="12" s="1"/>
  <c r="M44" i="12"/>
  <c r="M43" i="12"/>
  <c r="M46" i="12" s="1"/>
  <c r="M44" i="10"/>
  <c r="M43" i="10"/>
  <c r="M88" i="10"/>
  <c r="M91" i="10" s="1"/>
  <c r="M94" i="10" s="1"/>
  <c r="M46" i="10"/>
  <c r="M44" i="9"/>
  <c r="M43" i="9"/>
  <c r="M46" i="9" s="1"/>
  <c r="M91" i="9"/>
  <c r="M94" i="9" s="1"/>
  <c r="M97" i="9" s="1"/>
  <c r="R27" i="22"/>
  <c r="R28" i="22"/>
  <c r="S12" i="22" s="1"/>
  <c r="M12" i="8"/>
  <c r="R41" i="22"/>
  <c r="R44" i="22" s="1"/>
  <c r="R40" i="22"/>
  <c r="M59" i="9"/>
  <c r="M61" i="9" s="1"/>
  <c r="M59" i="10"/>
  <c r="M61" i="10" s="1"/>
  <c r="M79" i="22"/>
  <c r="M59" i="12"/>
  <c r="M61" i="12" s="1"/>
  <c r="M59" i="11"/>
  <c r="M61" i="11" s="1"/>
  <c r="M59" i="14"/>
  <c r="M61" i="14" s="1"/>
  <c r="M59" i="13"/>
  <c r="M61" i="13" s="1"/>
  <c r="M43" i="14"/>
  <c r="M44" i="14" s="1"/>
  <c r="M85" i="14"/>
  <c r="M88" i="14" s="1"/>
  <c r="M91" i="14" s="1"/>
  <c r="M78" i="13"/>
  <c r="M80" i="13" s="1"/>
  <c r="M87" i="13" s="1"/>
  <c r="M92" i="13"/>
  <c r="M95" i="13" s="1"/>
  <c r="M98" i="13" s="1"/>
  <c r="M46" i="13"/>
  <c r="M43" i="13"/>
  <c r="M44" i="13"/>
  <c r="N60" i="22"/>
  <c r="N61" i="22"/>
  <c r="N64" i="22" s="1"/>
  <c r="M43" i="11"/>
  <c r="M46" i="11" s="1"/>
  <c r="M88" i="11"/>
  <c r="M91" i="11" s="1"/>
  <c r="M94" i="11" s="1"/>
  <c r="M44" i="11"/>
  <c r="N91" i="22" l="1"/>
  <c r="N40" i="4" s="1"/>
  <c r="M99" i="10"/>
  <c r="M97" i="10"/>
  <c r="M97" i="11"/>
  <c r="M99" i="11"/>
  <c r="M102" i="11" s="1"/>
  <c r="M63" i="11" s="1"/>
  <c r="R48" i="22"/>
  <c r="S32" i="22" s="1"/>
  <c r="R47" i="22"/>
  <c r="N67" i="22"/>
  <c r="N76" i="22" s="1"/>
  <c r="N68" i="22"/>
  <c r="S14" i="22"/>
  <c r="S17" i="22" s="1"/>
  <c r="S13" i="22"/>
  <c r="M103" i="13"/>
  <c r="M101" i="13"/>
  <c r="M102" i="12"/>
  <c r="M105" i="12"/>
  <c r="M63" i="12" s="1"/>
  <c r="M100" i="12"/>
  <c r="M94" i="14"/>
  <c r="M96" i="14"/>
  <c r="M99" i="14"/>
  <c r="M63" i="14" s="1"/>
  <c r="M45" i="4"/>
  <c r="M46" i="14"/>
  <c r="M102" i="9"/>
  <c r="M105" i="9" s="1"/>
  <c r="M63" i="9" s="1"/>
  <c r="M100" i="9"/>
  <c r="M44" i="4"/>
  <c r="M47" i="4" s="1"/>
  <c r="O15" i="5" l="1"/>
  <c r="O17" i="5" s="1"/>
  <c r="N77" i="22"/>
  <c r="M103" i="9"/>
  <c r="N99" i="9" s="1"/>
  <c r="S33" i="22"/>
  <c r="S34" i="22"/>
  <c r="S37" i="22" s="1"/>
  <c r="N39" i="9"/>
  <c r="N41" i="9" s="1"/>
  <c r="N39" i="10"/>
  <c r="N41" i="10" s="1"/>
  <c r="N39" i="12"/>
  <c r="N41" i="12" s="1"/>
  <c r="N39" i="11"/>
  <c r="N41" i="11" s="1"/>
  <c r="N39" i="13"/>
  <c r="N41" i="13" s="1"/>
  <c r="N39" i="14"/>
  <c r="N41" i="14" s="1"/>
  <c r="N42" i="4"/>
  <c r="M97" i="14"/>
  <c r="N93" i="14" s="1"/>
  <c r="S21" i="22"/>
  <c r="S24" i="22" s="1"/>
  <c r="S20" i="22"/>
  <c r="M104" i="13"/>
  <c r="N100" i="13" s="1"/>
  <c r="O52" i="22"/>
  <c r="N73" i="22"/>
  <c r="M100" i="11"/>
  <c r="N96" i="11" s="1"/>
  <c r="M103" i="12"/>
  <c r="N99" i="12" s="1"/>
  <c r="M100" i="10"/>
  <c r="N96" i="10" s="1"/>
  <c r="M106" i="13"/>
  <c r="M108" i="13" s="1"/>
  <c r="M63" i="13" s="1"/>
  <c r="M102" i="10"/>
  <c r="N43" i="13" l="1"/>
  <c r="N78" i="13"/>
  <c r="N80" i="13" s="1"/>
  <c r="N87" i="13" s="1"/>
  <c r="N92" i="13"/>
  <c r="N95" i="13" s="1"/>
  <c r="N98" i="13" s="1"/>
  <c r="N44" i="13"/>
  <c r="N46" i="13" s="1"/>
  <c r="M63" i="10"/>
  <c r="M8" i="8"/>
  <c r="S27" i="22"/>
  <c r="S28" i="22"/>
  <c r="T12" i="22" s="1"/>
  <c r="N43" i="12"/>
  <c r="N46" i="12"/>
  <c r="N91" i="12"/>
  <c r="N94" i="12" s="1"/>
  <c r="N97" i="12" s="1"/>
  <c r="N44" i="12"/>
  <c r="N44" i="14"/>
  <c r="N85" i="14"/>
  <c r="N88" i="14" s="1"/>
  <c r="N91" i="14" s="1"/>
  <c r="N43" i="14"/>
  <c r="N46" i="14" s="1"/>
  <c r="N44" i="10"/>
  <c r="N46" i="10" s="1"/>
  <c r="N43" i="10"/>
  <c r="N88" i="10"/>
  <c r="N91" i="10" s="1"/>
  <c r="N94" i="10" s="1"/>
  <c r="N12" i="8"/>
  <c r="N43" i="11"/>
  <c r="N44" i="11" s="1"/>
  <c r="N88" i="11"/>
  <c r="N91" i="11" s="1"/>
  <c r="N94" i="11" s="1"/>
  <c r="N81" i="9"/>
  <c r="N80" i="10"/>
  <c r="N80" i="11"/>
  <c r="N81" i="12"/>
  <c r="N43" i="9"/>
  <c r="N91" i="9"/>
  <c r="N94" i="9" s="1"/>
  <c r="N97" i="9" s="1"/>
  <c r="N59" i="9"/>
  <c r="N61" i="9" s="1"/>
  <c r="N59" i="10"/>
  <c r="N61" i="10" s="1"/>
  <c r="N79" i="22"/>
  <c r="N59" i="12"/>
  <c r="N61" i="12" s="1"/>
  <c r="N59" i="11"/>
  <c r="N61" i="11" s="1"/>
  <c r="N59" i="13"/>
  <c r="N61" i="13" s="1"/>
  <c r="N59" i="14"/>
  <c r="N61" i="14" s="1"/>
  <c r="O54" i="22"/>
  <c r="O57" i="22" s="1"/>
  <c r="O53" i="22"/>
  <c r="O72" i="22"/>
  <c r="S40" i="22"/>
  <c r="S41" i="22"/>
  <c r="S44" i="22" s="1"/>
  <c r="N100" i="12" l="1"/>
  <c r="N105" i="12"/>
  <c r="N63" i="12" s="1"/>
  <c r="N102" i="12"/>
  <c r="N46" i="11"/>
  <c r="S47" i="22"/>
  <c r="S48" i="22"/>
  <c r="T32" i="22" s="1"/>
  <c r="N99" i="14"/>
  <c r="N63" i="14" s="1"/>
  <c r="N94" i="14"/>
  <c r="N96" i="14"/>
  <c r="T13" i="22"/>
  <c r="T14" i="22"/>
  <c r="T17" i="22" s="1"/>
  <c r="N44" i="9"/>
  <c r="N45" i="4" s="1"/>
  <c r="N103" i="13"/>
  <c r="N106" i="13"/>
  <c r="N101" i="13"/>
  <c r="N104" i="13" s="1"/>
  <c r="O100" i="13" s="1"/>
  <c r="N97" i="10"/>
  <c r="N100" i="10" s="1"/>
  <c r="O96" i="10" s="1"/>
  <c r="N99" i="10"/>
  <c r="N102" i="10"/>
  <c r="N108" i="13"/>
  <c r="N63" i="13" s="1"/>
  <c r="O60" i="22"/>
  <c r="O61" i="22"/>
  <c r="O64" i="22" s="1"/>
  <c r="N100" i="9"/>
  <c r="N105" i="9"/>
  <c r="N63" i="9" s="1"/>
  <c r="N102" i="9"/>
  <c r="N99" i="11"/>
  <c r="N102" i="11"/>
  <c r="N63" i="11" s="1"/>
  <c r="N97" i="11"/>
  <c r="N19" i="5"/>
  <c r="M15" i="8"/>
  <c r="M16" i="8" s="1"/>
  <c r="M19" i="8" s="1"/>
  <c r="N44" i="4"/>
  <c r="O76" i="22" l="1"/>
  <c r="N63" i="10"/>
  <c r="N8" i="8"/>
  <c r="N97" i="14"/>
  <c r="O93" i="14" s="1"/>
  <c r="N47" i="4"/>
  <c r="N103" i="9"/>
  <c r="O99" i="9" s="1"/>
  <c r="N103" i="12"/>
  <c r="O99" i="12" s="1"/>
  <c r="O68" i="22"/>
  <c r="O67" i="22"/>
  <c r="O91" i="22" s="1"/>
  <c r="O40" i="4" s="1"/>
  <c r="N46" i="9"/>
  <c r="M21" i="8"/>
  <c r="M22" i="8" s="1"/>
  <c r="M24" i="8" s="1"/>
  <c r="N100" i="11"/>
  <c r="O96" i="11" s="1"/>
  <c r="T21" i="22"/>
  <c r="T24" i="22" s="1"/>
  <c r="T20" i="22"/>
  <c r="T34" i="22"/>
  <c r="T37" i="22" s="1"/>
  <c r="T33" i="22"/>
  <c r="M64" i="9" l="1"/>
  <c r="M66" i="9" s="1"/>
  <c r="M80" i="9" s="1"/>
  <c r="M82" i="9" s="1"/>
  <c r="M84" i="9" s="1"/>
  <c r="M64" i="10"/>
  <c r="M66" i="10" s="1"/>
  <c r="M79" i="10" s="1"/>
  <c r="M81" i="10" s="1"/>
  <c r="N20" i="5"/>
  <c r="N22" i="5" s="1"/>
  <c r="N30" i="5" s="1"/>
  <c r="N32" i="5" s="1"/>
  <c r="M64" i="12"/>
  <c r="M66" i="12" s="1"/>
  <c r="M80" i="12" s="1"/>
  <c r="M82" i="12" s="1"/>
  <c r="M84" i="12" s="1"/>
  <c r="M64" i="11"/>
  <c r="M66" i="11" s="1"/>
  <c r="M79" i="11" s="1"/>
  <c r="M81" i="11" s="1"/>
  <c r="M64" i="13"/>
  <c r="M66" i="13" s="1"/>
  <c r="M64" i="14"/>
  <c r="M66" i="14" s="1"/>
  <c r="O73" i="22"/>
  <c r="P52" i="22"/>
  <c r="T28" i="22"/>
  <c r="U12" i="22" s="1"/>
  <c r="T27" i="22"/>
  <c r="O19" i="5"/>
  <c r="N15" i="8"/>
  <c r="N16" i="8" s="1"/>
  <c r="N19" i="8" s="1"/>
  <c r="T40" i="22"/>
  <c r="T41" i="22"/>
  <c r="T44" i="22" s="1"/>
  <c r="O39" i="9"/>
  <c r="O41" i="9" s="1"/>
  <c r="O39" i="10"/>
  <c r="O41" i="10" s="1"/>
  <c r="O39" i="12"/>
  <c r="O41" i="12" s="1"/>
  <c r="O39" i="11"/>
  <c r="O41" i="11" s="1"/>
  <c r="O39" i="13"/>
  <c r="O41" i="13" s="1"/>
  <c r="O39" i="14"/>
  <c r="O41" i="14" s="1"/>
  <c r="O42" i="4"/>
  <c r="P15" i="5"/>
  <c r="P17" i="5" s="1"/>
  <c r="O77" i="22"/>
  <c r="O59" i="9" l="1"/>
  <c r="O61" i="9" s="1"/>
  <c r="O59" i="10"/>
  <c r="O61" i="10" s="1"/>
  <c r="O79" i="22"/>
  <c r="O59" i="12"/>
  <c r="O61" i="12" s="1"/>
  <c r="O59" i="11"/>
  <c r="O61" i="11" s="1"/>
  <c r="O59" i="13"/>
  <c r="O61" i="13" s="1"/>
  <c r="O59" i="14"/>
  <c r="O61" i="14" s="1"/>
  <c r="O43" i="10"/>
  <c r="O44" i="10" s="1"/>
  <c r="O88" i="10"/>
  <c r="O91" i="10" s="1"/>
  <c r="O94" i="10" s="1"/>
  <c r="O44" i="9"/>
  <c r="O43" i="9"/>
  <c r="O46" i="9" s="1"/>
  <c r="O91" i="9"/>
  <c r="O94" i="9" s="1"/>
  <c r="O97" i="9" s="1"/>
  <c r="U13" i="22"/>
  <c r="U14" i="22"/>
  <c r="U17" i="22" s="1"/>
  <c r="O43" i="12"/>
  <c r="O46" i="12"/>
  <c r="O91" i="12"/>
  <c r="O94" i="12" s="1"/>
  <c r="O97" i="12" s="1"/>
  <c r="O44" i="12"/>
  <c r="T48" i="22"/>
  <c r="U32" i="22" s="1"/>
  <c r="T47" i="22"/>
  <c r="O12" i="8"/>
  <c r="O43" i="11"/>
  <c r="O44" i="11" s="1"/>
  <c r="O46" i="11" s="1"/>
  <c r="O88" i="11"/>
  <c r="O91" i="11" s="1"/>
  <c r="O94" i="11" s="1"/>
  <c r="O43" i="14"/>
  <c r="O44" i="14" s="1"/>
  <c r="O46" i="14" s="1"/>
  <c r="O85" i="14"/>
  <c r="O88" i="14" s="1"/>
  <c r="O91" i="14" s="1"/>
  <c r="O43" i="13"/>
  <c r="O44" i="13"/>
  <c r="O46" i="13" s="1"/>
  <c r="O92" i="13"/>
  <c r="O95" i="13" s="1"/>
  <c r="O98" i="13" s="1"/>
  <c r="O78" i="13"/>
  <c r="O80" i="13" s="1"/>
  <c r="O87" i="13" s="1"/>
  <c r="P53" i="22"/>
  <c r="P72" i="22"/>
  <c r="P54" i="22"/>
  <c r="P57" i="22" s="1"/>
  <c r="N21" i="8"/>
  <c r="N22" i="8"/>
  <c r="N24" i="8" s="1"/>
  <c r="O81" i="9"/>
  <c r="O80" i="10"/>
  <c r="O81" i="12"/>
  <c r="O80" i="11"/>
  <c r="N64" i="9" l="1"/>
  <c r="N66" i="9" s="1"/>
  <c r="N80" i="9" s="1"/>
  <c r="N82" i="9" s="1"/>
  <c r="N84" i="9" s="1"/>
  <c r="O20" i="5"/>
  <c r="O22" i="5" s="1"/>
  <c r="O30" i="5" s="1"/>
  <c r="O32" i="5" s="1"/>
  <c r="N64" i="10"/>
  <c r="N66" i="10" s="1"/>
  <c r="N79" i="10" s="1"/>
  <c r="N81" i="10" s="1"/>
  <c r="N64" i="12"/>
  <c r="N66" i="12" s="1"/>
  <c r="N80" i="12" s="1"/>
  <c r="N82" i="12" s="1"/>
  <c r="N84" i="12" s="1"/>
  <c r="N64" i="11"/>
  <c r="N66" i="11" s="1"/>
  <c r="N79" i="11" s="1"/>
  <c r="N81" i="11" s="1"/>
  <c r="N64" i="13"/>
  <c r="N66" i="13" s="1"/>
  <c r="N64" i="14"/>
  <c r="N66" i="14" s="1"/>
  <c r="O96" i="14"/>
  <c r="O99" i="14"/>
  <c r="O63" i="14" s="1"/>
  <c r="O94" i="14"/>
  <c r="O97" i="14" s="1"/>
  <c r="P93" i="14" s="1"/>
  <c r="O101" i="13"/>
  <c r="O103" i="13"/>
  <c r="O106" i="13"/>
  <c r="O108" i="13" s="1"/>
  <c r="O63" i="13" s="1"/>
  <c r="O99" i="11"/>
  <c r="O102" i="11" s="1"/>
  <c r="O63" i="11" s="1"/>
  <c r="O97" i="11"/>
  <c r="O100" i="11" s="1"/>
  <c r="P96" i="11" s="1"/>
  <c r="U33" i="22"/>
  <c r="U34" i="22"/>
  <c r="U37" i="22" s="1"/>
  <c r="O100" i="12"/>
  <c r="O105" i="12"/>
  <c r="O63" i="12" s="1"/>
  <c r="O102" i="12"/>
  <c r="O46" i="10"/>
  <c r="O44" i="4"/>
  <c r="O47" i="4" s="1"/>
  <c r="O100" i="9"/>
  <c r="O102" i="9"/>
  <c r="P60" i="22"/>
  <c r="P61" i="22"/>
  <c r="P64" i="22" s="1"/>
  <c r="U20" i="22"/>
  <c r="U21" i="22"/>
  <c r="U24" i="22" s="1"/>
  <c r="O97" i="10"/>
  <c r="O99" i="10"/>
  <c r="O102" i="10" s="1"/>
  <c r="O45" i="4"/>
  <c r="O63" i="10" l="1"/>
  <c r="O8" i="8"/>
  <c r="P91" i="22"/>
  <c r="P40" i="4" s="1"/>
  <c r="P68" i="22"/>
  <c r="P67" i="22"/>
  <c r="P76" i="22" s="1"/>
  <c r="O103" i="12"/>
  <c r="P99" i="12" s="1"/>
  <c r="O100" i="10"/>
  <c r="P96" i="10" s="1"/>
  <c r="U28" i="22"/>
  <c r="U27" i="22"/>
  <c r="O105" i="9"/>
  <c r="O63" i="9" s="1"/>
  <c r="U40" i="22"/>
  <c r="U41" i="22"/>
  <c r="U44" i="22" s="1"/>
  <c r="O103" i="9"/>
  <c r="P99" i="9" s="1"/>
  <c r="O104" i="13"/>
  <c r="P100" i="13" s="1"/>
  <c r="Q15" i="5" l="1"/>
  <c r="Q17" i="5" s="1"/>
  <c r="P77" i="22"/>
  <c r="P73" i="22"/>
  <c r="Q52" i="22"/>
  <c r="U48" i="22"/>
  <c r="U47" i="22"/>
  <c r="P39" i="9"/>
  <c r="P41" i="9" s="1"/>
  <c r="P39" i="10"/>
  <c r="P41" i="10" s="1"/>
  <c r="P39" i="12"/>
  <c r="P41" i="12" s="1"/>
  <c r="P39" i="11"/>
  <c r="P41" i="11" s="1"/>
  <c r="P39" i="13"/>
  <c r="P41" i="13" s="1"/>
  <c r="P39" i="14"/>
  <c r="P41" i="14" s="1"/>
  <c r="P42" i="4"/>
  <c r="P19" i="5"/>
  <c r="O15" i="8"/>
  <c r="O16" i="8" s="1"/>
  <c r="O19" i="8" s="1"/>
  <c r="P91" i="9" l="1"/>
  <c r="P94" i="9" s="1"/>
  <c r="P97" i="9" s="1"/>
  <c r="P43" i="9"/>
  <c r="P12" i="8"/>
  <c r="P43" i="14"/>
  <c r="P46" i="14" s="1"/>
  <c r="P44" i="14"/>
  <c r="P85" i="14"/>
  <c r="P88" i="14" s="1"/>
  <c r="P91" i="14" s="1"/>
  <c r="P78" i="13"/>
  <c r="P80" i="13" s="1"/>
  <c r="P87" i="13" s="1"/>
  <c r="P92" i="13"/>
  <c r="P95" i="13" s="1"/>
  <c r="P98" i="13" s="1"/>
  <c r="P43" i="13"/>
  <c r="P44" i="13"/>
  <c r="P46" i="13"/>
  <c r="P81" i="9"/>
  <c r="P80" i="10"/>
  <c r="P81" i="12"/>
  <c r="P80" i="11"/>
  <c r="P43" i="11"/>
  <c r="P88" i="11"/>
  <c r="P91" i="11" s="1"/>
  <c r="P94" i="11" s="1"/>
  <c r="P44" i="11"/>
  <c r="P46" i="11" s="1"/>
  <c r="P44" i="12"/>
  <c r="P43" i="12"/>
  <c r="P46" i="12" s="1"/>
  <c r="P91" i="12"/>
  <c r="P94" i="12" s="1"/>
  <c r="P97" i="12" s="1"/>
  <c r="O21" i="8"/>
  <c r="O22" i="8" s="1"/>
  <c r="O24" i="8" s="1"/>
  <c r="Q72" i="22"/>
  <c r="Q54" i="22"/>
  <c r="Q57" i="22" s="1"/>
  <c r="Q53" i="22"/>
  <c r="P59" i="9"/>
  <c r="P61" i="9" s="1"/>
  <c r="P59" i="10"/>
  <c r="P61" i="10" s="1"/>
  <c r="P79" i="22"/>
  <c r="P59" i="12"/>
  <c r="P61" i="12" s="1"/>
  <c r="P59" i="11"/>
  <c r="P61" i="11" s="1"/>
  <c r="P59" i="14"/>
  <c r="P61" i="14" s="1"/>
  <c r="P59" i="13"/>
  <c r="P61" i="13" s="1"/>
  <c r="P88" i="10"/>
  <c r="P91" i="10" s="1"/>
  <c r="P94" i="10" s="1"/>
  <c r="P43" i="10"/>
  <c r="O64" i="9" l="1"/>
  <c r="O66" i="9" s="1"/>
  <c r="O80" i="9" s="1"/>
  <c r="O82" i="9" s="1"/>
  <c r="O84" i="9" s="1"/>
  <c r="O64" i="10"/>
  <c r="O66" i="10" s="1"/>
  <c r="O79" i="10" s="1"/>
  <c r="O81" i="10" s="1"/>
  <c r="P20" i="5"/>
  <c r="P22" i="5" s="1"/>
  <c r="P30" i="5" s="1"/>
  <c r="P32" i="5" s="1"/>
  <c r="O64" i="12"/>
  <c r="O66" i="12" s="1"/>
  <c r="O80" i="12" s="1"/>
  <c r="O82" i="12" s="1"/>
  <c r="O84" i="12" s="1"/>
  <c r="O64" i="11"/>
  <c r="O66" i="11" s="1"/>
  <c r="O79" i="11" s="1"/>
  <c r="O81" i="11" s="1"/>
  <c r="O64" i="13"/>
  <c r="O66" i="13" s="1"/>
  <c r="O64" i="14"/>
  <c r="O66" i="14" s="1"/>
  <c r="Q60" i="22"/>
  <c r="Q61" i="22"/>
  <c r="Q64" i="22" s="1"/>
  <c r="P101" i="13"/>
  <c r="P104" i="13" s="1"/>
  <c r="Q100" i="13" s="1"/>
  <c r="P103" i="13"/>
  <c r="P99" i="11"/>
  <c r="P97" i="11"/>
  <c r="P100" i="11" s="1"/>
  <c r="Q96" i="11" s="1"/>
  <c r="P102" i="11"/>
  <c r="P63" i="11" s="1"/>
  <c r="P102" i="9"/>
  <c r="P100" i="9"/>
  <c r="P44" i="10"/>
  <c r="P46" i="10" s="1"/>
  <c r="P94" i="14"/>
  <c r="P97" i="14" s="1"/>
  <c r="Q93" i="14" s="1"/>
  <c r="P99" i="14"/>
  <c r="P63" i="14" s="1"/>
  <c r="P96" i="14"/>
  <c r="P44" i="9"/>
  <c r="P46" i="9" s="1"/>
  <c r="P44" i="4"/>
  <c r="P97" i="10"/>
  <c r="P100" i="10" s="1"/>
  <c r="Q96" i="10" s="1"/>
  <c r="P99" i="10"/>
  <c r="P102" i="10" s="1"/>
  <c r="P102" i="12"/>
  <c r="P105" i="12" s="1"/>
  <c r="P63" i="12" s="1"/>
  <c r="P100" i="12"/>
  <c r="P63" i="10" l="1"/>
  <c r="P45" i="4"/>
  <c r="P47" i="4" s="1"/>
  <c r="P103" i="12"/>
  <c r="Q99" i="12" s="1"/>
  <c r="Q67" i="22"/>
  <c r="Q68" i="22"/>
  <c r="P105" i="9"/>
  <c r="P63" i="9" s="1"/>
  <c r="P103" i="9"/>
  <c r="Q99" i="9" s="1"/>
  <c r="P106" i="13"/>
  <c r="P108" i="13" s="1"/>
  <c r="P63" i="13" s="1"/>
  <c r="R52" i="22" l="1"/>
  <c r="Q73" i="22"/>
  <c r="P8" i="8"/>
  <c r="Q76" i="22"/>
  <c r="Q91" i="22"/>
  <c r="Q40" i="4" s="1"/>
  <c r="Q39" i="9" l="1"/>
  <c r="Q41" i="9" s="1"/>
  <c r="Q39" i="10"/>
  <c r="Q41" i="10" s="1"/>
  <c r="Q39" i="12"/>
  <c r="Q41" i="12" s="1"/>
  <c r="Q39" i="11"/>
  <c r="Q41" i="11" s="1"/>
  <c r="Q39" i="13"/>
  <c r="Q41" i="13" s="1"/>
  <c r="Q39" i="14"/>
  <c r="Q41" i="14" s="1"/>
  <c r="Q42" i="4"/>
  <c r="Q19" i="5"/>
  <c r="P15" i="8"/>
  <c r="P16" i="8" s="1"/>
  <c r="P19" i="8" s="1"/>
  <c r="R15" i="5"/>
  <c r="R17" i="5" s="1"/>
  <c r="Q77" i="22"/>
  <c r="Q81" i="9"/>
  <c r="Q80" i="10"/>
  <c r="Q81" i="12"/>
  <c r="Q80" i="11"/>
  <c r="R53" i="22"/>
  <c r="R54" i="22"/>
  <c r="R57" i="22" s="1"/>
  <c r="R72" i="22"/>
  <c r="Q12" i="8" l="1"/>
  <c r="Q43" i="11"/>
  <c r="Q46" i="11" s="1"/>
  <c r="Q44" i="11"/>
  <c r="Q88" i="11"/>
  <c r="Q91" i="11" s="1"/>
  <c r="Q94" i="11" s="1"/>
  <c r="Q43" i="13"/>
  <c r="Q78" i="13"/>
  <c r="Q80" i="13" s="1"/>
  <c r="Q87" i="13" s="1"/>
  <c r="Q92" i="13"/>
  <c r="Q95" i="13" s="1"/>
  <c r="Q98" i="13" s="1"/>
  <c r="Q59" i="9"/>
  <c r="Q61" i="9" s="1"/>
  <c r="Q79" i="22"/>
  <c r="Q59" i="10"/>
  <c r="Q61" i="10" s="1"/>
  <c r="Q59" i="12"/>
  <c r="Q61" i="12" s="1"/>
  <c r="Q59" i="11"/>
  <c r="Q61" i="11" s="1"/>
  <c r="Q59" i="13"/>
  <c r="Q61" i="13" s="1"/>
  <c r="Q59" i="14"/>
  <c r="Q61" i="14" s="1"/>
  <c r="Q91" i="12"/>
  <c r="Q94" i="12" s="1"/>
  <c r="Q97" i="12" s="1"/>
  <c r="Q44" i="12"/>
  <c r="Q46" i="12" s="1"/>
  <c r="Q43" i="12"/>
  <c r="Q43" i="14"/>
  <c r="Q44" i="14"/>
  <c r="Q46" i="14" s="1"/>
  <c r="Q85" i="14"/>
  <c r="Q88" i="14" s="1"/>
  <c r="Q91" i="14" s="1"/>
  <c r="Q43" i="10"/>
  <c r="Q88" i="10"/>
  <c r="Q91" i="10" s="1"/>
  <c r="Q94" i="10" s="1"/>
  <c r="Q44" i="10"/>
  <c r="Q46" i="10" s="1"/>
  <c r="R61" i="22"/>
  <c r="R64" i="22" s="1"/>
  <c r="R60" i="22"/>
  <c r="P21" i="8"/>
  <c r="P22" i="8"/>
  <c r="P24" i="8" s="1"/>
  <c r="Q46" i="9"/>
  <c r="Q44" i="9"/>
  <c r="Q91" i="9"/>
  <c r="Q94" i="9" s="1"/>
  <c r="Q97" i="9" s="1"/>
  <c r="Q43" i="9"/>
  <c r="P64" i="9" l="1"/>
  <c r="P66" i="9" s="1"/>
  <c r="P80" i="9" s="1"/>
  <c r="P82" i="9" s="1"/>
  <c r="P84" i="9" s="1"/>
  <c r="P64" i="10"/>
  <c r="P66" i="10" s="1"/>
  <c r="P79" i="10" s="1"/>
  <c r="P81" i="10" s="1"/>
  <c r="Q20" i="5"/>
  <c r="Q22" i="5" s="1"/>
  <c r="Q30" i="5" s="1"/>
  <c r="Q32" i="5" s="1"/>
  <c r="P64" i="12"/>
  <c r="P66" i="12" s="1"/>
  <c r="P80" i="12" s="1"/>
  <c r="P82" i="12" s="1"/>
  <c r="P84" i="12" s="1"/>
  <c r="P64" i="11"/>
  <c r="P66" i="11" s="1"/>
  <c r="P79" i="11" s="1"/>
  <c r="P81" i="11" s="1"/>
  <c r="P64" i="13"/>
  <c r="P66" i="13" s="1"/>
  <c r="P64" i="14"/>
  <c r="P66" i="14" s="1"/>
  <c r="Q99" i="11"/>
  <c r="Q102" i="11"/>
  <c r="Q63" i="11" s="1"/>
  <c r="Q97" i="11"/>
  <c r="Q97" i="10"/>
  <c r="Q99" i="10"/>
  <c r="Q102" i="10" s="1"/>
  <c r="Q103" i="13"/>
  <c r="Q106" i="13"/>
  <c r="Q108" i="13" s="1"/>
  <c r="Q63" i="13" s="1"/>
  <c r="Q101" i="13"/>
  <c r="Q102" i="12"/>
  <c r="Q105" i="12" s="1"/>
  <c r="Q63" i="12" s="1"/>
  <c r="Q100" i="12"/>
  <c r="Q105" i="9"/>
  <c r="Q63" i="9" s="1"/>
  <c r="Q102" i="9"/>
  <c r="Q100" i="9"/>
  <c r="Q103" i="9" s="1"/>
  <c r="Q44" i="4"/>
  <c r="Q96" i="14"/>
  <c r="Q99" i="14" s="1"/>
  <c r="Q63" i="14" s="1"/>
  <c r="Q94" i="14"/>
  <c r="Q97" i="14" s="1"/>
  <c r="R68" i="22"/>
  <c r="R67" i="22"/>
  <c r="R91" i="22" s="1"/>
  <c r="R40" i="4" s="1"/>
  <c r="Q44" i="13"/>
  <c r="Q63" i="10" l="1"/>
  <c r="Q8" i="8"/>
  <c r="R39" i="9"/>
  <c r="R41" i="9" s="1"/>
  <c r="R39" i="10"/>
  <c r="R41" i="10" s="1"/>
  <c r="R39" i="12"/>
  <c r="R41" i="12" s="1"/>
  <c r="R39" i="11"/>
  <c r="R41" i="11" s="1"/>
  <c r="R39" i="14"/>
  <c r="R41" i="14" s="1"/>
  <c r="R39" i="13"/>
  <c r="R41" i="13" s="1"/>
  <c r="R42" i="4"/>
  <c r="R76" i="22"/>
  <c r="Q100" i="10"/>
  <c r="S52" i="22"/>
  <c r="R73" i="22"/>
  <c r="Q104" i="13"/>
  <c r="Q100" i="11"/>
  <c r="Q103" i="12"/>
  <c r="Q45" i="4"/>
  <c r="Q46" i="13"/>
  <c r="Q47" i="4"/>
  <c r="R88" i="11" l="1"/>
  <c r="R91" i="11" s="1"/>
  <c r="R94" i="11" s="1"/>
  <c r="R43" i="11"/>
  <c r="R44" i="11" s="1"/>
  <c r="R46" i="11" s="1"/>
  <c r="R43" i="12"/>
  <c r="R46" i="12" s="1"/>
  <c r="R44" i="12"/>
  <c r="R91" i="12"/>
  <c r="R94" i="12" s="1"/>
  <c r="R97" i="12" s="1"/>
  <c r="R43" i="14"/>
  <c r="R44" i="14" s="1"/>
  <c r="R85" i="14"/>
  <c r="R88" i="14" s="1"/>
  <c r="R91" i="14" s="1"/>
  <c r="R81" i="9"/>
  <c r="R80" i="10"/>
  <c r="R81" i="12"/>
  <c r="R80" i="11"/>
  <c r="S53" i="22"/>
  <c r="S54" i="22"/>
  <c r="S57" i="22" s="1"/>
  <c r="S72" i="22"/>
  <c r="R43" i="10"/>
  <c r="R46" i="10" s="1"/>
  <c r="R44" i="10"/>
  <c r="R88" i="10"/>
  <c r="R91" i="10" s="1"/>
  <c r="R94" i="10" s="1"/>
  <c r="R43" i="9"/>
  <c r="R44" i="9" s="1"/>
  <c r="R46" i="9" s="1"/>
  <c r="R91" i="9"/>
  <c r="R94" i="9" s="1"/>
  <c r="R97" i="9" s="1"/>
  <c r="R19" i="5"/>
  <c r="Q15" i="8"/>
  <c r="Q16" i="8" s="1"/>
  <c r="Q19" i="8" s="1"/>
  <c r="R78" i="13"/>
  <c r="R80" i="13" s="1"/>
  <c r="R87" i="13" s="1"/>
  <c r="R43" i="13"/>
  <c r="R44" i="4" s="1"/>
  <c r="R92" i="13"/>
  <c r="R95" i="13" s="1"/>
  <c r="R98" i="13" s="1"/>
  <c r="S15" i="5"/>
  <c r="S17" i="5" s="1"/>
  <c r="R77" i="22"/>
  <c r="R12" i="8"/>
  <c r="R108" i="13" l="1"/>
  <c r="R63" i="13" s="1"/>
  <c r="R102" i="12"/>
  <c r="R105" i="12"/>
  <c r="R63" i="12" s="1"/>
  <c r="R100" i="12"/>
  <c r="R99" i="10"/>
  <c r="R102" i="10" s="1"/>
  <c r="R97" i="10"/>
  <c r="R100" i="10" s="1"/>
  <c r="S96" i="10" s="1"/>
  <c r="R44" i="13"/>
  <c r="R45" i="4" s="1"/>
  <c r="R47" i="4" s="1"/>
  <c r="Q21" i="8"/>
  <c r="Q22" i="8" s="1"/>
  <c r="Q24" i="8" s="1"/>
  <c r="R46" i="14"/>
  <c r="R59" i="9"/>
  <c r="R61" i="9" s="1"/>
  <c r="R59" i="10"/>
  <c r="R61" i="10" s="1"/>
  <c r="R79" i="22"/>
  <c r="R59" i="12"/>
  <c r="R61" i="12" s="1"/>
  <c r="R59" i="11"/>
  <c r="R61" i="11" s="1"/>
  <c r="R59" i="13"/>
  <c r="R61" i="13" s="1"/>
  <c r="R59" i="14"/>
  <c r="R61" i="14" s="1"/>
  <c r="R96" i="14"/>
  <c r="R99" i="14"/>
  <c r="R63" i="14" s="1"/>
  <c r="R94" i="14"/>
  <c r="R97" i="14" s="1"/>
  <c r="S93" i="14" s="1"/>
  <c r="R97" i="11"/>
  <c r="R99" i="11"/>
  <c r="R102" i="11"/>
  <c r="R63" i="11" s="1"/>
  <c r="R103" i="13"/>
  <c r="R106" i="13"/>
  <c r="R101" i="13"/>
  <c r="R104" i="13" s="1"/>
  <c r="S100" i="13" s="1"/>
  <c r="R102" i="9"/>
  <c r="R105" i="9" s="1"/>
  <c r="R63" i="9" s="1"/>
  <c r="R100" i="9"/>
  <c r="R103" i="9" s="1"/>
  <c r="S99" i="9" s="1"/>
  <c r="S60" i="22"/>
  <c r="S61" i="22"/>
  <c r="S64" i="22" s="1"/>
  <c r="Q64" i="9" l="1"/>
  <c r="Q66" i="9" s="1"/>
  <c r="Q80" i="9" s="1"/>
  <c r="Q82" i="9" s="1"/>
  <c r="Q84" i="9" s="1"/>
  <c r="Q64" i="10"/>
  <c r="Q66" i="10" s="1"/>
  <c r="Q79" i="10" s="1"/>
  <c r="Q81" i="10" s="1"/>
  <c r="R20" i="5"/>
  <c r="R22" i="5" s="1"/>
  <c r="R30" i="5" s="1"/>
  <c r="R32" i="5" s="1"/>
  <c r="Q64" i="12"/>
  <c r="Q66" i="12" s="1"/>
  <c r="Q80" i="12" s="1"/>
  <c r="Q82" i="12" s="1"/>
  <c r="Q84" i="12" s="1"/>
  <c r="Q64" i="11"/>
  <c r="Q66" i="11" s="1"/>
  <c r="Q79" i="11" s="1"/>
  <c r="Q81" i="11" s="1"/>
  <c r="Q64" i="14"/>
  <c r="Q66" i="14" s="1"/>
  <c r="Q64" i="13"/>
  <c r="Q66" i="13" s="1"/>
  <c r="R63" i="10"/>
  <c r="R8" i="8"/>
  <c r="S91" i="22"/>
  <c r="S40" i="4" s="1"/>
  <c r="R100" i="11"/>
  <c r="S96" i="11" s="1"/>
  <c r="R46" i="13"/>
  <c r="S68" i="22"/>
  <c r="S67" i="22"/>
  <c r="S76" i="22" s="1"/>
  <c r="R103" i="12"/>
  <c r="S99" i="12" s="1"/>
  <c r="T15" i="5" l="1"/>
  <c r="T17" i="5" s="1"/>
  <c r="S77" i="22"/>
  <c r="T52" i="22"/>
  <c r="S73" i="22"/>
  <c r="S39" i="9"/>
  <c r="S41" i="9" s="1"/>
  <c r="S39" i="10"/>
  <c r="S41" i="10" s="1"/>
  <c r="S39" i="12"/>
  <c r="S41" i="12" s="1"/>
  <c r="S39" i="11"/>
  <c r="S41" i="11" s="1"/>
  <c r="S39" i="13"/>
  <c r="S41" i="13" s="1"/>
  <c r="S39" i="14"/>
  <c r="S41" i="14" s="1"/>
  <c r="S42" i="4"/>
  <c r="S19" i="5"/>
  <c r="R15" i="8"/>
  <c r="R16" i="8" s="1"/>
  <c r="R19" i="8" s="1"/>
  <c r="R21" i="8" l="1"/>
  <c r="R22" i="8" s="1"/>
  <c r="R24" i="8" s="1"/>
  <c r="S43" i="9"/>
  <c r="S46" i="9"/>
  <c r="S91" i="9"/>
  <c r="S94" i="9" s="1"/>
  <c r="S97" i="9" s="1"/>
  <c r="S44" i="9"/>
  <c r="S43" i="10"/>
  <c r="S44" i="10"/>
  <c r="S46" i="10" s="1"/>
  <c r="S88" i="10"/>
  <c r="S91" i="10" s="1"/>
  <c r="S94" i="10" s="1"/>
  <c r="S81" i="9"/>
  <c r="S80" i="10"/>
  <c r="S81" i="12"/>
  <c r="S80" i="11"/>
  <c r="S85" i="14"/>
  <c r="S88" i="14" s="1"/>
  <c r="S91" i="14" s="1"/>
  <c r="S43" i="14"/>
  <c r="S78" i="13"/>
  <c r="S80" i="13" s="1"/>
  <c r="S87" i="13" s="1"/>
  <c r="S92" i="13"/>
  <c r="S95" i="13" s="1"/>
  <c r="S98" i="13" s="1"/>
  <c r="S46" i="13"/>
  <c r="S43" i="13"/>
  <c r="S44" i="13"/>
  <c r="S12" i="8"/>
  <c r="T54" i="22"/>
  <c r="T57" i="22" s="1"/>
  <c r="T53" i="22"/>
  <c r="T72" i="22"/>
  <c r="S88" i="11"/>
  <c r="S91" i="11" s="1"/>
  <c r="S94" i="11" s="1"/>
  <c r="S43" i="11"/>
  <c r="S44" i="11" s="1"/>
  <c r="S59" i="9"/>
  <c r="S61" i="9" s="1"/>
  <c r="S59" i="10"/>
  <c r="S61" i="10" s="1"/>
  <c r="S79" i="22"/>
  <c r="S59" i="12"/>
  <c r="S61" i="12" s="1"/>
  <c r="S59" i="11"/>
  <c r="S61" i="11" s="1"/>
  <c r="S59" i="14"/>
  <c r="S61" i="14" s="1"/>
  <c r="S59" i="13"/>
  <c r="S61" i="13" s="1"/>
  <c r="S43" i="12"/>
  <c r="S44" i="12" s="1"/>
  <c r="S91" i="12"/>
  <c r="S94" i="12" s="1"/>
  <c r="S97" i="12" s="1"/>
  <c r="R64" i="9" l="1"/>
  <c r="R66" i="9" s="1"/>
  <c r="R80" i="9" s="1"/>
  <c r="R82" i="9" s="1"/>
  <c r="R84" i="9" s="1"/>
  <c r="R64" i="10"/>
  <c r="R66" i="10" s="1"/>
  <c r="R79" i="10" s="1"/>
  <c r="R81" i="10" s="1"/>
  <c r="S20" i="5"/>
  <c r="S22" i="5" s="1"/>
  <c r="S30" i="5" s="1"/>
  <c r="S32" i="5" s="1"/>
  <c r="R64" i="12"/>
  <c r="R66" i="12" s="1"/>
  <c r="R80" i="12" s="1"/>
  <c r="R82" i="12" s="1"/>
  <c r="R84" i="12" s="1"/>
  <c r="R64" i="11"/>
  <c r="R66" i="11" s="1"/>
  <c r="R79" i="11" s="1"/>
  <c r="R81" i="11" s="1"/>
  <c r="R64" i="13"/>
  <c r="R66" i="13" s="1"/>
  <c r="R64" i="14"/>
  <c r="R66" i="14" s="1"/>
  <c r="S99" i="11"/>
  <c r="T98" i="11" s="1"/>
  <c r="S102" i="11"/>
  <c r="S63" i="11" s="1"/>
  <c r="S97" i="11"/>
  <c r="S44" i="14"/>
  <c r="S46" i="14" s="1"/>
  <c r="S46" i="11"/>
  <c r="S44" i="4"/>
  <c r="S100" i="9"/>
  <c r="S103" i="9" s="1"/>
  <c r="T99" i="9" s="1"/>
  <c r="S102" i="9"/>
  <c r="T101" i="9" s="1"/>
  <c r="S100" i="12"/>
  <c r="S103" i="12" s="1"/>
  <c r="T99" i="12" s="1"/>
  <c r="S102" i="12"/>
  <c r="T101" i="12" s="1"/>
  <c r="S105" i="12"/>
  <c r="S63" i="12" s="1"/>
  <c r="S46" i="12"/>
  <c r="S101" i="13"/>
  <c r="S104" i="13" s="1"/>
  <c r="T100" i="13" s="1"/>
  <c r="S103" i="13"/>
  <c r="T102" i="13" s="1"/>
  <c r="T61" i="22"/>
  <c r="T64" i="22" s="1"/>
  <c r="T60" i="22"/>
  <c r="S99" i="10"/>
  <c r="T98" i="10" s="1"/>
  <c r="S102" i="10"/>
  <c r="S97" i="10"/>
  <c r="S96" i="14"/>
  <c r="T95" i="14" s="1"/>
  <c r="S94" i="14"/>
  <c r="S97" i="14" s="1"/>
  <c r="T93" i="14" s="1"/>
  <c r="S99" i="14"/>
  <c r="S63" i="14" s="1"/>
  <c r="S63" i="10" l="1"/>
  <c r="S100" i="11"/>
  <c r="T96" i="11" s="1"/>
  <c r="S105" i="9"/>
  <c r="S63" i="9" s="1"/>
  <c r="S45" i="4"/>
  <c r="S47" i="4" s="1"/>
  <c r="T67" i="22"/>
  <c r="T76" i="22" s="1"/>
  <c r="T68" i="22"/>
  <c r="S100" i="10"/>
  <c r="T96" i="10" s="1"/>
  <c r="S106" i="13"/>
  <c r="S108" i="13" s="1"/>
  <c r="S63" i="13" s="1"/>
  <c r="U15" i="5" l="1"/>
  <c r="U17" i="5" s="1"/>
  <c r="T77" i="22"/>
  <c r="T73" i="22"/>
  <c r="U52" i="22"/>
  <c r="S8" i="8"/>
  <c r="T91" i="22"/>
  <c r="T40" i="4" s="1"/>
  <c r="T39" i="9" l="1"/>
  <c r="T41" i="9" s="1"/>
  <c r="T39" i="10"/>
  <c r="T41" i="10" s="1"/>
  <c r="T39" i="12"/>
  <c r="T41" i="12" s="1"/>
  <c r="T39" i="11"/>
  <c r="T41" i="11" s="1"/>
  <c r="T39" i="13"/>
  <c r="T41" i="13" s="1"/>
  <c r="T39" i="14"/>
  <c r="T41" i="14" s="1"/>
  <c r="T42" i="4"/>
  <c r="U72" i="22"/>
  <c r="U53" i="22"/>
  <c r="U54" i="22"/>
  <c r="U57" i="22" s="1"/>
  <c r="T81" i="9"/>
  <c r="T80" i="10"/>
  <c r="T81" i="12"/>
  <c r="T80" i="11"/>
  <c r="T59" i="9"/>
  <c r="T61" i="9" s="1"/>
  <c r="T59" i="10"/>
  <c r="T61" i="10" s="1"/>
  <c r="T79" i="22"/>
  <c r="T59" i="11"/>
  <c r="T61" i="11" s="1"/>
  <c r="T59" i="12"/>
  <c r="T61" i="12" s="1"/>
  <c r="T59" i="13"/>
  <c r="T61" i="13" s="1"/>
  <c r="T59" i="14"/>
  <c r="T61" i="14" s="1"/>
  <c r="T19" i="5"/>
  <c r="S15" i="8"/>
  <c r="S16" i="8" s="1"/>
  <c r="S19" i="8" s="1"/>
  <c r="T12" i="8" l="1"/>
  <c r="T43" i="13"/>
  <c r="T44" i="4" s="1"/>
  <c r="T92" i="13"/>
  <c r="T95" i="13" s="1"/>
  <c r="T98" i="13" s="1"/>
  <c r="T78" i="13"/>
  <c r="T80" i="13" s="1"/>
  <c r="T87" i="13" s="1"/>
  <c r="S21" i="8"/>
  <c r="S22" i="8"/>
  <c r="S24" i="8" s="1"/>
  <c r="T91" i="12"/>
  <c r="T94" i="12" s="1"/>
  <c r="T97" i="12" s="1"/>
  <c r="T44" i="12"/>
  <c r="T46" i="12" s="1"/>
  <c r="T43" i="12"/>
  <c r="T43" i="14"/>
  <c r="T44" i="14" s="1"/>
  <c r="T85" i="14"/>
  <c r="T88" i="14" s="1"/>
  <c r="T91" i="14" s="1"/>
  <c r="U61" i="22"/>
  <c r="U64" i="22" s="1"/>
  <c r="U60" i="22"/>
  <c r="T43" i="10"/>
  <c r="T46" i="10" s="1"/>
  <c r="T88" i="10"/>
  <c r="T91" i="10" s="1"/>
  <c r="T94" i="10" s="1"/>
  <c r="T44" i="10"/>
  <c r="T43" i="11"/>
  <c r="T46" i="11" s="1"/>
  <c r="T44" i="11"/>
  <c r="T88" i="11"/>
  <c r="T91" i="11" s="1"/>
  <c r="T94" i="11" s="1"/>
  <c r="T43" i="9"/>
  <c r="T91" i="9"/>
  <c r="T94" i="9" s="1"/>
  <c r="T97" i="9" s="1"/>
  <c r="T44" i="9"/>
  <c r="T46" i="9" s="1"/>
  <c r="S64" i="9" l="1"/>
  <c r="S66" i="9" s="1"/>
  <c r="S80" i="9" s="1"/>
  <c r="S82" i="9" s="1"/>
  <c r="S84" i="9" s="1"/>
  <c r="S64" i="10"/>
  <c r="S66" i="10" s="1"/>
  <c r="S79" i="10" s="1"/>
  <c r="S81" i="10" s="1"/>
  <c r="T20" i="5"/>
  <c r="T22" i="5" s="1"/>
  <c r="T30" i="5" s="1"/>
  <c r="T32" i="5" s="1"/>
  <c r="S64" i="12"/>
  <c r="S66" i="12" s="1"/>
  <c r="S80" i="12" s="1"/>
  <c r="S82" i="12" s="1"/>
  <c r="S84" i="12" s="1"/>
  <c r="S64" i="11"/>
  <c r="S66" i="11" s="1"/>
  <c r="S79" i="11" s="1"/>
  <c r="S81" i="11" s="1"/>
  <c r="S64" i="13"/>
  <c r="S66" i="13" s="1"/>
  <c r="S64" i="14"/>
  <c r="S66" i="14" s="1"/>
  <c r="T47" i="4"/>
  <c r="U68" i="22"/>
  <c r="U73" i="22" s="1"/>
  <c r="U67" i="22"/>
  <c r="T100" i="9"/>
  <c r="T102" i="9"/>
  <c r="U101" i="9" s="1"/>
  <c r="T102" i="12"/>
  <c r="U101" i="12" s="1"/>
  <c r="T100" i="12"/>
  <c r="T103" i="12" s="1"/>
  <c r="U99" i="12" s="1"/>
  <c r="T105" i="12"/>
  <c r="T63" i="12" s="1"/>
  <c r="T103" i="13"/>
  <c r="U102" i="13" s="1"/>
  <c r="T106" i="13"/>
  <c r="T108" i="13" s="1"/>
  <c r="T63" i="13" s="1"/>
  <c r="T101" i="13"/>
  <c r="T44" i="13"/>
  <c r="T45" i="4" s="1"/>
  <c r="T97" i="10"/>
  <c r="T99" i="10"/>
  <c r="U98" i="10" s="1"/>
  <c r="T46" i="14"/>
  <c r="T46" i="13"/>
  <c r="T99" i="14"/>
  <c r="T63" i="14" s="1"/>
  <c r="T96" i="14"/>
  <c r="U95" i="14" s="1"/>
  <c r="T94" i="14"/>
  <c r="T97" i="14" s="1"/>
  <c r="U93" i="14" s="1"/>
  <c r="T97" i="11"/>
  <c r="T99" i="11"/>
  <c r="U98" i="11" s="1"/>
  <c r="T102" i="11"/>
  <c r="T63" i="11" s="1"/>
  <c r="T104" i="13" l="1"/>
  <c r="U100" i="13" s="1"/>
  <c r="T103" i="9"/>
  <c r="U99" i="9" s="1"/>
  <c r="T100" i="11"/>
  <c r="U96" i="11" s="1"/>
  <c r="T100" i="10"/>
  <c r="U96" i="10" s="1"/>
  <c r="U76" i="22"/>
  <c r="U91" i="22"/>
  <c r="U40" i="4" s="1"/>
  <c r="U81" i="9"/>
  <c r="W81" i="9" s="1"/>
  <c r="U80" i="10"/>
  <c r="U81" i="12"/>
  <c r="W81" i="12" s="1"/>
  <c r="U80" i="11"/>
  <c r="T102" i="10"/>
  <c r="T105" i="9"/>
  <c r="T63" i="9" s="1"/>
  <c r="U39" i="9" l="1"/>
  <c r="U39" i="10"/>
  <c r="U39" i="12"/>
  <c r="U39" i="11"/>
  <c r="U39" i="14"/>
  <c r="U39" i="13"/>
  <c r="W40" i="4"/>
  <c r="U42" i="4"/>
  <c r="V15" i="5"/>
  <c r="U77" i="22"/>
  <c r="X15" i="5"/>
  <c r="T63" i="10"/>
  <c r="T8" i="8"/>
  <c r="W39" i="11" l="1"/>
  <c r="U41" i="11"/>
  <c r="U12" i="8"/>
  <c r="W42" i="4"/>
  <c r="W39" i="12"/>
  <c r="U41" i="12"/>
  <c r="W39" i="14"/>
  <c r="U41" i="14"/>
  <c r="W15" i="5"/>
  <c r="Y15" i="5" s="1"/>
  <c r="V17" i="5"/>
  <c r="W17" i="5" s="1"/>
  <c r="W39" i="10"/>
  <c r="X40" i="4" s="1"/>
  <c r="Y40" i="4" s="1"/>
  <c r="U41" i="10"/>
  <c r="U19" i="5"/>
  <c r="T15" i="8"/>
  <c r="T16" i="8" s="1"/>
  <c r="T19" i="8" s="1"/>
  <c r="W39" i="13"/>
  <c r="U41" i="13"/>
  <c r="U59" i="9"/>
  <c r="U79" i="22"/>
  <c r="U59" i="10"/>
  <c r="U59" i="12"/>
  <c r="U59" i="11"/>
  <c r="U59" i="14"/>
  <c r="U59" i="13"/>
  <c r="W39" i="9"/>
  <c r="U41" i="9"/>
  <c r="W59" i="11" l="1"/>
  <c r="U61" i="11"/>
  <c r="W59" i="12"/>
  <c r="U61" i="12"/>
  <c r="W59" i="14"/>
  <c r="U61" i="14"/>
  <c r="T22" i="8"/>
  <c r="T24" i="8"/>
  <c r="T21" i="8"/>
  <c r="U43" i="12"/>
  <c r="W43" i="12" s="1"/>
  <c r="U91" i="12"/>
  <c r="U44" i="12"/>
  <c r="W44" i="12" s="1"/>
  <c r="U46" i="12"/>
  <c r="W41" i="12"/>
  <c r="U88" i="11"/>
  <c r="U43" i="11"/>
  <c r="W43" i="11" s="1"/>
  <c r="W41" i="11"/>
  <c r="U88" i="10"/>
  <c r="U43" i="10"/>
  <c r="W43" i="10" s="1"/>
  <c r="W41" i="10"/>
  <c r="W12" i="8"/>
  <c r="G84" i="22"/>
  <c r="D52" i="2" s="1"/>
  <c r="G85" i="22"/>
  <c r="E52" i="2" s="1"/>
  <c r="U78" i="13"/>
  <c r="U80" i="13" s="1"/>
  <c r="U87" i="13" s="1"/>
  <c r="U92" i="13"/>
  <c r="U43" i="13"/>
  <c r="U44" i="13" s="1"/>
  <c r="W41" i="13"/>
  <c r="U43" i="14"/>
  <c r="W43" i="14" s="1"/>
  <c r="U44" i="14"/>
  <c r="W44" i="14" s="1"/>
  <c r="U85" i="14"/>
  <c r="U46" i="14"/>
  <c r="W46" i="14" s="1"/>
  <c r="W41" i="14"/>
  <c r="W59" i="10"/>
  <c r="U61" i="10"/>
  <c r="U43" i="9"/>
  <c r="W43" i="9" s="1"/>
  <c r="U91" i="9"/>
  <c r="W41" i="9"/>
  <c r="W59" i="9"/>
  <c r="U61" i="9"/>
  <c r="W59" i="13"/>
  <c r="U61" i="13"/>
  <c r="W44" i="13" l="1"/>
  <c r="U46" i="13"/>
  <c r="W46" i="13" s="1"/>
  <c r="U88" i="14"/>
  <c r="W85" i="14"/>
  <c r="U91" i="10"/>
  <c r="W88" i="10"/>
  <c r="X12" i="8" s="1"/>
  <c r="Y12" i="8" s="1"/>
  <c r="W61" i="14"/>
  <c r="X44" i="4"/>
  <c r="U94" i="9"/>
  <c r="W91" i="9"/>
  <c r="W61" i="12"/>
  <c r="U44" i="10"/>
  <c r="U94" i="12"/>
  <c r="W91" i="12"/>
  <c r="U95" i="13"/>
  <c r="W92" i="13"/>
  <c r="U44" i="9"/>
  <c r="W61" i="10"/>
  <c r="X17" i="5" s="1"/>
  <c r="U44" i="11"/>
  <c r="W61" i="11"/>
  <c r="T64" i="9"/>
  <c r="T66" i="9" s="1"/>
  <c r="T80" i="9" s="1"/>
  <c r="T82" i="9" s="1"/>
  <c r="T84" i="9" s="1"/>
  <c r="T64" i="10"/>
  <c r="T66" i="10" s="1"/>
  <c r="T79" i="10" s="1"/>
  <c r="T81" i="10" s="1"/>
  <c r="U20" i="5"/>
  <c r="U22" i="5" s="1"/>
  <c r="U30" i="5" s="1"/>
  <c r="U32" i="5" s="1"/>
  <c r="T64" i="12"/>
  <c r="T66" i="12" s="1"/>
  <c r="T80" i="12" s="1"/>
  <c r="T82" i="12" s="1"/>
  <c r="T84" i="12" s="1"/>
  <c r="T64" i="11"/>
  <c r="T66" i="11" s="1"/>
  <c r="T79" i="11" s="1"/>
  <c r="T81" i="11" s="1"/>
  <c r="T64" i="14"/>
  <c r="T66" i="14" s="1"/>
  <c r="T64" i="13"/>
  <c r="T66" i="13" s="1"/>
  <c r="W46" i="12"/>
  <c r="W61" i="13"/>
  <c r="W61" i="9"/>
  <c r="U44" i="4"/>
  <c r="W43" i="13"/>
  <c r="X42" i="4"/>
  <c r="Y42" i="4" s="1"/>
  <c r="U91" i="11"/>
  <c r="W88" i="11"/>
  <c r="U94" i="10" l="1"/>
  <c r="W91" i="10"/>
  <c r="W44" i="9"/>
  <c r="U46" i="9"/>
  <c r="U94" i="11"/>
  <c r="W91" i="11"/>
  <c r="U98" i="13"/>
  <c r="W95" i="13"/>
  <c r="U97" i="9"/>
  <c r="W94" i="9"/>
  <c r="U91" i="14"/>
  <c r="W88" i="14"/>
  <c r="U97" i="12"/>
  <c r="W94" i="12"/>
  <c r="W44" i="10"/>
  <c r="X45" i="4" s="1"/>
  <c r="U46" i="10"/>
  <c r="W44" i="4"/>
  <c r="Y44" i="4" s="1"/>
  <c r="U47" i="4"/>
  <c r="W47" i="4" s="1"/>
  <c r="W44" i="11"/>
  <c r="U46" i="11"/>
  <c r="U45" i="4"/>
  <c r="W45" i="4" s="1"/>
  <c r="Y45" i="4" s="1"/>
  <c r="U102" i="9" l="1"/>
  <c r="U105" i="9" s="1"/>
  <c r="U100" i="9"/>
  <c r="U103" i="13"/>
  <c r="U101" i="13"/>
  <c r="U104" i="13" s="1"/>
  <c r="U106" i="13"/>
  <c r="W46" i="10"/>
  <c r="X47" i="4" s="1"/>
  <c r="Y47" i="4" s="1"/>
  <c r="U97" i="11"/>
  <c r="U100" i="11" s="1"/>
  <c r="U99" i="11"/>
  <c r="U102" i="11"/>
  <c r="W46" i="9"/>
  <c r="U102" i="12"/>
  <c r="U105" i="12"/>
  <c r="U100" i="12"/>
  <c r="U103" i="12" s="1"/>
  <c r="W46" i="11"/>
  <c r="U94" i="14"/>
  <c r="U96" i="14"/>
  <c r="U99" i="14" s="1"/>
  <c r="U99" i="10"/>
  <c r="U102" i="10"/>
  <c r="U97" i="10"/>
  <c r="U100" i="10" s="1"/>
  <c r="U63" i="14" l="1"/>
  <c r="W63" i="14" s="1"/>
  <c r="W99" i="14"/>
  <c r="U63" i="9"/>
  <c r="W63" i="9" s="1"/>
  <c r="W105" i="9"/>
  <c r="U63" i="10"/>
  <c r="W63" i="10" s="1"/>
  <c r="U8" i="8"/>
  <c r="W102" i="10"/>
  <c r="U63" i="12"/>
  <c r="W63" i="12" s="1"/>
  <c r="W105" i="12"/>
  <c r="W106" i="13"/>
  <c r="U108" i="13"/>
  <c r="U103" i="9"/>
  <c r="U97" i="14"/>
  <c r="U63" i="11"/>
  <c r="W63" i="11" s="1"/>
  <c r="W102" i="11"/>
  <c r="V19" i="5" l="1"/>
  <c r="W19" i="5" s="1"/>
  <c r="U15" i="8"/>
  <c r="W8" i="8"/>
  <c r="X8" i="8"/>
  <c r="X19" i="5"/>
  <c r="U63" i="13"/>
  <c r="W63" i="13" s="1"/>
  <c r="W108" i="13"/>
  <c r="X15" i="8" s="1"/>
  <c r="Y8" i="8" l="1"/>
  <c r="W15" i="8"/>
  <c r="Y15" i="8" s="1"/>
  <c r="U16" i="8"/>
  <c r="U19" i="8" s="1"/>
  <c r="Y19" i="5"/>
  <c r="U21" i="8" l="1"/>
  <c r="U22" i="8" s="1"/>
  <c r="U24" i="8" s="1"/>
  <c r="U64" i="9" l="1"/>
  <c r="U64" i="10"/>
  <c r="V20" i="5"/>
  <c r="U64" i="11"/>
  <c r="U64" i="12"/>
  <c r="U64" i="13"/>
  <c r="U64" i="14"/>
  <c r="W24" i="8"/>
  <c r="W64" i="11" l="1"/>
  <c r="U66" i="11"/>
  <c r="W64" i="13"/>
  <c r="U66" i="13"/>
  <c r="W66" i="13" s="1"/>
  <c r="V22" i="5"/>
  <c r="V30" i="5" s="1"/>
  <c r="V32" i="5" s="1"/>
  <c r="B33" i="5" s="1"/>
  <c r="D61" i="2" s="1"/>
  <c r="W20" i="5"/>
  <c r="W64" i="10"/>
  <c r="X20" i="5" s="1"/>
  <c r="U66" i="10"/>
  <c r="W64" i="14"/>
  <c r="U66" i="14"/>
  <c r="W66" i="14" s="1"/>
  <c r="W64" i="12"/>
  <c r="U66" i="12"/>
  <c r="W64" i="9"/>
  <c r="U66" i="9"/>
  <c r="W66" i="10" l="1"/>
  <c r="U79" i="10"/>
  <c r="U81" i="10" s="1"/>
  <c r="W66" i="9"/>
  <c r="U80" i="9"/>
  <c r="W22" i="5"/>
  <c r="Y20" i="5"/>
  <c r="W66" i="12"/>
  <c r="U80" i="12"/>
  <c r="W66" i="11"/>
  <c r="U79" i="11"/>
  <c r="U81" i="11" s="1"/>
  <c r="X24" i="8"/>
  <c r="Y24" i="8" s="1"/>
  <c r="U82" i="9" l="1"/>
  <c r="W80" i="9"/>
  <c r="U82" i="12"/>
  <c r="W80" i="12"/>
  <c r="X22" i="5"/>
  <c r="Y22" i="5" s="1"/>
  <c r="U84" i="9" l="1"/>
  <c r="W84" i="9" s="1"/>
  <c r="W82" i="9"/>
  <c r="U84" i="12"/>
  <c r="W84" i="12" s="1"/>
  <c r="W82" i="12"/>
</calcChain>
</file>

<file path=xl/sharedStrings.xml><?xml version="1.0" encoding="utf-8"?>
<sst xmlns="http://schemas.openxmlformats.org/spreadsheetml/2006/main" count="871" uniqueCount="307">
  <si>
    <t>DSCR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</si>
  <si>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</si>
  <si>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</si>
  <si>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</si>
  <si>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</si>
  <si>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</si>
  <si>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</si>
  <si>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</si>
  <si>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 xml:space="preserve">Total Equity </t>
  </si>
  <si>
    <t>Brownsville</t>
  </si>
  <si>
    <t>Caledonia</t>
  </si>
  <si>
    <t>New Albany</t>
  </si>
  <si>
    <t>Wheatland</t>
  </si>
  <si>
    <t>Wilton</t>
  </si>
  <si>
    <t>Bond Proceeds</t>
  </si>
  <si>
    <t>Total Sources</t>
  </si>
  <si>
    <t>Transactions Costs</t>
  </si>
  <si>
    <t>Number of Turbines</t>
  </si>
  <si>
    <t>Equity Partner's Share</t>
  </si>
  <si>
    <t>Enron's Share</t>
  </si>
  <si>
    <t>Tranche 1</t>
  </si>
  <si>
    <t>Tranche 2</t>
  </si>
  <si>
    <t>Tranche 3</t>
  </si>
  <si>
    <t>Total</t>
  </si>
  <si>
    <t>Amount ('000 $)</t>
  </si>
  <si>
    <t>Term (yrs)</t>
  </si>
  <si>
    <t>PPA &amp; MARKET PRICE ASSUMPTIONS:</t>
  </si>
  <si>
    <t>Final Maturity</t>
  </si>
  <si>
    <t>Average Life (yrs)</t>
  </si>
  <si>
    <t>PPA Period</t>
  </si>
  <si>
    <t>Spread (%)</t>
  </si>
  <si>
    <t>All In Coupon Rate (%)</t>
  </si>
  <si>
    <t>Market Period</t>
  </si>
  <si>
    <t>Interest Income Rate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</si>
  <si>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</si>
  <si>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</si>
  <si>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</si>
  <si>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</si>
  <si>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</si>
  <si>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</si>
  <si>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Federal &amp; State Tax Depreciation</t>
  </si>
  <si>
    <t>MACRS</t>
  </si>
  <si>
    <t>SL</t>
  </si>
  <si>
    <t>TAX ASSUMPTIONS:</t>
  </si>
  <si>
    <t>Book Depreciation</t>
  </si>
  <si>
    <t>Federal Income Tax Rate</t>
  </si>
  <si>
    <t>State Income Tax Rate</t>
  </si>
  <si>
    <t>N/A</t>
  </si>
  <si>
    <t>SUMMARY OUTPUT:</t>
  </si>
  <si>
    <t>OPERATING COSTS ASSUMPTIONS:</t>
  </si>
  <si>
    <t>Min</t>
  </si>
  <si>
    <t>Avg.</t>
  </si>
  <si>
    <t>1999 Projects</t>
  </si>
  <si>
    <t>2000 Projects</t>
  </si>
  <si>
    <t>1999 &amp; 2000 Projects</t>
  </si>
  <si>
    <t>Fixed O&amp;M</t>
  </si>
  <si>
    <t>Variable O&amp;M</t>
  </si>
  <si>
    <t>Major Maintenance &amp; Ongoing Capex</t>
  </si>
  <si>
    <t>TVA Capacity Curves:</t>
  </si>
  <si>
    <t>1998 $</t>
  </si>
  <si>
    <t>Nominal $</t>
  </si>
  <si>
    <t>Custom</t>
  </si>
  <si>
    <t>(for Wilton Center)</t>
  </si>
  <si>
    <t>Southern ECAR Capacity Curves:</t>
  </si>
  <si>
    <t>(for Wheatland)</t>
  </si>
  <si>
    <t>('000 $)</t>
  </si>
  <si>
    <t>Revenue</t>
  </si>
  <si>
    <t>Demand Payment</t>
  </si>
  <si>
    <t xml:space="preserve">Variable Revenue </t>
  </si>
  <si>
    <t>Energy Margin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</si>
  <si>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</si>
  <si>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</si>
  <si>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</si>
  <si>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</si>
  <si>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</si>
  <si>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</si>
  <si>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</si>
  <si>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</si>
  <si>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</si>
  <si>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</si>
  <si>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</si>
  <si>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Debt Service</t>
  </si>
  <si>
    <t>Pre Tax Cash Flow</t>
  </si>
  <si>
    <t>After Tax Cash Flow</t>
  </si>
  <si>
    <t>IRR Calculation</t>
  </si>
  <si>
    <t xml:space="preserve">   IRR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</si>
  <si>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</si>
  <si>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</si>
  <si>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</si>
  <si>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</si>
  <si>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</si>
  <si>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</si>
  <si>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15 Year MACRS Table</t>
  </si>
  <si>
    <t>STATE TAXES</t>
  </si>
  <si>
    <t>FEDERAL TAXES</t>
  </si>
  <si>
    <t>INCOME STATEMENT - WHEATLAND</t>
  </si>
  <si>
    <t>CASH FLOW - WHEATLAND</t>
  </si>
  <si>
    <t>Adjusted Gross Income Tax</t>
  </si>
  <si>
    <t>State Gross Receipts Taxes</t>
  </si>
  <si>
    <t>ALLOCATION</t>
  </si>
  <si>
    <t>Project</t>
  </si>
  <si>
    <t xml:space="preserve">   Sub Total</t>
  </si>
  <si>
    <t>INCOME STATEMENT - BROWNSVILLE</t>
  </si>
  <si>
    <t>INCOME STATEMENT - CALEDONIA</t>
  </si>
  <si>
    <t>INCOME STATEMENT - NEW ALBANY</t>
  </si>
  <si>
    <t>INCOME STATEMENT - WILTON</t>
  </si>
  <si>
    <t>Less Interest Payments</t>
  </si>
  <si>
    <t>Less Principal Payments</t>
  </si>
  <si>
    <t>Average Life</t>
  </si>
  <si>
    <t xml:space="preserve"> State Cash Taxes Benefit (Expense)</t>
  </si>
  <si>
    <t xml:space="preserve"> Federal Cash Taxes Benefit (Expense)</t>
  </si>
  <si>
    <t>Unhide Sub Debt, 1999 Columns</t>
  </si>
  <si>
    <t>ANNUAL CASH FLOW AND IRR</t>
  </si>
  <si>
    <t>Gleason</t>
  </si>
  <si>
    <t>Initial Book Value</t>
  </si>
  <si>
    <t>No. of Months in Operation</t>
  </si>
  <si>
    <t>% Depreciated</t>
  </si>
  <si>
    <t>Beginning Book Value</t>
  </si>
  <si>
    <t>Depreciation</t>
  </si>
  <si>
    <t>Ending Book Value</t>
  </si>
  <si>
    <t>GenCo</t>
  </si>
  <si>
    <t>Fixed Price Period</t>
  </si>
  <si>
    <t>Market Price Period</t>
  </si>
  <si>
    <t>Salvage Value at the end of 20 years ($/kW)</t>
  </si>
  <si>
    <t>O&amp;M Management Fee</t>
  </si>
  <si>
    <t>Owner's Expense</t>
  </si>
  <si>
    <t>Annual Cost (000$ in Year 2000)</t>
  </si>
  <si>
    <t>Annual Escalator</t>
  </si>
  <si>
    <t>Tax Depreciation</t>
  </si>
  <si>
    <t>GENCO DEPRECIATION</t>
  </si>
  <si>
    <t>Project Cost</t>
  </si>
  <si>
    <t>Ending Value</t>
  </si>
  <si>
    <t>Transaction Cost</t>
  </si>
  <si>
    <t>Beginning Value</t>
  </si>
  <si>
    <t>Close</t>
  </si>
  <si>
    <t>DEBT ISSUANCE</t>
  </si>
  <si>
    <t>Principal Payments</t>
  </si>
  <si>
    <t>ACTUAL DSCR</t>
  </si>
  <si>
    <t>Treasury (%)</t>
  </si>
  <si>
    <t>Term (years)</t>
  </si>
  <si>
    <t>Average Life (years)</t>
  </si>
  <si>
    <t>Average</t>
  </si>
  <si>
    <t>Minimum</t>
  </si>
  <si>
    <t>Time Factor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</si>
  <si>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</si>
  <si>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</si>
  <si>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</si>
  <si>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</si>
  <si>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</si>
  <si>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</si>
  <si>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</si>
  <si>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</si>
  <si>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</si>
  <si>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Less: State Taxes</t>
  </si>
  <si>
    <t>Federal Tax Rate</t>
  </si>
  <si>
    <t>Federal Tax Expense/ (Benefit)</t>
  </si>
  <si>
    <t>Equity Partner's Contribution</t>
  </si>
  <si>
    <t>Equity Partner's Net Cashflow</t>
  </si>
  <si>
    <t>Debt Closing Date</t>
  </si>
  <si>
    <t>Fixed Price Period:</t>
  </si>
  <si>
    <t>Market Price Period:</t>
  </si>
  <si>
    <t>Accrued Interest</t>
  </si>
  <si>
    <t>Salvage Value</t>
  </si>
  <si>
    <t>GenCo Pre-Tax Cashflow (000 $)</t>
  </si>
  <si>
    <t>GenCo After-Tax Cashflow (000 $)</t>
  </si>
  <si>
    <t>GenCo EBITDA (000 $)</t>
  </si>
  <si>
    <t>GenCo Net Income (000 $)</t>
  </si>
  <si>
    <t>INCOME STATEMENT - GLEASON</t>
  </si>
  <si>
    <t>GENCO INCOME STATEMENT</t>
  </si>
  <si>
    <t>GENCO CASH FLOW</t>
  </si>
  <si>
    <t>Annual Generation (MWh)</t>
  </si>
  <si>
    <t>Block Payment</t>
  </si>
  <si>
    <t>Numbers of Starts</t>
  </si>
  <si>
    <t>FINANCING ASSUMPTIONS:</t>
  </si>
  <si>
    <t>Debt Financing Summary:</t>
  </si>
  <si>
    <t>Equity Financing Summary:</t>
  </si>
  <si>
    <t>Equity Closing Date</t>
  </si>
  <si>
    <t>By Project Cost</t>
  </si>
  <si>
    <t>Fixed Price $</t>
  </si>
  <si>
    <t>Fixed Price Scenario</t>
  </si>
  <si>
    <t>Capacity Price Scenario</t>
  </si>
  <si>
    <t>Check</t>
  </si>
  <si>
    <t>Principal</t>
  </si>
  <si>
    <t>Market Price &amp; Price Extension Period:</t>
  </si>
  <si>
    <t>Fixed Price Extension</t>
  </si>
  <si>
    <t>No</t>
  </si>
  <si>
    <t>5-year extension</t>
  </si>
  <si>
    <t>10-year extension</t>
  </si>
  <si>
    <t>By Cashflow</t>
  </si>
  <si>
    <t>ASSUMPTIONS</t>
  </si>
  <si>
    <t>SUMMARY OUTPUT</t>
  </si>
  <si>
    <t>Total Uses</t>
  </si>
  <si>
    <t>Sub Total</t>
  </si>
  <si>
    <t>End of Fixed Price Extension</t>
  </si>
  <si>
    <t>Interest Income</t>
  </si>
  <si>
    <t>Plus Property Tax Liability</t>
  </si>
  <si>
    <t>Less Property Tax Expense</t>
  </si>
  <si>
    <t>Fixed Price PPA</t>
  </si>
  <si>
    <t>Fixed Price PPA w 5-yr extension</t>
  </si>
  <si>
    <t>Fixed Price PPA w 10-yr extension</t>
  </si>
  <si>
    <t>Fixed Price PPA w 15-yr extension</t>
  </si>
  <si>
    <t>15-year extension</t>
  </si>
  <si>
    <t>GENCO FEDERAL TAXES</t>
  </si>
  <si>
    <t>CASH FLOW - CALEDONIA</t>
  </si>
  <si>
    <t>CASH FLOW - NEW ALBANY</t>
  </si>
  <si>
    <t>Book Income</t>
  </si>
  <si>
    <t>Adjusted Gross Income Rate</t>
  </si>
  <si>
    <t>State Adjusted Gross Income Tax</t>
  </si>
  <si>
    <t xml:space="preserve">Gross Receipts </t>
  </si>
  <si>
    <t>Gross Receipts Tax Rate</t>
  </si>
  <si>
    <t>Gross Receipts Tax Liability</t>
  </si>
  <si>
    <t>Greater of Adjusted or Gross Receipts</t>
  </si>
  <si>
    <t>Franchise Tax Rate (Year 1)</t>
  </si>
  <si>
    <t>Franchise Tax Rate (Year 2-20)</t>
  </si>
  <si>
    <t>Paid-In-Capital</t>
  </si>
  <si>
    <t>SUPPLEMENTAL TAXES</t>
  </si>
  <si>
    <t>FRANCHISE TAX</t>
  </si>
  <si>
    <t>State Franchise Tax Rate</t>
  </si>
  <si>
    <t>State Franchise Tax Liability</t>
  </si>
  <si>
    <t>Franchise Tax</t>
  </si>
  <si>
    <t>STATE TAX &amp; FRANCHISE TAX - CALEDONIA</t>
  </si>
  <si>
    <t>Retained Earnings</t>
  </si>
  <si>
    <t>Outstanding Debt</t>
  </si>
  <si>
    <t>Shareholders Equity &amp; Long Term Debt</t>
  </si>
  <si>
    <t>Property Taxes Liability</t>
  </si>
  <si>
    <t>STATE TAX &amp; FRANCHISE TAX - BROWNSVILLE</t>
  </si>
  <si>
    <t>STATE TAX &amp; FRANCHISE TAX - GLEASON</t>
  </si>
  <si>
    <t>Book Value of Assets</t>
  </si>
  <si>
    <t>Total Capitalization</t>
  </si>
  <si>
    <t>Total Project Cost</t>
  </si>
  <si>
    <t xml:space="preserve">Property Taxes Liability </t>
  </si>
  <si>
    <t>(for Brownsville, Caledonia, New Albany and Gleason)</t>
  </si>
  <si>
    <t>Property Taxes</t>
  </si>
  <si>
    <t>Federal Taxable Income</t>
  </si>
  <si>
    <t>Goal Seek</t>
  </si>
  <si>
    <t>Solve Equity</t>
  </si>
  <si>
    <t>Less: Tax Depreciation</t>
  </si>
  <si>
    <t>Less Tax Depreciation</t>
  </si>
  <si>
    <t>Tax Depreciation From Above</t>
  </si>
  <si>
    <t>Tax Depreciation From 6 Plants</t>
  </si>
  <si>
    <t>Difference</t>
  </si>
  <si>
    <t>Variable O&amp;M ($/MWh-year)</t>
  </si>
  <si>
    <t>Energy Payment</t>
  </si>
  <si>
    <t>Energy Charge ($/MWh)</t>
  </si>
  <si>
    <t>Block Charge ($/Start/Turbine)</t>
  </si>
  <si>
    <t>Major Maintenance &amp; Ongoing Capex ($/Start/Turbine)</t>
  </si>
  <si>
    <t>Greater of Book Value and Capitalization</t>
  </si>
  <si>
    <r>
      <t>Summer Capacity (MW)</t>
    </r>
    <r>
      <rPr>
        <vertAlign val="superscript"/>
        <sz val="9"/>
        <rFont val="Times New Roman"/>
        <family val="1"/>
      </rPr>
      <t>(1)</t>
    </r>
  </si>
  <si>
    <t>(1) Includes additional capacity of 20 MW at Caledonia and 15 MW at New Albany, with installation of evaporative coolers by June 2000.</t>
  </si>
  <si>
    <t xml:space="preserve">  GenCo's State Tax Benefit/(Expense)</t>
  </si>
  <si>
    <t xml:space="preserve">  GenCo's Federal Tax Benefit/(Expense)</t>
  </si>
  <si>
    <t>CASH FLOW - GLEASON</t>
  </si>
  <si>
    <t>CASH FLOW - WILTON</t>
  </si>
  <si>
    <t>CASH FLOW - BROWNSVILLE</t>
  </si>
  <si>
    <t>Total Debt</t>
  </si>
  <si>
    <t>Greater of Book Value or Capitalization</t>
  </si>
  <si>
    <t>After Tax Book Income</t>
  </si>
  <si>
    <t>STATE TAX &amp; FRANCHISE TAX - NEW ALBANY</t>
  </si>
  <si>
    <t>STATE TAX &amp; SUPPLEMENTAL TAX - WHEATLAND</t>
  </si>
  <si>
    <t>STATE TAX &amp; FRANCHISE TAX - WILTON</t>
  </si>
  <si>
    <t>Franchise Tax - Brownsville, Caledonia, New Albany, Gleason, Wheatland</t>
  </si>
  <si>
    <t>Major Maintenance &amp; Ongoing Capex Per Plant</t>
  </si>
  <si>
    <t>Com Ed Capacity Curves:</t>
  </si>
  <si>
    <t>ICF Capacity Price Escalator</t>
  </si>
  <si>
    <t>ICF Base ($/kW-year)</t>
  </si>
  <si>
    <t>ICF Low ($/kW-year)</t>
  </si>
  <si>
    <t>ICF Base ($/kW-year )</t>
  </si>
  <si>
    <t>ICF Base ($/kW-month)</t>
  </si>
  <si>
    <t>ICF Low ($/kW-month)</t>
  </si>
  <si>
    <t>Required After-Tax Rate of Return (%)</t>
  </si>
  <si>
    <t>NOL Carryforward</t>
  </si>
  <si>
    <t>Total Federal Cash Taxes Payable/(Benefit)</t>
  </si>
  <si>
    <t xml:space="preserve">Franchise Tax </t>
  </si>
  <si>
    <t>Summer MW</t>
  </si>
  <si>
    <t>After-Tax Debt Rate</t>
  </si>
  <si>
    <t>After-Tax Equity Return</t>
  </si>
  <si>
    <t>Weighted Average</t>
  </si>
  <si>
    <t>% Capitalization</t>
  </si>
  <si>
    <t xml:space="preserve">Treasury Rate (%) </t>
  </si>
  <si>
    <t>Amortization %</t>
  </si>
  <si>
    <t>Amortization of Contract</t>
  </si>
  <si>
    <t>1999 Peakers</t>
  </si>
  <si>
    <t>2000 Peakers</t>
  </si>
  <si>
    <t>Uses of Funds</t>
  </si>
  <si>
    <t>1999 Plants</t>
  </si>
  <si>
    <t>2000 Plants</t>
  </si>
  <si>
    <t>Total Project Cost less Transaction Cost &amp; Amortization of Contract</t>
  </si>
  <si>
    <t>Transaction Cost (for the entire Project)</t>
  </si>
  <si>
    <t>Total Summer Capacity for 1999 &amp; 2000 Projects (MW)</t>
  </si>
  <si>
    <t>POWER PRICE ASSUMPTION</t>
  </si>
  <si>
    <t>Difference in Revenue</t>
  </si>
  <si>
    <t xml:space="preserve">NPV </t>
  </si>
  <si>
    <t xml:space="preserve">Capacity Factor </t>
  </si>
  <si>
    <t>EBITDA less Contract Amortization</t>
  </si>
  <si>
    <t>Pretax Book Income less Contract Amortization</t>
  </si>
  <si>
    <t>Equity Partner's After-Tax Returns with Salvage Value (20 yrs)</t>
  </si>
  <si>
    <t>All-in Coupon Rate (%)</t>
  </si>
  <si>
    <t>Total State &amp; Misc. Taxes</t>
  </si>
  <si>
    <t>Difference Between ICF Capacity Price and Fixed Capacity Price</t>
  </si>
  <si>
    <t>Weighted Average Heat Rate (Btu/kWh)</t>
  </si>
  <si>
    <t>Annual Dispatch Hours</t>
  </si>
  <si>
    <t>Summer Heat Rate (HHV, Btu/kWh)</t>
  </si>
  <si>
    <t>Demand Charge ($/kW-month)</t>
  </si>
  <si>
    <t>Pre-Tax Cash Flow</t>
  </si>
  <si>
    <t>After-Tax Cash Flow</t>
  </si>
  <si>
    <t>Equity Partner's After-Tax Cashflow</t>
  </si>
  <si>
    <t>GENCO CONTRACT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</si>
</sst>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21" formatCode="#,##0.0"/>
    <numFmt numFmtId="222" formatCode="#,##0.00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  <numFmt numFmtId="358" formatCode="mm/dd/yy"/>
  </numFmts>
  <fonts count="108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2"/>
      <color indexed="12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b/>
      <sz val="12"/>
      <color indexed="12"/>
      <name val="Times New Roman"/>
      <family val="1"/>
    </font>
    <font>
      <i/>
      <sz val="12"/>
      <name val="Times New Roman"/>
      <family val="1"/>
    </font>
    <font>
      <i/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b/>
      <sz val="12"/>
      <color indexed="8"/>
      <name val="Times New Roman"/>
      <family val="1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8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20"/>
      <name val="Times New Roman"/>
      <family val="1"/>
    </font>
    <font>
      <b/>
      <i/>
      <sz val="10"/>
      <color indexed="10"/>
      <name val="Times New Roman"/>
      <family val="1"/>
    </font>
    <font>
      <i/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b/>
      <u/>
      <sz val="8"/>
      <name val="Times New Roman"/>
      <family val="1"/>
    </font>
    <font>
      <i/>
      <u/>
      <sz val="8"/>
      <name val="Times New Roman"/>
      <family val="1"/>
    </font>
    <font>
      <u/>
      <sz val="10"/>
      <color indexed="8"/>
      <name val="Times New Roman"/>
      <family val="1"/>
    </font>
    <font>
      <vertAlign val="superscript"/>
      <sz val="9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47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50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3" fillId="4" borderId="0" applyNumberFormat="0" applyBorder="0" applyAlignment="0" applyProtection="0"/>
    <xf numFmtId="0" fontId="57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38" fillId="0" borderId="2" applyNumberFormat="0" applyFill="0" applyAlignment="0" applyProtection="0"/>
    <xf numFmtId="10" fontId="43" fillId="5" borderId="3" applyNumberFormat="0" applyBorder="0" applyAlignment="0" applyProtection="0"/>
    <xf numFmtId="37" fontId="59" fillId="0" borderId="0"/>
    <xf numFmtId="170" fontId="60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6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3" fillId="8" borderId="0" applyNumberFormat="0" applyBorder="0" applyAlignment="0" applyProtection="0"/>
    <xf numFmtId="37" fontId="43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95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7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66" fontId="3" fillId="0" borderId="0" xfId="3" applyNumberFormat="1" applyFont="1"/>
    <xf numFmtId="166" fontId="3" fillId="0" borderId="0" xfId="3" applyNumberFormat="1" applyFont="1" applyBorder="1" applyProtection="1"/>
    <xf numFmtId="0" fontId="3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16" fillId="0" borderId="0" xfId="0" applyFont="1"/>
    <xf numFmtId="0" fontId="18" fillId="0" borderId="0" xfId="0" applyFont="1"/>
    <xf numFmtId="0" fontId="9" fillId="0" borderId="0" xfId="0" applyFont="1"/>
    <xf numFmtId="0" fontId="3" fillId="4" borderId="0" xfId="0" applyFont="1" applyFill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0" fontId="24" fillId="0" borderId="0" xfId="0" applyFont="1"/>
    <xf numFmtId="0" fontId="11" fillId="0" borderId="0" xfId="0" applyFont="1"/>
    <xf numFmtId="3" fontId="3" fillId="0" borderId="0" xfId="0" applyNumberFormat="1" applyFont="1"/>
    <xf numFmtId="3" fontId="2" fillId="0" borderId="0" xfId="0" applyNumberFormat="1" applyFont="1"/>
    <xf numFmtId="0" fontId="17" fillId="0" borderId="0" xfId="0" applyFont="1"/>
    <xf numFmtId="0" fontId="17" fillId="0" borderId="0" xfId="0" applyFont="1" applyBorder="1"/>
    <xf numFmtId="0" fontId="13" fillId="0" borderId="0" xfId="0" applyFont="1"/>
    <xf numFmtId="0" fontId="9" fillId="0" borderId="0" xfId="0" applyFont="1" applyFill="1"/>
    <xf numFmtId="43" fontId="9" fillId="0" borderId="0" xfId="3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166" fontId="15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30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6" fontId="15" fillId="0" borderId="0" xfId="0" applyNumberFormat="1" applyFont="1" applyFill="1"/>
    <xf numFmtId="0" fontId="9" fillId="0" borderId="0" xfId="0" applyFont="1" applyFill="1" applyBorder="1"/>
    <xf numFmtId="166" fontId="2" fillId="0" borderId="0" xfId="3" applyNumberFormat="1" applyFont="1" applyFill="1" applyBorder="1"/>
    <xf numFmtId="166" fontId="12" fillId="0" borderId="0" xfId="3" applyNumberFormat="1" applyFont="1" applyFill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0" fontId="24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32" fillId="0" borderId="0" xfId="0" applyFont="1" applyFill="1" applyBorder="1"/>
    <xf numFmtId="43" fontId="33" fillId="0" borderId="0" xfId="3" applyFont="1" applyFill="1" applyBorder="1"/>
    <xf numFmtId="9" fontId="33" fillId="0" borderId="0" xfId="22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8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2" applyFont="1" applyFill="1" applyBorder="1"/>
    <xf numFmtId="0" fontId="17" fillId="0" borderId="0" xfId="21" applyFont="1" applyFill="1" applyBorder="1" applyAlignment="1" applyProtection="1">
      <alignment horizontal="left"/>
    </xf>
    <xf numFmtId="0" fontId="17" fillId="0" borderId="0" xfId="21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8" fillId="0" borderId="0" xfId="21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8" fillId="0" borderId="0" xfId="0" applyNumberFormat="1" applyFont="1" applyFill="1" applyBorder="1" applyProtection="1"/>
    <xf numFmtId="166" fontId="14" fillId="0" borderId="0" xfId="3" applyNumberFormat="1" applyFont="1" applyFill="1" applyBorder="1"/>
    <xf numFmtId="166" fontId="3" fillId="0" borderId="0" xfId="0" applyNumberFormat="1" applyFont="1" applyFill="1" applyBorder="1"/>
    <xf numFmtId="41" fontId="14" fillId="0" borderId="0" xfId="0" applyNumberFormat="1" applyFont="1" applyFill="1" applyBorder="1"/>
    <xf numFmtId="41" fontId="2" fillId="0" borderId="0" xfId="0" applyNumberFormat="1" applyFont="1" applyFill="1" applyBorder="1"/>
    <xf numFmtId="41" fontId="18" fillId="0" borderId="0" xfId="0" applyNumberFormat="1" applyFont="1" applyFill="1" applyBorder="1"/>
    <xf numFmtId="0" fontId="14" fillId="0" borderId="0" xfId="0" applyFont="1" applyFill="1" applyBorder="1"/>
    <xf numFmtId="37" fontId="14" fillId="0" borderId="0" xfId="0" applyNumberFormat="1" applyFont="1" applyFill="1" applyBorder="1"/>
    <xf numFmtId="0" fontId="7" fillId="0" borderId="0" xfId="19" applyFont="1" applyFill="1" applyBorder="1"/>
    <xf numFmtId="0" fontId="2" fillId="0" borderId="0" xfId="19" applyFont="1" applyFill="1" applyBorder="1"/>
    <xf numFmtId="0" fontId="3" fillId="0" borderId="0" xfId="19" applyFont="1" applyFill="1" applyBorder="1"/>
    <xf numFmtId="0" fontId="2" fillId="0" borderId="0" xfId="19" applyFont="1" applyFill="1" applyBorder="1" applyAlignment="1">
      <alignment horizontal="center"/>
    </xf>
    <xf numFmtId="0" fontId="2" fillId="0" borderId="0" xfId="20" applyFont="1" applyFill="1" applyBorder="1"/>
    <xf numFmtId="0" fontId="3" fillId="0" borderId="0" xfId="20" applyFont="1" applyFill="1" applyBorder="1"/>
    <xf numFmtId="164" fontId="2" fillId="0" borderId="0" xfId="22" applyNumberFormat="1" applyFont="1" applyFill="1" applyBorder="1"/>
    <xf numFmtId="0" fontId="2" fillId="0" borderId="0" xfId="19" applyFont="1" applyFill="1" applyBorder="1" applyAlignment="1">
      <alignment horizontal="left"/>
    </xf>
    <xf numFmtId="41" fontId="3" fillId="0" borderId="0" xfId="19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2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9" applyFont="1" applyFill="1" applyBorder="1"/>
    <xf numFmtId="43" fontId="34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166" fontId="2" fillId="0" borderId="0" xfId="3" applyNumberFormat="1" applyFont="1" applyFill="1"/>
    <xf numFmtId="38" fontId="15" fillId="0" borderId="0" xfId="0" applyNumberFormat="1" applyFont="1" applyFill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0" fontId="22" fillId="0" borderId="0" xfId="0" applyFont="1" applyFill="1" applyBorder="1"/>
    <xf numFmtId="0" fontId="10" fillId="0" borderId="0" xfId="0" applyFont="1" applyFill="1"/>
    <xf numFmtId="38" fontId="3" fillId="0" borderId="0" xfId="0" applyNumberFormat="1" applyFont="1" applyFill="1"/>
    <xf numFmtId="38" fontId="3" fillId="0" borderId="4" xfId="3" applyNumberFormat="1" applyFont="1" applyFill="1" applyBorder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9" fillId="0" borderId="0" xfId="0" applyNumberFormat="1" applyFont="1" applyFill="1"/>
    <xf numFmtId="38" fontId="15" fillId="0" borderId="0" xfId="3" applyNumberFormat="1" applyFont="1" applyFill="1"/>
    <xf numFmtId="38" fontId="2" fillId="0" borderId="0" xfId="3" applyNumberFormat="1" applyFont="1" applyFill="1" applyBorder="1"/>
    <xf numFmtId="38" fontId="9" fillId="0" borderId="0" xfId="3" applyNumberFormat="1" applyFont="1" applyFill="1"/>
    <xf numFmtId="37" fontId="10" fillId="0" borderId="0" xfId="18" applyFont="1" applyAlignment="1">
      <alignment horizontal="right"/>
    </xf>
    <xf numFmtId="0" fontId="10" fillId="0" borderId="0" xfId="0" applyFont="1" applyFill="1" applyBorder="1"/>
    <xf numFmtId="1" fontId="3" fillId="0" borderId="0" xfId="0" applyNumberFormat="1" applyFont="1" applyFill="1"/>
    <xf numFmtId="0" fontId="36" fillId="0" borderId="0" xfId="0" applyFont="1"/>
    <xf numFmtId="0" fontId="3" fillId="0" borderId="13" xfId="0" applyFont="1" applyBorder="1"/>
    <xf numFmtId="40" fontId="4" fillId="0" borderId="0" xfId="3" applyNumberFormat="1" applyFont="1" applyFill="1"/>
    <xf numFmtId="166" fontId="37" fillId="0" borderId="0" xfId="3" applyNumberFormat="1" applyFont="1"/>
    <xf numFmtId="38" fontId="3" fillId="0" borderId="0" xfId="0" applyNumberFormat="1" applyFont="1" applyBorder="1"/>
    <xf numFmtId="38" fontId="3" fillId="0" borderId="4" xfId="0" applyNumberFormat="1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14" fontId="24" fillId="0" borderId="0" xfId="0" applyNumberFormat="1" applyFont="1" applyFill="1" applyBorder="1" applyAlignment="1">
      <alignment horizontal="center"/>
    </xf>
    <xf numFmtId="166" fontId="15" fillId="0" borderId="0" xfId="3" applyNumberFormat="1" applyFont="1" applyFill="1" applyBorder="1"/>
    <xf numFmtId="3" fontId="3" fillId="0" borderId="0" xfId="0" applyNumberFormat="1" applyFont="1" applyFill="1" applyBorder="1"/>
    <xf numFmtId="166" fontId="10" fillId="0" borderId="0" xfId="3" applyNumberFormat="1" applyFont="1" applyFill="1" applyBorder="1"/>
    <xf numFmtId="37" fontId="10" fillId="0" borderId="0" xfId="18" applyFont="1" applyFill="1" applyAlignment="1"/>
    <xf numFmtId="37" fontId="10" fillId="0" borderId="0" xfId="18" applyFont="1" applyFill="1" applyAlignment="1">
      <alignment horizontal="right"/>
    </xf>
    <xf numFmtId="166" fontId="10" fillId="0" borderId="0" xfId="3" applyNumberFormat="1" applyFont="1" applyFill="1" applyBorder="1" applyProtection="1"/>
    <xf numFmtId="166" fontId="20" fillId="0" borderId="0" xfId="3" applyNumberFormat="1" applyFont="1" applyFill="1" applyBorder="1" applyProtection="1"/>
    <xf numFmtId="166" fontId="35" fillId="0" borderId="0" xfId="3" applyNumberFormat="1" applyFont="1" applyFill="1" applyBorder="1" applyProtection="1"/>
    <xf numFmtId="9" fontId="10" fillId="0" borderId="0" xfId="3" applyNumberFormat="1" applyFont="1" applyFill="1" applyBorder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5" fillId="0" borderId="7" xfId="0" applyFont="1" applyFill="1" applyBorder="1"/>
    <xf numFmtId="0" fontId="39" fillId="0" borderId="10" xfId="0" applyFont="1" applyBorder="1" applyAlignment="1" applyProtection="1">
      <alignment horizontal="left"/>
    </xf>
    <xf numFmtId="0" fontId="39" fillId="0" borderId="0" xfId="0" applyFont="1" applyBorder="1" applyAlignment="1">
      <alignment horizontal="center"/>
    </xf>
    <xf numFmtId="0" fontId="22" fillId="0" borderId="0" xfId="0" applyFont="1" applyBorder="1"/>
    <xf numFmtId="0" fontId="39" fillId="0" borderId="0" xfId="0" applyFont="1" applyBorder="1" applyAlignment="1" applyProtection="1">
      <alignment horizontal="left"/>
    </xf>
    <xf numFmtId="0" fontId="22" fillId="0" borderId="10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left"/>
    </xf>
    <xf numFmtId="38" fontId="22" fillId="0" borderId="0" xfId="3" applyNumberFormat="1" applyFont="1" applyBorder="1"/>
    <xf numFmtId="0" fontId="19" fillId="0" borderId="10" xfId="0" applyFont="1" applyBorder="1" applyAlignment="1">
      <alignment horizontal="left"/>
    </xf>
    <xf numFmtId="10" fontId="39" fillId="0" borderId="10" xfId="0" applyNumberFormat="1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22" fillId="0" borderId="6" xfId="0" applyFont="1" applyBorder="1"/>
    <xf numFmtId="0" fontId="39" fillId="0" borderId="10" xfId="0" applyFont="1" applyBorder="1"/>
    <xf numFmtId="0" fontId="22" fillId="0" borderId="10" xfId="0" applyFont="1" applyBorder="1" applyAlignment="1">
      <alignment horizontal="left"/>
    </xf>
    <xf numFmtId="173" fontId="22" fillId="0" borderId="0" xfId="0" applyNumberFormat="1" applyFont="1" applyBorder="1" applyAlignment="1">
      <alignment horizontal="center"/>
    </xf>
    <xf numFmtId="0" fontId="39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9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22" fillId="0" borderId="7" xfId="0" applyFont="1" applyBorder="1"/>
    <xf numFmtId="0" fontId="22" fillId="0" borderId="8" xfId="0" applyFont="1" applyBorder="1"/>
    <xf numFmtId="0" fontId="31" fillId="4" borderId="0" xfId="0" applyFont="1" applyFill="1" applyBorder="1" applyAlignment="1">
      <alignment horizontal="center"/>
    </xf>
    <xf numFmtId="0" fontId="31" fillId="4" borderId="9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38" fontId="2" fillId="0" borderId="0" xfId="0" applyNumberFormat="1" applyFont="1"/>
    <xf numFmtId="166" fontId="3" fillId="0" borderId="4" xfId="3" applyNumberFormat="1" applyFont="1" applyBorder="1"/>
    <xf numFmtId="6" fontId="39" fillId="0" borderId="0" xfId="0" quotePrefix="1" applyNumberFormat="1" applyFont="1" applyBorder="1" applyAlignment="1">
      <alignment horizontal="center"/>
    </xf>
    <xf numFmtId="0" fontId="39" fillId="0" borderId="9" xfId="0" quotePrefix="1" applyFont="1" applyBorder="1" applyAlignment="1">
      <alignment horizontal="center"/>
    </xf>
    <xf numFmtId="7" fontId="22" fillId="0" borderId="0" xfId="3" applyNumberFormat="1" applyFont="1" applyBorder="1"/>
    <xf numFmtId="44" fontId="22" fillId="0" borderId="0" xfId="4" applyFont="1" applyFill="1" applyBorder="1"/>
    <xf numFmtId="0" fontId="22" fillId="4" borderId="0" xfId="0" applyFont="1" applyFill="1"/>
    <xf numFmtId="0" fontId="28" fillId="0" borderId="0" xfId="0" applyFont="1" applyBorder="1"/>
    <xf numFmtId="2" fontId="22" fillId="0" borderId="0" xfId="0" applyNumberFormat="1" applyFont="1" applyBorder="1"/>
    <xf numFmtId="43" fontId="22" fillId="0" borderId="0" xfId="0" applyNumberFormat="1" applyFont="1" applyBorder="1"/>
    <xf numFmtId="0" fontId="22" fillId="0" borderId="0" xfId="0" applyFont="1" applyBorder="1" applyAlignment="1">
      <alignment horizontal="right"/>
    </xf>
    <xf numFmtId="0" fontId="19" fillId="0" borderId="0" xfId="3" applyNumberFormat="1" applyFont="1" applyBorder="1" applyAlignment="1">
      <alignment horizontal="right"/>
    </xf>
    <xf numFmtId="2" fontId="40" fillId="0" borderId="0" xfId="3" applyNumberFormat="1" applyFont="1" applyFill="1" applyBorder="1" applyAlignment="1">
      <alignment horizontal="right"/>
    </xf>
    <xf numFmtId="43" fontId="22" fillId="0" borderId="0" xfId="3" applyNumberFormat="1" applyFont="1" applyBorder="1" applyAlignment="1">
      <alignment horizontal="right"/>
    </xf>
    <xf numFmtId="44" fontId="22" fillId="0" borderId="0" xfId="4" applyFont="1" applyBorder="1" applyAlignment="1">
      <alignment horizontal="right"/>
    </xf>
    <xf numFmtId="44" fontId="22" fillId="0" borderId="0" xfId="4" applyFont="1" applyAlignment="1">
      <alignment horizontal="right"/>
    </xf>
    <xf numFmtId="9" fontId="40" fillId="0" borderId="0" xfId="0" applyNumberFormat="1" applyFont="1" applyBorder="1"/>
    <xf numFmtId="40" fontId="22" fillId="0" borderId="0" xfId="3" applyNumberFormat="1" applyFont="1" applyFill="1" applyBorder="1" applyAlignment="1">
      <alignment horizontal="right"/>
    </xf>
    <xf numFmtId="40" fontId="22" fillId="0" borderId="0" xfId="3" applyNumberFormat="1" applyFont="1" applyBorder="1" applyAlignment="1">
      <alignment horizontal="right"/>
    </xf>
    <xf numFmtId="40" fontId="39" fillId="0" borderId="0" xfId="3" applyNumberFormat="1" applyFont="1" applyBorder="1" applyAlignment="1">
      <alignment horizontal="right"/>
    </xf>
    <xf numFmtId="0" fontId="9" fillId="0" borderId="0" xfId="0" applyFont="1" applyBorder="1"/>
    <xf numFmtId="40" fontId="22" fillId="10" borderId="0" xfId="3" applyNumberFormat="1" applyFont="1" applyFill="1" applyBorder="1" applyAlignment="1">
      <alignment horizontal="right"/>
    </xf>
    <xf numFmtId="1" fontId="40" fillId="0" borderId="0" xfId="3" applyNumberFormat="1" applyFont="1" applyFill="1" applyBorder="1" applyAlignment="1">
      <alignment horizontal="right"/>
    </xf>
    <xf numFmtId="43" fontId="39" fillId="0" borderId="0" xfId="3" applyNumberFormat="1" applyFont="1" applyBorder="1" applyAlignment="1">
      <alignment horizontal="right"/>
    </xf>
    <xf numFmtId="7" fontId="22" fillId="0" borderId="0" xfId="3" applyNumberFormat="1" applyFont="1" applyBorder="1" applyAlignment="1">
      <alignment horizontal="right"/>
    </xf>
    <xf numFmtId="43" fontId="22" fillId="0" borderId="0" xfId="3" applyFont="1" applyBorder="1" applyAlignment="1">
      <alignment horizontal="right"/>
    </xf>
    <xf numFmtId="7" fontId="39" fillId="0" borderId="0" xfId="4" applyNumberFormat="1" applyFont="1" applyBorder="1"/>
    <xf numFmtId="166" fontId="20" fillId="0" borderId="0" xfId="3" applyNumberFormat="1" applyFont="1" applyFill="1" applyBorder="1"/>
    <xf numFmtId="43" fontId="9" fillId="0" borderId="0" xfId="3" applyFont="1" applyFill="1" applyAlignment="1">
      <alignment horizontal="left"/>
    </xf>
    <xf numFmtId="38" fontId="12" fillId="0" borderId="0" xfId="3" applyNumberFormat="1" applyFont="1" applyFill="1"/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166" fontId="3" fillId="0" borderId="0" xfId="3" applyNumberFormat="1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66" fontId="14" fillId="0" borderId="0" xfId="3" applyNumberFormat="1" applyFont="1" applyBorder="1" applyProtection="1"/>
    <xf numFmtId="166" fontId="15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0" fontId="19" fillId="0" borderId="0" xfId="0" applyFont="1" applyBorder="1"/>
    <xf numFmtId="37" fontId="22" fillId="0" borderId="6" xfId="0" applyNumberFormat="1" applyFont="1" applyBorder="1"/>
    <xf numFmtId="0" fontId="19" fillId="0" borderId="0" xfId="0" applyFont="1" applyBorder="1" applyAlignment="1" applyProtection="1">
      <alignment horizontal="left"/>
    </xf>
    <xf numFmtId="0" fontId="42" fillId="0" borderId="0" xfId="0" applyFont="1" applyBorder="1"/>
    <xf numFmtId="43" fontId="39" fillId="0" borderId="0" xfId="3" applyFont="1" applyBorder="1" applyAlignment="1">
      <alignment horizontal="right"/>
    </xf>
    <xf numFmtId="0" fontId="15" fillId="0" borderId="0" xfId="0" applyFont="1"/>
    <xf numFmtId="0" fontId="2" fillId="0" borderId="9" xfId="0" applyFont="1" applyBorder="1"/>
    <xf numFmtId="40" fontId="3" fillId="0" borderId="9" xfId="0" applyNumberFormat="1" applyFont="1" applyBorder="1"/>
    <xf numFmtId="166" fontId="3" fillId="0" borderId="0" xfId="3" applyNumberFormat="1" applyFont="1" applyFill="1" applyBorder="1" applyProtection="1"/>
    <xf numFmtId="37" fontId="30" fillId="0" borderId="0" xfId="18" applyFont="1" applyBorder="1" applyAlignment="1"/>
    <xf numFmtId="37" fontId="30" fillId="0" borderId="0" xfId="18" applyFont="1" applyBorder="1" applyAlignment="1">
      <alignment horizontal="right"/>
    </xf>
    <xf numFmtId="0" fontId="13" fillId="0" borderId="0" xfId="0" applyFont="1" applyBorder="1"/>
    <xf numFmtId="0" fontId="24" fillId="0" borderId="0" xfId="0" applyFont="1" applyBorder="1"/>
    <xf numFmtId="165" fontId="10" fillId="0" borderId="0" xfId="4" applyNumberFormat="1" applyFont="1" applyBorder="1" applyProtection="1"/>
    <xf numFmtId="0" fontId="3" fillId="0" borderId="0" xfId="0" applyFont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18" fillId="0" borderId="0" xfId="0" applyFont="1" applyBorder="1"/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39" fillId="0" borderId="0" xfId="3" applyNumberFormat="1" applyFont="1" applyBorder="1" applyAlignment="1">
      <alignment horizontal="center"/>
    </xf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38" fontId="22" fillId="0" borderId="9" xfId="3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9" fontId="22" fillId="0" borderId="0" xfId="22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38" fontId="22" fillId="0" borderId="0" xfId="0" applyNumberFormat="1" applyFont="1" applyFill="1" applyBorder="1" applyAlignment="1">
      <alignment horizontal="center"/>
    </xf>
    <xf numFmtId="10" fontId="22" fillId="0" borderId="0" xfId="22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4" fontId="24" fillId="0" borderId="0" xfId="0" applyNumberFormat="1" applyFont="1" applyAlignment="1">
      <alignment horizontal="center"/>
    </xf>
    <xf numFmtId="14" fontId="2" fillId="0" borderId="6" xfId="0" applyNumberFormat="1" applyFont="1" applyFill="1" applyBorder="1" applyAlignment="1">
      <alignment horizontal="center"/>
    </xf>
    <xf numFmtId="43" fontId="22" fillId="8" borderId="0" xfId="3" applyFont="1" applyFill="1" applyBorder="1" applyAlignment="1">
      <alignment horizontal="right"/>
    </xf>
    <xf numFmtId="0" fontId="22" fillId="0" borderId="4" xfId="0" applyFont="1" applyFill="1" applyBorder="1" applyAlignment="1">
      <alignment horizontal="centerContinuous"/>
    </xf>
    <xf numFmtId="0" fontId="39" fillId="0" borderId="4" xfId="0" applyFont="1" applyFill="1" applyBorder="1" applyAlignment="1">
      <alignment horizontal="centerContinuous"/>
    </xf>
    <xf numFmtId="0" fontId="9" fillId="0" borderId="0" xfId="17" applyFont="1" applyFill="1" applyBorder="1"/>
    <xf numFmtId="0" fontId="19" fillId="0" borderId="0" xfId="0" applyFont="1" applyBorder="1" applyAlignment="1">
      <alignment horizontal="centerContinuous"/>
    </xf>
    <xf numFmtId="38" fontId="22" fillId="0" borderId="0" xfId="0" applyNumberFormat="1" applyFont="1"/>
    <xf numFmtId="10" fontId="22" fillId="0" borderId="0" xfId="0" applyNumberFormat="1" applyFont="1" applyBorder="1"/>
    <xf numFmtId="3" fontId="3" fillId="0" borderId="0" xfId="0" applyNumberFormat="1" applyFont="1" applyFill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66" fontId="3" fillId="8" borderId="0" xfId="3" applyNumberFormat="1" applyFont="1" applyFill="1"/>
    <xf numFmtId="166" fontId="2" fillId="8" borderId="0" xfId="3" applyNumberFormat="1" applyFont="1" applyFill="1"/>
    <xf numFmtId="166" fontId="3" fillId="8" borderId="4" xfId="3" applyNumberFormat="1" applyFont="1" applyFill="1" applyBorder="1"/>
    <xf numFmtId="0" fontId="19" fillId="0" borderId="6" xfId="0" applyFont="1" applyBorder="1"/>
    <xf numFmtId="38" fontId="19" fillId="0" borderId="13" xfId="3" applyNumberFormat="1" applyFont="1" applyBorder="1" applyAlignment="1">
      <alignment horizontal="center"/>
    </xf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2" applyNumberFormat="1" applyFont="1" applyBorder="1" applyAlignment="1">
      <alignment horizontal="center"/>
    </xf>
    <xf numFmtId="9" fontId="19" fillId="0" borderId="6" xfId="0" applyNumberFormat="1" applyFont="1" applyBorder="1" applyAlignment="1">
      <alignment horizontal="center"/>
    </xf>
    <xf numFmtId="0" fontId="2" fillId="0" borderId="18" xfId="0" applyFont="1" applyBorder="1" applyAlignment="1"/>
    <xf numFmtId="0" fontId="3" fillId="0" borderId="11" xfId="0" applyFont="1" applyBorder="1"/>
    <xf numFmtId="164" fontId="3" fillId="0" borderId="17" xfId="22" applyNumberFormat="1" applyFont="1" applyBorder="1"/>
    <xf numFmtId="164" fontId="15" fillId="0" borderId="17" xfId="22" applyNumberFormat="1" applyFont="1" applyBorder="1"/>
    <xf numFmtId="166" fontId="10" fillId="0" borderId="19" xfId="3" applyNumberFormat="1" applyFont="1" applyBorder="1"/>
    <xf numFmtId="164" fontId="3" fillId="0" borderId="20" xfId="22" applyNumberFormat="1" applyFont="1" applyBorder="1"/>
    <xf numFmtId="0" fontId="96" fillId="0" borderId="0" xfId="0" applyFont="1"/>
    <xf numFmtId="10" fontId="39" fillId="0" borderId="0" xfId="0" applyNumberFormat="1" applyFont="1" applyBorder="1" applyAlignment="1" applyProtection="1">
      <alignment horizontal="center"/>
    </xf>
    <xf numFmtId="10" fontId="22" fillId="0" borderId="0" xfId="22" applyNumberFormat="1" applyFont="1" applyBorder="1" applyAlignment="1">
      <alignment horizontal="center"/>
    </xf>
    <xf numFmtId="10" fontId="9" fillId="0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8" borderId="0" xfId="0" applyNumberFormat="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9" fillId="8" borderId="0" xfId="0" applyNumberFormat="1" applyFont="1" applyFill="1" applyBorder="1" applyAlignment="1">
      <alignment horizontal="center"/>
    </xf>
    <xf numFmtId="38" fontId="22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center"/>
    </xf>
    <xf numFmtId="9" fontId="39" fillId="0" borderId="0" xfId="22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0" fontId="22" fillId="0" borderId="9" xfId="22" applyNumberFormat="1" applyFont="1" applyFill="1" applyBorder="1" applyAlignment="1">
      <alignment horizontal="center"/>
    </xf>
    <xf numFmtId="187" fontId="3" fillId="0" borderId="0" xfId="0" applyNumberFormat="1" applyFont="1"/>
    <xf numFmtId="164" fontId="3" fillId="0" borderId="0" xfId="22" applyNumberFormat="1" applyFont="1"/>
    <xf numFmtId="3" fontId="22" fillId="0" borderId="0" xfId="3" applyNumberFormat="1" applyFont="1" applyFill="1" applyBorder="1" applyAlignment="1">
      <alignment horizontal="center"/>
    </xf>
    <xf numFmtId="3" fontId="22" fillId="0" borderId="0" xfId="3" applyNumberFormat="1" applyFont="1" applyBorder="1" applyAlignment="1">
      <alignment horizontal="center"/>
    </xf>
    <xf numFmtId="0" fontId="19" fillId="0" borderId="10" xfId="0" applyFont="1" applyBorder="1"/>
    <xf numFmtId="10" fontId="45" fillId="0" borderId="3" xfId="22" applyNumberFormat="1" applyFont="1" applyFill="1" applyBorder="1" applyAlignment="1">
      <alignment horizontal="right"/>
    </xf>
    <xf numFmtId="0" fontId="2" fillId="4" borderId="0" xfId="0" applyFont="1" applyFill="1" applyAlignment="1" applyProtection="1">
      <alignment horizontal="left"/>
      <protection locked="0"/>
    </xf>
    <xf numFmtId="166" fontId="18" fillId="0" borderId="0" xfId="3" applyNumberFormat="1" applyFont="1"/>
    <xf numFmtId="9" fontId="3" fillId="0" borderId="0" xfId="22" applyFont="1"/>
    <xf numFmtId="0" fontId="2" fillId="0" borderId="11" xfId="0" applyFont="1" applyBorder="1" applyAlignment="1"/>
    <xf numFmtId="43" fontId="3" fillId="0" borderId="0" xfId="3" applyNumberFormat="1" applyFont="1"/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4" fontId="29" fillId="0" borderId="0" xfId="0" applyNumberFormat="1" applyFont="1" applyFill="1" applyBorder="1" applyAlignment="1">
      <alignment horizontal="center"/>
    </xf>
    <xf numFmtId="14" fontId="24" fillId="0" borderId="0" xfId="0" applyNumberFormat="1" applyFont="1" applyFill="1" applyAlignment="1">
      <alignment horizontal="center"/>
    </xf>
    <xf numFmtId="0" fontId="2" fillId="0" borderId="18" xfId="0" applyFont="1" applyBorder="1"/>
    <xf numFmtId="0" fontId="2" fillId="0" borderId="11" xfId="0" applyFont="1" applyBorder="1"/>
    <xf numFmtId="14" fontId="15" fillId="0" borderId="0" xfId="0" applyNumberFormat="1" applyFont="1" applyFill="1" applyAlignment="1">
      <alignment horizontal="center"/>
    </xf>
    <xf numFmtId="3" fontId="15" fillId="0" borderId="0" xfId="0" applyNumberFormat="1" applyFont="1"/>
    <xf numFmtId="179" fontId="17" fillId="0" borderId="0" xfId="0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173" fontId="3" fillId="0" borderId="16" xfId="0" applyNumberFormat="1" applyFont="1" applyFill="1" applyBorder="1" applyAlignment="1">
      <alignment horizontal="center"/>
    </xf>
    <xf numFmtId="173" fontId="15" fillId="0" borderId="17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left"/>
    </xf>
    <xf numFmtId="173" fontId="3" fillId="0" borderId="20" xfId="0" applyNumberFormat="1" applyFont="1" applyBorder="1" applyAlignment="1">
      <alignment horizontal="center"/>
    </xf>
    <xf numFmtId="0" fontId="18" fillId="0" borderId="18" xfId="0" applyFont="1" applyBorder="1"/>
    <xf numFmtId="2" fontId="18" fillId="0" borderId="16" xfId="0" applyNumberFormat="1" applyFont="1" applyBorder="1" applyAlignment="1">
      <alignment horizontal="center"/>
    </xf>
    <xf numFmtId="0" fontId="18" fillId="0" borderId="11" xfId="0" applyFont="1" applyBorder="1"/>
    <xf numFmtId="4" fontId="3" fillId="0" borderId="17" xfId="0" applyNumberFormat="1" applyFont="1" applyBorder="1" applyAlignment="1">
      <alignment horizontal="center"/>
    </xf>
    <xf numFmtId="37" fontId="3" fillId="0" borderId="20" xfId="0" applyNumberFormat="1" applyFont="1" applyFill="1" applyBorder="1" applyAlignment="1">
      <alignment horizontal="center"/>
    </xf>
    <xf numFmtId="168" fontId="15" fillId="0" borderId="0" xfId="3" applyNumberFormat="1" applyFont="1"/>
    <xf numFmtId="166" fontId="3" fillId="0" borderId="4" xfId="3" applyNumberFormat="1" applyFont="1" applyBorder="1" applyAlignment="1" applyProtection="1">
      <alignment horizontal="left"/>
    </xf>
    <xf numFmtId="166" fontId="2" fillId="0" borderId="21" xfId="3" applyNumberFormat="1" applyFont="1" applyBorder="1"/>
    <xf numFmtId="166" fontId="3" fillId="0" borderId="4" xfId="3" applyNumberFormat="1" applyFont="1" applyFill="1" applyBorder="1"/>
    <xf numFmtId="0" fontId="13" fillId="0" borderId="0" xfId="0" applyFont="1" applyFill="1"/>
    <xf numFmtId="3" fontId="15" fillId="0" borderId="0" xfId="0" applyNumberFormat="1" applyFont="1" applyFill="1" applyBorder="1"/>
    <xf numFmtId="3" fontId="2" fillId="0" borderId="0" xfId="0" applyNumberFormat="1" applyFont="1" applyFill="1" applyBorder="1"/>
    <xf numFmtId="15" fontId="22" fillId="8" borderId="0" xfId="0" applyNumberFormat="1" applyFont="1" applyFill="1" applyBorder="1" applyAlignment="1">
      <alignment horizontal="center"/>
    </xf>
    <xf numFmtId="3" fontId="11" fillId="0" borderId="0" xfId="0" applyNumberFormat="1" applyFont="1"/>
    <xf numFmtId="0" fontId="17" fillId="0" borderId="22" xfId="0" applyFont="1" applyBorder="1"/>
    <xf numFmtId="166" fontId="3" fillId="0" borderId="0" xfId="0" applyNumberFormat="1" applyFont="1" applyBorder="1" applyAlignment="1">
      <alignment horizontal="left"/>
    </xf>
    <xf numFmtId="166" fontId="97" fillId="0" borderId="0" xfId="0" applyNumberFormat="1" applyFont="1" applyFill="1" applyBorder="1" applyAlignment="1">
      <alignment horizontal="left"/>
    </xf>
    <xf numFmtId="9" fontId="22" fillId="0" borderId="0" xfId="0" applyNumberFormat="1" applyFont="1" applyFill="1" applyBorder="1" applyAlignment="1">
      <alignment horizontal="center"/>
    </xf>
    <xf numFmtId="179" fontId="17" fillId="11" borderId="23" xfId="0" applyNumberFormat="1" applyFont="1" applyFill="1" applyBorder="1" applyAlignment="1">
      <alignment horizontal="right"/>
    </xf>
    <xf numFmtId="179" fontId="17" fillId="2" borderId="23" xfId="0" applyNumberFormat="1" applyFont="1" applyFill="1" applyBorder="1" applyAlignment="1">
      <alignment horizontal="right"/>
    </xf>
    <xf numFmtId="179" fontId="17" fillId="2" borderId="24" xfId="0" applyNumberFormat="1" applyFont="1" applyFill="1" applyBorder="1" applyAlignment="1">
      <alignment horizontal="right"/>
    </xf>
    <xf numFmtId="10" fontId="2" fillId="12" borderId="3" xfId="22" applyNumberFormat="1" applyFont="1" applyFill="1" applyBorder="1" applyAlignment="1">
      <alignment horizontal="center"/>
    </xf>
    <xf numFmtId="166" fontId="15" fillId="0" borderId="0" xfId="3" applyNumberFormat="1" applyFont="1" applyFill="1"/>
    <xf numFmtId="9" fontId="22" fillId="0" borderId="6" xfId="22" applyFont="1" applyFill="1" applyBorder="1" applyAlignment="1">
      <alignment horizontal="center"/>
    </xf>
    <xf numFmtId="0" fontId="15" fillId="0" borderId="0" xfId="0" applyFont="1" applyFill="1"/>
    <xf numFmtId="0" fontId="2" fillId="0" borderId="12" xfId="0" applyFont="1" applyBorder="1"/>
    <xf numFmtId="0" fontId="2" fillId="0" borderId="16" xfId="0" applyFont="1" applyBorder="1"/>
    <xf numFmtId="0" fontId="2" fillId="0" borderId="11" xfId="0" applyFont="1" applyBorder="1" applyAlignment="1">
      <alignment horizontal="left"/>
    </xf>
    <xf numFmtId="179" fontId="2" fillId="0" borderId="17" xfId="0" applyNumberFormat="1" applyFont="1" applyBorder="1"/>
    <xf numFmtId="0" fontId="2" fillId="0" borderId="19" xfId="0" applyFont="1" applyBorder="1" applyAlignment="1">
      <alignment horizontal="left"/>
    </xf>
    <xf numFmtId="0" fontId="2" fillId="0" borderId="4" xfId="0" applyFont="1" applyBorder="1"/>
    <xf numFmtId="179" fontId="2" fillId="0" borderId="20" xfId="0" applyNumberFormat="1" applyFont="1" applyBorder="1"/>
    <xf numFmtId="0" fontId="22" fillId="0" borderId="0" xfId="0" applyFont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0" fontId="22" fillId="8" borderId="0" xfId="22" applyNumberFormat="1" applyFont="1" applyFill="1" applyBorder="1" applyAlignment="1">
      <alignment horizontal="center"/>
    </xf>
    <xf numFmtId="40" fontId="22" fillId="8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10" fontId="22" fillId="0" borderId="9" xfId="0" applyNumberFormat="1" applyFont="1" applyFill="1" applyBorder="1" applyAlignment="1">
      <alignment horizontal="center"/>
    </xf>
    <xf numFmtId="40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9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9" fillId="0" borderId="8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10" fontId="22" fillId="8" borderId="6" xfId="22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40" fontId="22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38" fontId="3" fillId="4" borderId="0" xfId="0" applyNumberFormat="1" applyFont="1" applyFill="1"/>
    <xf numFmtId="10" fontId="3" fillId="0" borderId="0" xfId="0" applyNumberFormat="1" applyFont="1" applyFill="1" applyBorder="1" applyAlignment="1">
      <alignment horizontal="center"/>
    </xf>
    <xf numFmtId="38" fontId="98" fillId="0" borderId="0" xfId="0" applyNumberFormat="1" applyFont="1"/>
    <xf numFmtId="38" fontId="14" fillId="0" borderId="0" xfId="0" applyNumberFormat="1" applyFont="1"/>
    <xf numFmtId="38" fontId="9" fillId="0" borderId="0" xfId="0" applyNumberFormat="1" applyFont="1"/>
    <xf numFmtId="0" fontId="2" fillId="0" borderId="4" xfId="0" applyFont="1" applyBorder="1" applyAlignment="1">
      <alignment horizontal="center"/>
    </xf>
    <xf numFmtId="37" fontId="3" fillId="0" borderId="0" xfId="0" applyNumberFormat="1" applyFont="1" applyFill="1"/>
    <xf numFmtId="10" fontId="3" fillId="0" borderId="0" xfId="22" applyNumberFormat="1" applyFont="1" applyAlignment="1">
      <alignment horizontal="center"/>
    </xf>
    <xf numFmtId="3" fontId="22" fillId="8" borderId="0" xfId="3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9" fontId="22" fillId="8" borderId="0" xfId="3" applyNumberFormat="1" applyFont="1" applyFill="1" applyBorder="1" applyAlignment="1">
      <alignment horizontal="center"/>
    </xf>
    <xf numFmtId="3" fontId="22" fillId="0" borderId="0" xfId="0" applyNumberFormat="1" applyFont="1"/>
    <xf numFmtId="3" fontId="3" fillId="0" borderId="0" xfId="0" applyNumberFormat="1" applyFont="1" applyAlignment="1">
      <alignment horizontal="center"/>
    </xf>
    <xf numFmtId="3" fontId="22" fillId="0" borderId="0" xfId="0" applyNumberFormat="1" applyFont="1" applyBorder="1" applyAlignment="1">
      <alignment horizontal="center"/>
    </xf>
    <xf numFmtId="0" fontId="0" fillId="0" borderId="0" xfId="0" applyBorder="1"/>
    <xf numFmtId="9" fontId="22" fillId="0" borderId="0" xfId="0" applyNumberFormat="1" applyFont="1" applyBorder="1" applyAlignment="1">
      <alignment horizontal="center"/>
    </xf>
    <xf numFmtId="9" fontId="22" fillId="0" borderId="0" xfId="22" applyNumberFormat="1" applyFont="1" applyBorder="1" applyAlignment="1">
      <alignment horizontal="center"/>
    </xf>
    <xf numFmtId="2" fontId="3" fillId="0" borderId="0" xfId="0" applyNumberFormat="1" applyFont="1" applyBorder="1"/>
    <xf numFmtId="37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39" fontId="9" fillId="0" borderId="0" xfId="0" applyNumberFormat="1" applyFont="1" applyFill="1" applyBorder="1" applyAlignment="1">
      <alignment horizontal="center"/>
    </xf>
    <xf numFmtId="173" fontId="9" fillId="0" borderId="0" xfId="22" applyNumberFormat="1" applyFont="1" applyFill="1" applyBorder="1" applyAlignment="1">
      <alignment horizontal="center"/>
    </xf>
    <xf numFmtId="173" fontId="19" fillId="0" borderId="0" xfId="22" applyNumberFormat="1" applyFont="1" applyFill="1" applyBorder="1" applyAlignment="1">
      <alignment horizontal="center"/>
    </xf>
    <xf numFmtId="37" fontId="9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right"/>
    </xf>
    <xf numFmtId="44" fontId="22" fillId="0" borderId="0" xfId="4" applyFont="1" applyFill="1" applyAlignment="1">
      <alignment horizontal="right"/>
    </xf>
    <xf numFmtId="43" fontId="22" fillId="10" borderId="0" xfId="3" applyNumberFormat="1" applyFont="1" applyFill="1" applyBorder="1" applyAlignment="1">
      <alignment horizontal="right"/>
    </xf>
    <xf numFmtId="0" fontId="99" fillId="0" borderId="0" xfId="0" applyFont="1" applyAlignment="1">
      <alignment horizontal="center"/>
    </xf>
    <xf numFmtId="0" fontId="100" fillId="0" borderId="0" xfId="0" applyFont="1"/>
    <xf numFmtId="166" fontId="99" fillId="0" borderId="0" xfId="0" applyNumberFormat="1" applyFont="1"/>
    <xf numFmtId="166" fontId="100" fillId="0" borderId="0" xfId="0" applyNumberFormat="1" applyFont="1"/>
    <xf numFmtId="0" fontId="100" fillId="0" borderId="0" xfId="0" applyFont="1" applyFill="1"/>
    <xf numFmtId="15" fontId="22" fillId="0" borderId="0" xfId="0" applyNumberFormat="1" applyFont="1" applyFill="1" applyBorder="1" applyAlignment="1">
      <alignment horizontal="center"/>
    </xf>
    <xf numFmtId="38" fontId="15" fillId="0" borderId="4" xfId="3" applyNumberFormat="1" applyFont="1" applyFill="1" applyBorder="1"/>
    <xf numFmtId="0" fontId="101" fillId="0" borderId="0" xfId="0" applyFont="1"/>
    <xf numFmtId="38" fontId="13" fillId="0" borderId="0" xfId="0" applyNumberFormat="1" applyFont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6" fontId="13" fillId="0" borderId="0" xfId="3" applyNumberFormat="1" applyFont="1" applyFill="1" applyBorder="1"/>
    <xf numFmtId="166" fontId="13" fillId="0" borderId="0" xfId="0" applyNumberFormat="1" applyFont="1"/>
    <xf numFmtId="166" fontId="101" fillId="0" borderId="0" xfId="3" applyNumberFormat="1" applyFont="1" applyFill="1" applyBorder="1"/>
    <xf numFmtId="0" fontId="3" fillId="0" borderId="5" xfId="0" applyFont="1" applyBorder="1"/>
    <xf numFmtId="10" fontId="2" fillId="0" borderId="0" xfId="22" applyNumberFormat="1" applyFont="1" applyFill="1"/>
    <xf numFmtId="166" fontId="2" fillId="0" borderId="5" xfId="3" applyNumberFormat="1" applyFont="1" applyFill="1" applyBorder="1"/>
    <xf numFmtId="10" fontId="2" fillId="0" borderId="5" xfId="22" applyNumberFormat="1" applyFont="1" applyFill="1" applyBorder="1"/>
    <xf numFmtId="10" fontId="3" fillId="0" borderId="0" xfId="22" applyNumberFormat="1" applyFont="1" applyFill="1"/>
    <xf numFmtId="10" fontId="15" fillId="0" borderId="0" xfId="22" applyNumberFormat="1" applyFont="1" applyFill="1"/>
    <xf numFmtId="0" fontId="7" fillId="4" borderId="0" xfId="17" applyFont="1" applyFill="1" applyBorder="1"/>
    <xf numFmtId="190" fontId="3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8" xfId="0" applyFont="1" applyBorder="1" applyAlignment="1">
      <alignment horizontal="centerContinuous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10" fontId="15" fillId="0" borderId="0" xfId="3" applyNumberFormat="1" applyFont="1" applyFill="1" applyBorder="1"/>
    <xf numFmtId="164" fontId="16" fillId="0" borderId="0" xfId="22" applyNumberFormat="1" applyFont="1"/>
    <xf numFmtId="166" fontId="13" fillId="0" borderId="0" xfId="0" applyNumberFormat="1" applyFont="1" applyFill="1" applyBorder="1"/>
    <xf numFmtId="166" fontId="101" fillId="0" borderId="0" xfId="0" applyNumberFormat="1" applyFont="1" applyFill="1" applyBorder="1"/>
    <xf numFmtId="166" fontId="13" fillId="0" borderId="0" xfId="3" applyNumberFormat="1" applyFont="1" applyFill="1"/>
    <xf numFmtId="166" fontId="2" fillId="0" borderId="0" xfId="3" applyNumberFormat="1" applyFont="1" applyFill="1" applyBorder="1" applyProtection="1"/>
    <xf numFmtId="0" fontId="102" fillId="0" borderId="11" xfId="0" applyFont="1" applyBorder="1" applyAlignment="1" applyProtection="1">
      <alignment horizontal="left"/>
    </xf>
    <xf numFmtId="0" fontId="10" fillId="0" borderId="0" xfId="0" applyFont="1" applyBorder="1"/>
    <xf numFmtId="0" fontId="43" fillId="0" borderId="0" xfId="0" applyFont="1"/>
    <xf numFmtId="1" fontId="10" fillId="0" borderId="0" xfId="0" applyNumberFormat="1" applyFont="1" applyBorder="1"/>
    <xf numFmtId="1" fontId="43" fillId="0" borderId="0" xfId="0" applyNumberFormat="1" applyFont="1" applyBorder="1"/>
    <xf numFmtId="166" fontId="43" fillId="0" borderId="0" xfId="3" applyNumberFormat="1" applyFont="1" applyBorder="1"/>
    <xf numFmtId="0" fontId="43" fillId="0" borderId="0" xfId="0" applyFont="1" applyBorder="1"/>
    <xf numFmtId="0" fontId="20" fillId="0" borderId="0" xfId="0" applyFont="1" applyBorder="1"/>
    <xf numFmtId="165" fontId="20" fillId="0" borderId="0" xfId="4" applyNumberFormat="1" applyFont="1" applyBorder="1" applyProtection="1"/>
    <xf numFmtId="0" fontId="10" fillId="0" borderId="0" xfId="0" applyFont="1" applyBorder="1" applyAlignment="1" applyProtection="1">
      <alignment horizontal="left"/>
    </xf>
    <xf numFmtId="0" fontId="20" fillId="0" borderId="11" xfId="0" applyFont="1" applyBorder="1" applyAlignment="1" applyProtection="1">
      <alignment horizontal="left"/>
    </xf>
    <xf numFmtId="165" fontId="3" fillId="0" borderId="0" xfId="4" applyNumberFormat="1" applyFont="1" applyBorder="1" applyProtection="1"/>
    <xf numFmtId="10" fontId="15" fillId="0" borderId="0" xfId="0" applyNumberFormat="1" applyFont="1" applyBorder="1"/>
    <xf numFmtId="165" fontId="2" fillId="0" borderId="0" xfId="4" applyNumberFormat="1" applyFont="1" applyBorder="1" applyProtection="1"/>
    <xf numFmtId="41" fontId="3" fillId="0" borderId="0" xfId="0" applyNumberFormat="1" applyFont="1" applyBorder="1"/>
    <xf numFmtId="166" fontId="3" fillId="0" borderId="0" xfId="0" applyNumberFormat="1" applyFont="1" applyBorder="1"/>
    <xf numFmtId="0" fontId="103" fillId="0" borderId="11" xfId="0" applyFont="1" applyBorder="1" applyAlignment="1" applyProtection="1">
      <alignment horizontal="left"/>
    </xf>
    <xf numFmtId="0" fontId="3" fillId="0" borderId="11" xfId="0" applyFont="1" applyBorder="1" applyAlignment="1" applyProtection="1">
      <alignment horizontal="left"/>
    </xf>
    <xf numFmtId="0" fontId="3" fillId="0" borderId="4" xfId="0" applyFont="1" applyFill="1" applyBorder="1" applyAlignment="1">
      <alignment horizontal="left"/>
    </xf>
    <xf numFmtId="166" fontId="18" fillId="0" borderId="0" xfId="3" applyNumberFormat="1" applyFont="1" applyBorder="1"/>
    <xf numFmtId="38" fontId="18" fillId="0" borderId="0" xfId="0" applyNumberFormat="1" applyFont="1" applyBorder="1"/>
    <xf numFmtId="166" fontId="104" fillId="0" borderId="0" xfId="3" applyNumberFormat="1" applyFont="1" applyBorder="1"/>
    <xf numFmtId="166" fontId="18" fillId="0" borderId="0" xfId="0" applyNumberFormat="1" applyFont="1" applyBorder="1"/>
    <xf numFmtId="0" fontId="3" fillId="0" borderId="0" xfId="0" applyNumberFormat="1" applyFont="1" applyFill="1" applyBorder="1" applyAlignment="1">
      <alignment horizontal="left"/>
    </xf>
    <xf numFmtId="10" fontId="18" fillId="0" borderId="0" xfId="0" applyNumberFormat="1" applyFont="1" applyBorder="1"/>
    <xf numFmtId="10" fontId="104" fillId="0" borderId="0" xfId="0" applyNumberFormat="1" applyFont="1" applyBorder="1"/>
    <xf numFmtId="38" fontId="13" fillId="0" borderId="0" xfId="0" applyNumberFormat="1" applyFont="1" applyFill="1" applyBorder="1"/>
    <xf numFmtId="3" fontId="3" fillId="0" borderId="0" xfId="0" applyNumberFormat="1" applyFont="1" applyBorder="1"/>
    <xf numFmtId="38" fontId="22" fillId="0" borderId="9" xfId="0" applyNumberFormat="1" applyFont="1" applyFill="1" applyBorder="1" applyAlignment="1">
      <alignment horizontal="center"/>
    </xf>
    <xf numFmtId="0" fontId="22" fillId="0" borderId="8" xfId="0" applyFont="1" applyFill="1" applyBorder="1"/>
    <xf numFmtId="0" fontId="3" fillId="0" borderId="9" xfId="0" applyFont="1" applyFill="1" applyBorder="1"/>
    <xf numFmtId="40" fontId="22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0" fontId="22" fillId="0" borderId="7" xfId="0" applyNumberFormat="1" applyFont="1" applyFill="1" applyBorder="1" applyAlignment="1">
      <alignment horizontal="center"/>
    </xf>
    <xf numFmtId="40" fontId="22" fillId="0" borderId="8" xfId="0" applyNumberFormat="1" applyFont="1" applyFill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8" fontId="3" fillId="8" borderId="0" xfId="0" applyNumberFormat="1" applyFont="1" applyFill="1"/>
    <xf numFmtId="4" fontId="22" fillId="0" borderId="0" xfId="0" applyNumberFormat="1" applyFont="1" applyFill="1" applyBorder="1" applyAlignment="1">
      <alignment horizontal="center"/>
    </xf>
    <xf numFmtId="38" fontId="22" fillId="8" borderId="9" xfId="3" applyNumberFormat="1" applyFont="1" applyFill="1" applyBorder="1" applyAlignment="1">
      <alignment horizontal="center"/>
    </xf>
    <xf numFmtId="39" fontId="3" fillId="0" borderId="0" xfId="3" applyNumberFormat="1" applyFont="1" applyFill="1" applyBorder="1" applyAlignment="1">
      <alignment horizontal="center"/>
    </xf>
    <xf numFmtId="1" fontId="9" fillId="0" borderId="3" xfId="3" applyNumberFormat="1" applyFont="1" applyFill="1" applyBorder="1" applyAlignment="1">
      <alignment horizontal="center"/>
    </xf>
    <xf numFmtId="1" fontId="9" fillId="8" borderId="3" xfId="3" applyNumberFormat="1" applyFont="1" applyFill="1" applyBorder="1" applyAlignment="1">
      <alignment horizontal="center"/>
    </xf>
    <xf numFmtId="189" fontId="3" fillId="0" borderId="0" xfId="0" applyNumberFormat="1" applyFont="1"/>
    <xf numFmtId="166" fontId="2" fillId="0" borderId="0" xfId="0" applyNumberFormat="1" applyFont="1" applyFill="1"/>
    <xf numFmtId="166" fontId="17" fillId="8" borderId="0" xfId="3" applyNumberFormat="1" applyFont="1" applyFill="1" applyBorder="1"/>
    <xf numFmtId="38" fontId="3" fillId="8" borderId="0" xfId="3" applyNumberFormat="1" applyFont="1" applyFill="1"/>
    <xf numFmtId="166" fontId="13" fillId="0" borderId="0" xfId="3" applyNumberFormat="1" applyFont="1"/>
    <xf numFmtId="166" fontId="101" fillId="0" borderId="0" xfId="3" applyNumberFormat="1" applyFont="1"/>
    <xf numFmtId="222" fontId="22" fillId="0" borderId="0" xfId="3" applyNumberFormat="1" applyFont="1" applyBorder="1" applyAlignment="1">
      <alignment horizontal="center"/>
    </xf>
    <xf numFmtId="0" fontId="0" fillId="0" borderId="9" xfId="0" applyBorder="1"/>
    <xf numFmtId="39" fontId="22" fillId="0" borderId="0" xfId="3" applyNumberFormat="1" applyFont="1" applyFill="1" applyBorder="1" applyAlignment="1">
      <alignment horizontal="center"/>
    </xf>
    <xf numFmtId="0" fontId="0" fillId="0" borderId="10" xfId="0" applyBorder="1"/>
    <xf numFmtId="0" fontId="0" fillId="0" borderId="0" xfId="0" applyFill="1" applyBorder="1"/>
    <xf numFmtId="166" fontId="2" fillId="11" borderId="0" xfId="0" applyNumberFormat="1" applyFont="1" applyFill="1"/>
    <xf numFmtId="166" fontId="3" fillId="11" borderId="0" xfId="0" applyNumberFormat="1" applyFont="1" applyFill="1"/>
    <xf numFmtId="38" fontId="3" fillId="11" borderId="0" xfId="0" applyNumberFormat="1" applyFont="1" applyFill="1"/>
    <xf numFmtId="38" fontId="22" fillId="0" borderId="13" xfId="0" applyNumberFormat="1" applyFont="1" applyFill="1" applyBorder="1" applyAlignment="1">
      <alignment horizontal="center"/>
    </xf>
    <xf numFmtId="3" fontId="22" fillId="0" borderId="9" xfId="0" applyNumberFormat="1" applyFont="1" applyBorder="1" applyAlignment="1">
      <alignment horizontal="center"/>
    </xf>
    <xf numFmtId="0" fontId="22" fillId="0" borderId="4" xfId="0" applyFont="1" applyBorder="1"/>
    <xf numFmtId="3" fontId="22" fillId="0" borderId="4" xfId="3" applyNumberFormat="1" applyFont="1" applyBorder="1" applyAlignment="1">
      <alignment horizontal="center"/>
    </xf>
    <xf numFmtId="3" fontId="22" fillId="0" borderId="6" xfId="3" applyNumberFormat="1" applyFont="1" applyFill="1" applyBorder="1" applyAlignment="1">
      <alignment horizontal="center"/>
    </xf>
    <xf numFmtId="40" fontId="22" fillId="8" borderId="6" xfId="0" applyNumberFormat="1" applyFont="1" applyFill="1" applyBorder="1" applyAlignment="1">
      <alignment horizontal="center"/>
    </xf>
    <xf numFmtId="40" fontId="22" fillId="0" borderId="6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22" fillId="0" borderId="6" xfId="0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/>
    </xf>
    <xf numFmtId="0" fontId="2" fillId="0" borderId="5" xfId="0" applyFont="1" applyBorder="1"/>
    <xf numFmtId="166" fontId="2" fillId="8" borderId="0" xfId="0" applyNumberFormat="1" applyFont="1" applyFill="1" applyBorder="1"/>
    <xf numFmtId="221" fontId="22" fillId="0" borderId="0" xfId="3" applyNumberFormat="1" applyFont="1" applyBorder="1" applyAlignment="1">
      <alignment horizontal="center"/>
    </xf>
    <xf numFmtId="38" fontId="4" fillId="0" borderId="0" xfId="0" applyNumberFormat="1" applyFont="1" applyFill="1" applyAlignment="1">
      <alignment horizontal="left"/>
    </xf>
    <xf numFmtId="0" fontId="22" fillId="0" borderId="15" xfId="0" applyFont="1" applyBorder="1" applyAlignment="1">
      <alignment horizontal="left"/>
    </xf>
    <xf numFmtId="9" fontId="9" fillId="8" borderId="6" xfId="22" applyFont="1" applyFill="1" applyBorder="1" applyAlignment="1">
      <alignment horizontal="center"/>
    </xf>
    <xf numFmtId="38" fontId="3" fillId="0" borderId="0" xfId="4" applyNumberFormat="1" applyFont="1" applyFill="1" applyBorder="1" applyProtection="1"/>
    <xf numFmtId="14" fontId="2" fillId="0" borderId="6" xfId="0" applyNumberFormat="1" applyFont="1" applyFill="1" applyBorder="1" applyAlignment="1">
      <alignment horizontal="left"/>
    </xf>
    <xf numFmtId="9" fontId="3" fillId="0" borderId="0" xfId="0" applyNumberFormat="1" applyFont="1" applyBorder="1"/>
    <xf numFmtId="10" fontId="3" fillId="0" borderId="0" xfId="0" applyNumberFormat="1" applyFont="1" applyBorder="1"/>
    <xf numFmtId="210" fontId="3" fillId="0" borderId="9" xfId="0" applyNumberFormat="1" applyFont="1" applyBorder="1"/>
    <xf numFmtId="0" fontId="107" fillId="0" borderId="0" xfId="0" applyFont="1"/>
    <xf numFmtId="164" fontId="0" fillId="0" borderId="0" xfId="22" applyNumberFormat="1" applyFont="1"/>
    <xf numFmtId="164" fontId="0" fillId="0" borderId="3" xfId="0" applyNumberFormat="1" applyBorder="1"/>
    <xf numFmtId="166" fontId="106" fillId="0" borderId="3" xfId="3" applyNumberFormat="1" applyFont="1" applyBorder="1"/>
    <xf numFmtId="164" fontId="3" fillId="0" borderId="0" xfId="22" applyNumberFormat="1" applyFont="1" applyFill="1"/>
    <xf numFmtId="166" fontId="0" fillId="0" borderId="0" xfId="0" applyNumberFormat="1"/>
    <xf numFmtId="38" fontId="15" fillId="11" borderId="0" xfId="0" applyNumberFormat="1" applyFont="1" applyFill="1"/>
    <xf numFmtId="166" fontId="11" fillId="11" borderId="0" xfId="0" applyNumberFormat="1" applyFont="1" applyFill="1"/>
    <xf numFmtId="166" fontId="3" fillId="11" borderId="0" xfId="3" applyNumberFormat="1" applyFont="1" applyFill="1"/>
    <xf numFmtId="37" fontId="22" fillId="8" borderId="0" xfId="0" applyNumberFormat="1" applyFont="1" applyFill="1" applyBorder="1" applyAlignment="1">
      <alignment horizontal="center"/>
    </xf>
    <xf numFmtId="9" fontId="15" fillId="0" borderId="0" xfId="3" applyNumberFormat="1" applyFont="1" applyBorder="1"/>
    <xf numFmtId="166" fontId="2" fillId="0" borderId="5" xfId="3" quotePrefix="1" applyNumberFormat="1" applyFont="1" applyBorder="1" applyProtection="1"/>
    <xf numFmtId="0" fontId="19" fillId="0" borderId="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6" fontId="17" fillId="0" borderId="25" xfId="3" applyNumberFormat="1" applyFont="1" applyBorder="1" applyAlignment="1">
      <alignment horizontal="center"/>
    </xf>
    <xf numFmtId="166" fontId="17" fillId="0" borderId="26" xfId="3" applyNumberFormat="1" applyFont="1" applyBorder="1" applyAlignment="1">
      <alignment horizontal="center"/>
    </xf>
    <xf numFmtId="166" fontId="17" fillId="0" borderId="27" xfId="3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</cellXfs>
  <cellStyles count="34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IPP Summary" xfId="19"/>
    <cellStyle name="Normal_Summary" xfId="20"/>
    <cellStyle name="Normal_Yuma CE Strategic" xfId="21"/>
    <cellStyle name="Percent" xfId="22" builtinId="5"/>
    <cellStyle name="Percent [2]" xfId="23"/>
    <cellStyle name="Standard_Anpassen der Amortisation" xfId="24"/>
    <cellStyle name="Total" xfId="25" builtinId="25" customBuiltin="1"/>
    <cellStyle name="uk" xfId="26"/>
    <cellStyle name="Un" xfId="27"/>
    <cellStyle name="Unprot" xfId="28"/>
    <cellStyle name="Unprot$" xfId="29"/>
    <cellStyle name="Unprot_CurrencySKorea" xfId="30"/>
    <cellStyle name="Unprotect" xfId="31"/>
    <cellStyle name="Währung [0]_Compiling Utility Macros" xfId="32"/>
    <cellStyle name="Währung_Compiling Utility Macros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2" fmlaLink="$P$23" fmlaRange="$P$19:$P$22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409575</xdr:colOff>
          <xdr:row>33</xdr:row>
          <xdr:rowOff>28575</xdr:rowOff>
        </xdr:from>
        <xdr:to>
          <xdr:col>3</xdr:col>
          <xdr:colOff>619125</xdr:colOff>
          <xdr:row>34</xdr:row>
          <xdr:rowOff>161925</xdr:rowOff>
        </xdr:to>
        <xdr:sp macro="" textlink="">
          <xdr:nvSpPr>
            <xdr:cNvPr id="7590" name="Button 422" hidden="1">
              <a:extLst>
                <a:ext uri="{63B3BB69-23CF-44E3-9099-C40C66FF867C}">
                  <a14:compatExt spid="_x0000_s7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2047875</xdr:colOff>
          <xdr:row>18</xdr:row>
          <xdr:rowOff>180975</xdr:rowOff>
        </xdr:from>
        <xdr:to>
          <xdr:col>0</xdr:col>
          <xdr:colOff>3238500</xdr:colOff>
          <xdr:row>19</xdr:row>
          <xdr:rowOff>190500</xdr:rowOff>
        </xdr:to>
        <xdr:sp macro="" textlink="">
          <xdr:nvSpPr>
            <xdr:cNvPr id="26625" name="Drop Down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3-29-00/00%20O&amp;M%20analysis%20-%200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5-08-00/Peaker%20Valuation%2005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"/>
      <sheetName val="Consol Summary"/>
      <sheetName val="WC Summ"/>
      <sheetName val="WC MO"/>
      <sheetName val="WC YTD"/>
      <sheetName val="WH Summ"/>
      <sheetName val="WH MO"/>
      <sheetName val="WH YTD"/>
      <sheetName val="Gl Summ"/>
      <sheetName val="Gl MO"/>
      <sheetName val="Gl YTD"/>
    </sheetNames>
    <sheetDataSet>
      <sheetData sheetId="0" refreshError="1"/>
      <sheetData sheetId="1">
        <row r="22"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1"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5"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8">
          <cell r="D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F45">
            <v>0</v>
          </cell>
          <cell r="G45">
            <v>0</v>
          </cell>
          <cell r="H45">
            <v>0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pacity Prices"/>
      <sheetName val="Assumptions"/>
      <sheetName val="Spark-Spread"/>
      <sheetName val="99 Acct Sumry"/>
      <sheetName val="00 Acct Sumry"/>
      <sheetName val="Consolidated"/>
      <sheetName val="Brownsville"/>
      <sheetName val="Caledonia"/>
      <sheetName val="New Albany"/>
      <sheetName val="Gleason"/>
      <sheetName val="Wheatland"/>
      <sheetName val="Wilton"/>
      <sheetName val="Depreciation"/>
      <sheetName val="Notes"/>
      <sheetName val="Process"/>
      <sheetName val="Changes"/>
      <sheetName val="Start Charge Matri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H94"/>
  <sheetViews>
    <sheetView tabSelected="1" topLeftCell="A2" zoomScale="75" zoomScaleNormal="75" workbookViewId="0">
      <selection activeCell="A2" sqref="A2"/>
    </sheetView>
  </sheetViews>
  <sheetFormatPr defaultRowHeight="12.75"/>
  <cols>
    <col min="1" max="1" width="66" style="16" bestFit="1" customWidth="1"/>
    <col min="2" max="2" width="19.28515625" style="16" customWidth="1"/>
    <col min="3" max="3" width="20.7109375" style="16" customWidth="1"/>
    <col min="4" max="4" width="21.140625" style="16" customWidth="1"/>
    <col min="5" max="5" width="24.7109375" style="16" bestFit="1" customWidth="1"/>
    <col min="6" max="6" width="21.28515625" style="16" bestFit="1" customWidth="1"/>
    <col min="7" max="7" width="17.7109375" style="16" customWidth="1"/>
    <col min="8" max="8" width="9.85546875" style="16" customWidth="1"/>
    <col min="9" max="9" width="14.140625" style="16" customWidth="1"/>
    <col min="10" max="10" width="23" style="16" bestFit="1" customWidth="1"/>
    <col min="11" max="11" width="14.42578125" style="16" customWidth="1"/>
    <col min="12" max="12" width="13.85546875" style="16" customWidth="1"/>
    <col min="13" max="13" width="5.140625" style="16" customWidth="1"/>
    <col min="14" max="16" width="14.42578125" style="16" customWidth="1"/>
    <col min="17" max="17" width="5.7109375" style="16" customWidth="1"/>
    <col min="18" max="18" width="12.28515625" style="16" customWidth="1"/>
    <col min="19" max="19" width="9" style="16" customWidth="1"/>
    <col min="20" max="20" width="12" style="16" customWidth="1"/>
    <col min="21" max="21" width="12.85546875" style="16" customWidth="1"/>
    <col min="22" max="22" width="12" style="16" customWidth="1"/>
    <col min="23" max="23" width="23" style="16" bestFit="1" customWidth="1"/>
    <col min="24" max="29" width="12" style="16" customWidth="1"/>
    <col min="30" max="30" width="9.140625" style="16"/>
    <col min="31" max="33" width="10" style="16" customWidth="1"/>
    <col min="34" max="34" width="12" style="16" customWidth="1"/>
    <col min="35" max="35" width="17.5703125" style="16" customWidth="1"/>
    <col min="36" max="36" width="22.42578125" style="16" customWidth="1"/>
    <col min="37" max="37" width="19" style="16" customWidth="1"/>
    <col min="38" max="38" width="10.28515625" style="16" customWidth="1"/>
    <col min="39" max="58" width="13.140625" style="16" customWidth="1"/>
    <col min="59" max="59" width="9.140625" style="16"/>
    <col min="60" max="69" width="10" style="16" customWidth="1"/>
    <col min="70" max="70" width="9.140625" style="16"/>
    <col min="71" max="76" width="10" style="16" customWidth="1"/>
    <col min="77" max="77" width="9.140625" style="16"/>
    <col min="78" max="83" width="10" style="16" customWidth="1"/>
    <col min="84" max="16384" width="9.140625" style="16"/>
  </cols>
  <sheetData>
    <row r="1" spans="1:34" ht="25.5" hidden="1">
      <c r="A1" s="298" t="s">
        <v>111</v>
      </c>
      <c r="T1" s="141"/>
      <c r="AH1" s="141"/>
    </row>
    <row r="2" spans="1:34" ht="12.75" customHeight="1">
      <c r="A2" s="298"/>
      <c r="T2" s="141"/>
      <c r="AH2" s="141"/>
    </row>
    <row r="3" spans="1:34" ht="18.75">
      <c r="A3" s="438" t="s">
        <v>190</v>
      </c>
      <c r="B3" s="6"/>
      <c r="C3" s="6"/>
      <c r="D3" s="6"/>
    </row>
    <row r="5" spans="1:34" ht="13.5" thickBot="1">
      <c r="S5" s="122"/>
    </row>
    <row r="6" spans="1:34" ht="15.75">
      <c r="A6" s="165" t="s">
        <v>1</v>
      </c>
      <c r="B6" s="166"/>
      <c r="C6" s="166"/>
      <c r="D6" s="166"/>
      <c r="E6" s="27"/>
      <c r="F6" s="27"/>
      <c r="G6" s="28"/>
      <c r="T6" s="275"/>
    </row>
    <row r="7" spans="1:34" ht="15.75">
      <c r="A7" s="167" t="s">
        <v>5</v>
      </c>
      <c r="B7" s="168" t="s">
        <v>6</v>
      </c>
      <c r="C7" s="202" t="s">
        <v>7</v>
      </c>
      <c r="D7" s="169"/>
      <c r="E7" s="170" t="s">
        <v>283</v>
      </c>
      <c r="F7" s="168" t="s">
        <v>6</v>
      </c>
      <c r="G7" s="203" t="s">
        <v>7</v>
      </c>
      <c r="X7" s="36"/>
      <c r="Y7" s="36"/>
      <c r="Z7" s="36"/>
    </row>
    <row r="8" spans="1:34" ht="15.75">
      <c r="A8" s="171" t="s">
        <v>8</v>
      </c>
      <c r="B8" s="357">
        <f>C8/$C$12</f>
        <v>0.40949097121975186</v>
      </c>
      <c r="C8" s="256">
        <f>B35</f>
        <v>594253.76311300509</v>
      </c>
      <c r="D8" s="277"/>
      <c r="E8" s="172" t="s">
        <v>284</v>
      </c>
      <c r="F8" s="406">
        <f>G8/G15</f>
        <v>0.37311218324996204</v>
      </c>
      <c r="G8" s="261">
        <f>(C12-G12-G10)*Allocation!C10</f>
        <v>541460.8246407758</v>
      </c>
      <c r="H8" s="56"/>
      <c r="X8" s="36"/>
      <c r="Y8" s="36"/>
      <c r="Z8" s="36"/>
    </row>
    <row r="9" spans="1:34" ht="15.75">
      <c r="A9" s="171" t="s">
        <v>14</v>
      </c>
      <c r="B9" s="357">
        <f>C9/$C$12</f>
        <v>0.4754682051342744</v>
      </c>
      <c r="C9" s="256">
        <f>E21</f>
        <v>690000</v>
      </c>
      <c r="D9" s="185"/>
      <c r="E9" s="172" t="s">
        <v>285</v>
      </c>
      <c r="F9" s="406">
        <f>G9/G15</f>
        <v>0.51184699310406423</v>
      </c>
      <c r="G9" s="261">
        <f>(C12-G12-G10)*Allocation!C15</f>
        <v>742792.93847222906</v>
      </c>
      <c r="H9" s="6"/>
      <c r="T9" s="276"/>
      <c r="X9" s="36"/>
      <c r="Y9" s="36"/>
      <c r="Z9" s="36"/>
    </row>
    <row r="10" spans="1:34" ht="15.75">
      <c r="A10" s="176" t="s">
        <v>280</v>
      </c>
      <c r="B10" s="357">
        <f>C10/$C$12</f>
        <v>0.11504082364597365</v>
      </c>
      <c r="C10" s="256">
        <f>'Contract Amortization'!C54</f>
        <v>166947.37410108224</v>
      </c>
      <c r="D10" s="169"/>
      <c r="E10" s="169" t="s">
        <v>280</v>
      </c>
      <c r="F10" s="406">
        <f>G10/G15</f>
        <v>0.11504082364597366</v>
      </c>
      <c r="G10" s="261">
        <f>'Contract Amortization'!C54</f>
        <v>166947.37410108224</v>
      </c>
      <c r="H10" s="127"/>
      <c r="T10" s="276"/>
      <c r="X10" s="36"/>
      <c r="Y10" s="36"/>
      <c r="Z10" s="36"/>
    </row>
    <row r="11" spans="1:34" ht="15.75">
      <c r="A11" s="30"/>
      <c r="B11" s="17"/>
      <c r="C11" s="17"/>
      <c r="D11" s="17"/>
      <c r="E11" s="17"/>
      <c r="F11" s="17"/>
      <c r="G11" s="29"/>
      <c r="H11" s="6"/>
      <c r="T11" s="276"/>
      <c r="X11" s="36"/>
      <c r="Y11" s="36"/>
      <c r="Z11" s="36"/>
    </row>
    <row r="12" spans="1:34" ht="15.75">
      <c r="A12" s="174" t="s">
        <v>15</v>
      </c>
      <c r="B12" s="265">
        <f>C12/$C$12</f>
        <v>1</v>
      </c>
      <c r="C12" s="257">
        <f>SUM(C8:C10)</f>
        <v>1451201.1372140874</v>
      </c>
      <c r="D12" s="169"/>
      <c r="E12" s="172" t="s">
        <v>16</v>
      </c>
      <c r="F12" s="407">
        <f>G12/G15</f>
        <v>0</v>
      </c>
      <c r="G12" s="488">
        <v>0</v>
      </c>
      <c r="H12" s="140"/>
      <c r="T12" s="276"/>
      <c r="W12" s="36"/>
      <c r="X12" s="36"/>
      <c r="Y12" s="36"/>
      <c r="Z12" s="36"/>
    </row>
    <row r="13" spans="1:34" ht="15.75">
      <c r="A13" s="175"/>
      <c r="B13" s="299"/>
      <c r="C13" s="258"/>
      <c r="D13" s="169"/>
      <c r="E13" s="169"/>
      <c r="F13" s="290"/>
      <c r="G13" s="288"/>
      <c r="H13" s="6"/>
      <c r="T13" s="276"/>
      <c r="W13" s="36"/>
      <c r="X13" s="36"/>
      <c r="Y13" s="36"/>
      <c r="Z13" s="36"/>
    </row>
    <row r="14" spans="1:34" ht="15.75">
      <c r="A14" s="176" t="s">
        <v>18</v>
      </c>
      <c r="B14" s="303">
        <v>1</v>
      </c>
      <c r="C14" s="259">
        <f>B14*C8</f>
        <v>594253.76311300509</v>
      </c>
      <c r="D14" s="169"/>
      <c r="E14" s="239"/>
      <c r="F14" s="17"/>
      <c r="G14" s="29"/>
      <c r="H14" s="6"/>
      <c r="T14" s="276"/>
    </row>
    <row r="15" spans="1:34" ht="16.5" thickBot="1">
      <c r="A15" s="178" t="s">
        <v>19</v>
      </c>
      <c r="B15" s="304">
        <f>1-B14</f>
        <v>0</v>
      </c>
      <c r="C15" s="260">
        <f>B15*C8</f>
        <v>0</v>
      </c>
      <c r="D15" s="240"/>
      <c r="E15" s="286" t="s">
        <v>191</v>
      </c>
      <c r="F15" s="291">
        <f>SUM(F8:F13)</f>
        <v>1</v>
      </c>
      <c r="G15" s="287">
        <f>SUM(G8:G13)</f>
        <v>1451201.1372140872</v>
      </c>
      <c r="H15" s="6"/>
      <c r="T15" s="276"/>
    </row>
    <row r="16" spans="1:34" ht="16.5" thickBot="1">
      <c r="A16" s="17"/>
      <c r="B16" s="17"/>
      <c r="C16" s="17"/>
      <c r="D16" s="169"/>
      <c r="E16" s="172"/>
      <c r="F16" s="300"/>
      <c r="G16" s="173"/>
      <c r="H16" s="6"/>
      <c r="T16" s="276"/>
    </row>
    <row r="17" spans="1:20" ht="15.75">
      <c r="A17" s="165" t="s">
        <v>173</v>
      </c>
      <c r="B17" s="27"/>
      <c r="C17" s="27"/>
      <c r="D17" s="147"/>
      <c r="E17" s="27"/>
      <c r="F17" s="27"/>
      <c r="G17" s="28"/>
      <c r="H17" s="6"/>
      <c r="T17" s="276"/>
    </row>
    <row r="18" spans="1:20" ht="15.75">
      <c r="A18" s="30"/>
      <c r="B18" s="195" t="s">
        <v>20</v>
      </c>
      <c r="C18" s="195" t="s">
        <v>21</v>
      </c>
      <c r="D18" s="195" t="s">
        <v>22</v>
      </c>
      <c r="E18" s="195" t="s">
        <v>23</v>
      </c>
      <c r="F18" s="32"/>
      <c r="G18" s="245"/>
      <c r="H18" s="6"/>
      <c r="T18" s="276"/>
    </row>
    <row r="19" spans="1:20" ht="15.75">
      <c r="A19" s="317" t="s">
        <v>174</v>
      </c>
      <c r="B19" s="163"/>
      <c r="C19" s="163"/>
      <c r="D19" s="163"/>
      <c r="E19" s="17"/>
      <c r="F19" s="17"/>
      <c r="G19" s="29"/>
      <c r="H19" s="6"/>
      <c r="T19" s="276"/>
    </row>
    <row r="20" spans="1:20" ht="15.75">
      <c r="A20" s="181" t="s">
        <v>158</v>
      </c>
      <c r="B20" s="352">
        <v>36892</v>
      </c>
      <c r="C20" s="17"/>
      <c r="D20" s="17"/>
      <c r="E20" s="17"/>
      <c r="F20" s="17"/>
      <c r="G20" s="29"/>
      <c r="H20" s="6"/>
      <c r="T20" s="276"/>
    </row>
    <row r="21" spans="1:20" ht="15.75">
      <c r="A21" s="181" t="s">
        <v>24</v>
      </c>
      <c r="B21" s="536">
        <v>65000</v>
      </c>
      <c r="C21" s="536">
        <v>175000</v>
      </c>
      <c r="D21" s="536">
        <v>450000</v>
      </c>
      <c r="E21" s="409">
        <f>SUM(B21:D21)</f>
        <v>690000</v>
      </c>
      <c r="F21" s="148"/>
      <c r="G21" s="246"/>
      <c r="H21" s="127"/>
      <c r="T21" s="276"/>
    </row>
    <row r="22" spans="1:20" ht="15.75">
      <c r="A22" s="181" t="s">
        <v>25</v>
      </c>
      <c r="B22" s="373">
        <f>Debt!E98</f>
        <v>2.9952087611225187</v>
      </c>
      <c r="C22" s="373">
        <f>Debt!J98</f>
        <v>9.9958932238193015</v>
      </c>
      <c r="D22" s="373">
        <f>Debt!O98</f>
        <v>19.997262149212869</v>
      </c>
      <c r="E22" s="410"/>
      <c r="F22" s="148"/>
      <c r="G22" s="246"/>
      <c r="H22" s="127"/>
      <c r="T22" s="276"/>
    </row>
    <row r="23" spans="1:20" ht="15.75">
      <c r="A23" s="181" t="s">
        <v>27</v>
      </c>
      <c r="B23" s="423" t="str">
        <f>Assumptions!C19</f>
        <v>31-Dec-2003</v>
      </c>
      <c r="C23" s="352">
        <v>40543</v>
      </c>
      <c r="D23" s="352">
        <v>44196</v>
      </c>
      <c r="E23" s="409"/>
      <c r="F23" s="17"/>
      <c r="G23" s="29"/>
      <c r="H23" s="6"/>
      <c r="T23" s="276"/>
    </row>
    <row r="24" spans="1:20" ht="15.75">
      <c r="A24" s="181" t="s">
        <v>28</v>
      </c>
      <c r="B24" s="487">
        <f>Debt!E99</f>
        <v>1.7562149212867899</v>
      </c>
      <c r="C24" s="487">
        <f>Debt!J99</f>
        <v>7.1548336755646806</v>
      </c>
      <c r="D24" s="487">
        <f>Debt!O99</f>
        <v>15.030609171800137</v>
      </c>
      <c r="E24" s="411"/>
      <c r="F24" s="17"/>
      <c r="G24" s="29"/>
      <c r="T24" s="276"/>
    </row>
    <row r="25" spans="1:20" ht="15.75">
      <c r="A25" s="181"/>
      <c r="B25" s="17"/>
      <c r="C25" s="17"/>
      <c r="D25" s="17"/>
      <c r="E25" s="409"/>
      <c r="F25" s="17"/>
      <c r="G25" s="29"/>
      <c r="T25" s="276"/>
    </row>
    <row r="26" spans="1:20" ht="15.75">
      <c r="A26" s="30"/>
      <c r="B26" s="17"/>
      <c r="C26" s="17"/>
      <c r="D26" s="17"/>
      <c r="E26" s="409"/>
      <c r="F26" s="17"/>
      <c r="G26" s="29"/>
      <c r="T26" s="276"/>
    </row>
    <row r="27" spans="1:20" ht="15.75">
      <c r="A27" s="176" t="s">
        <v>278</v>
      </c>
      <c r="B27" s="306">
        <v>6.8000000000000005E-2</v>
      </c>
      <c r="C27" s="306">
        <v>6.5000000000000002E-2</v>
      </c>
      <c r="D27" s="306">
        <v>6.2E-2</v>
      </c>
      <c r="E27" s="412">
        <f>SUMPRODUCT(B27:D27,$B$21:$D$21)/E21</f>
        <v>6.332608695652174E-2</v>
      </c>
      <c r="F27" s="17"/>
      <c r="G27" s="29"/>
      <c r="T27" s="276"/>
    </row>
    <row r="28" spans="1:20" ht="15.75">
      <c r="A28" s="180" t="s">
        <v>30</v>
      </c>
      <c r="B28" s="307">
        <v>2.2499999999999999E-2</v>
      </c>
      <c r="C28" s="307">
        <v>4.4999999999999998E-2</v>
      </c>
      <c r="D28" s="307">
        <v>0.05</v>
      </c>
      <c r="E28" s="413">
        <f>SUMPRODUCT(B28:D28,$B$21:$D$21)/E21</f>
        <v>4.6141304347826088E-2</v>
      </c>
      <c r="F28" s="17"/>
      <c r="G28" s="29"/>
      <c r="T28" s="276"/>
    </row>
    <row r="29" spans="1:20" ht="15.75">
      <c r="A29" s="181" t="s">
        <v>296</v>
      </c>
      <c r="B29" s="182">
        <f>SUM(B27:B28)</f>
        <v>9.0499999999999997E-2</v>
      </c>
      <c r="C29" s="182">
        <f>SUM(C27:C28)</f>
        <v>0.11</v>
      </c>
      <c r="D29" s="182">
        <f>SUM(D27:D28)</f>
        <v>0.112</v>
      </c>
      <c r="E29" s="412">
        <f>SUMPRODUCT(B29:D29,$B$21:$D$21)/E21</f>
        <v>0.10946739130434782</v>
      </c>
      <c r="F29" s="17"/>
      <c r="G29" s="29"/>
      <c r="T29" s="276"/>
    </row>
    <row r="30" spans="1:20" ht="15.75">
      <c r="A30" s="176"/>
      <c r="B30" s="169"/>
      <c r="C30" s="169"/>
      <c r="D30" s="169"/>
      <c r="E30" s="254"/>
      <c r="F30" s="17"/>
      <c r="G30" s="29"/>
      <c r="T30" s="276"/>
    </row>
    <row r="31" spans="1:20" ht="15.75">
      <c r="A31" s="176" t="s">
        <v>33</v>
      </c>
      <c r="B31" s="305">
        <v>0.05</v>
      </c>
      <c r="C31" s="17"/>
      <c r="D31" s="17"/>
      <c r="E31" s="408"/>
      <c r="F31" s="524"/>
      <c r="G31" s="526"/>
      <c r="T31" s="276"/>
    </row>
    <row r="32" spans="1:20" ht="15.75">
      <c r="A32" s="30"/>
      <c r="B32" s="17"/>
      <c r="C32" s="17"/>
      <c r="D32" s="17"/>
      <c r="E32" s="17"/>
      <c r="F32" s="525"/>
      <c r="G32" s="29"/>
      <c r="T32" s="276"/>
    </row>
    <row r="33" spans="1:20" ht="15.75">
      <c r="A33" s="317" t="s">
        <v>175</v>
      </c>
      <c r="B33" s="17"/>
      <c r="C33" s="17"/>
      <c r="D33" s="17"/>
      <c r="E33" s="17"/>
      <c r="F33" s="17"/>
      <c r="G33" s="29"/>
      <c r="T33" s="276"/>
    </row>
    <row r="34" spans="1:20" ht="15.75">
      <c r="A34" s="181" t="s">
        <v>176</v>
      </c>
      <c r="B34" s="352">
        <v>36892</v>
      </c>
      <c r="C34" s="17"/>
      <c r="D34" s="17"/>
      <c r="E34" s="17"/>
      <c r="F34" s="17"/>
      <c r="G34" s="29"/>
      <c r="T34" s="276"/>
    </row>
    <row r="35" spans="1:20" ht="15.75">
      <c r="A35" s="181" t="s">
        <v>24</v>
      </c>
      <c r="B35" s="414">
        <v>594253.76311300509</v>
      </c>
      <c r="C35" s="17"/>
      <c r="D35" s="17"/>
      <c r="E35" s="17"/>
      <c r="F35" s="17"/>
      <c r="G35" s="29"/>
      <c r="T35" s="276"/>
    </row>
    <row r="36" spans="1:20" ht="16.5" thickBot="1">
      <c r="A36" s="520" t="s">
        <v>269</v>
      </c>
      <c r="B36" s="521">
        <v>0.14000000000000001</v>
      </c>
      <c r="C36" s="31"/>
      <c r="D36" s="31"/>
      <c r="E36" s="31"/>
      <c r="F36" s="31"/>
      <c r="G36" s="142"/>
      <c r="T36" s="276"/>
    </row>
    <row r="37" spans="1:20" ht="16.5" thickBot="1">
      <c r="A37" s="17"/>
      <c r="B37" s="17"/>
      <c r="C37" s="17"/>
      <c r="D37" s="17"/>
      <c r="E37" s="17"/>
      <c r="F37" s="17"/>
      <c r="G37" s="17"/>
      <c r="T37" s="276"/>
    </row>
    <row r="38" spans="1:20" ht="15.75">
      <c r="A38" s="164" t="s">
        <v>34</v>
      </c>
      <c r="B38" s="188"/>
      <c r="C38" s="189"/>
      <c r="D38" s="189"/>
      <c r="E38" s="193"/>
      <c r="F38" s="193"/>
      <c r="G38" s="28"/>
      <c r="T38" s="276"/>
    </row>
    <row r="39" spans="1:20" ht="15.75">
      <c r="A39" s="30"/>
      <c r="B39" s="272" t="s">
        <v>36</v>
      </c>
      <c r="C39" s="273"/>
      <c r="D39" s="17"/>
      <c r="E39" s="17"/>
      <c r="F39" s="169"/>
      <c r="G39" s="29"/>
      <c r="T39" s="276"/>
    </row>
    <row r="40" spans="1:20" ht="15.75">
      <c r="A40" s="176"/>
      <c r="B40" s="263">
        <v>1999</v>
      </c>
      <c r="C40" s="263">
        <v>2000</v>
      </c>
      <c r="D40" s="263" t="s">
        <v>37</v>
      </c>
      <c r="E40" s="263" t="s">
        <v>38</v>
      </c>
      <c r="F40" s="168" t="s">
        <v>39</v>
      </c>
      <c r="G40" s="29"/>
      <c r="T40" s="276"/>
    </row>
    <row r="41" spans="1:20" ht="15.75">
      <c r="A41" s="190" t="s">
        <v>40</v>
      </c>
      <c r="B41" s="301"/>
      <c r="C41" s="17"/>
      <c r="D41" s="301"/>
      <c r="E41" s="301"/>
      <c r="F41" s="169"/>
      <c r="G41" s="29"/>
      <c r="T41" s="276"/>
    </row>
    <row r="42" spans="1:20" ht="15.75">
      <c r="A42" s="191" t="s">
        <v>286</v>
      </c>
      <c r="B42" s="266">
        <f>G8</f>
        <v>541460.8246407758</v>
      </c>
      <c r="C42" s="186">
        <f>G9</f>
        <v>742792.93847222906</v>
      </c>
      <c r="D42" s="266">
        <v>15</v>
      </c>
      <c r="E42" s="309" t="s">
        <v>41</v>
      </c>
      <c r="F42" s="264">
        <v>0</v>
      </c>
      <c r="G42" s="29"/>
      <c r="T42" s="276"/>
    </row>
    <row r="43" spans="1:20" ht="15.75">
      <c r="A43" s="191" t="s">
        <v>287</v>
      </c>
      <c r="B43" s="266">
        <f>G12</f>
        <v>0</v>
      </c>
      <c r="C43" s="186"/>
      <c r="D43" s="266">
        <v>20</v>
      </c>
      <c r="E43" s="309" t="s">
        <v>42</v>
      </c>
      <c r="F43" s="264">
        <v>0</v>
      </c>
      <c r="G43" s="29"/>
      <c r="T43" s="276"/>
    </row>
    <row r="44" spans="1:20" ht="15.75">
      <c r="A44" s="191"/>
      <c r="B44" s="267"/>
      <c r="C44" s="253"/>
      <c r="D44" s="267"/>
      <c r="E44" s="267"/>
      <c r="F44" s="310"/>
      <c r="G44" s="29"/>
      <c r="T44" s="276"/>
    </row>
    <row r="45" spans="1:20" ht="15.75">
      <c r="A45" s="190" t="s">
        <v>44</v>
      </c>
      <c r="B45" s="267"/>
      <c r="C45" s="253"/>
      <c r="D45" s="267"/>
      <c r="E45" s="267"/>
      <c r="F45" s="264"/>
      <c r="G45" s="29"/>
      <c r="T45" s="276"/>
    </row>
    <row r="46" spans="1:20" ht="16.5" thickBot="1">
      <c r="A46" s="192" t="s">
        <v>229</v>
      </c>
      <c r="B46" s="268">
        <f>G8+G12*Allocation!C10+'Contract Amortization'!C46</f>
        <v>611199.36849397025</v>
      </c>
      <c r="C46" s="187">
        <f>G9+G12*Allocation!C15+'Contract Amortization'!C50</f>
        <v>840001.76872011682</v>
      </c>
      <c r="D46" s="268">
        <v>30</v>
      </c>
      <c r="E46" s="311" t="s">
        <v>42</v>
      </c>
      <c r="F46" s="363">
        <v>0.1</v>
      </c>
      <c r="G46" s="142"/>
      <c r="T46" s="276"/>
    </row>
    <row r="47" spans="1:20" ht="16.5" thickBot="1">
      <c r="T47" s="276"/>
    </row>
    <row r="48" spans="1:20" ht="15.75">
      <c r="A48" s="165" t="s">
        <v>48</v>
      </c>
      <c r="B48" s="193"/>
      <c r="C48" s="193"/>
      <c r="D48" s="193"/>
      <c r="E48" s="193"/>
      <c r="F48" s="193"/>
      <c r="G48" s="194"/>
      <c r="T48" s="276"/>
    </row>
    <row r="49" spans="1:24" ht="15.75">
      <c r="A49" s="176"/>
      <c r="B49" s="169"/>
      <c r="C49" s="169"/>
      <c r="D49" s="169"/>
      <c r="E49" s="169"/>
      <c r="F49" s="169"/>
      <c r="G49" s="177"/>
      <c r="T49" s="276"/>
    </row>
    <row r="50" spans="1:24" ht="15.75">
      <c r="A50" s="180" t="s">
        <v>0</v>
      </c>
      <c r="B50" s="183"/>
      <c r="C50" s="17"/>
      <c r="D50" s="168" t="s">
        <v>50</v>
      </c>
      <c r="E50" s="168" t="s">
        <v>51</v>
      </c>
      <c r="F50" s="169"/>
      <c r="G50" s="177"/>
      <c r="T50" s="276"/>
    </row>
    <row r="51" spans="1:24" ht="15.75">
      <c r="A51" s="176" t="s">
        <v>121</v>
      </c>
      <c r="B51" s="169"/>
      <c r="C51" s="17"/>
      <c r="D51" s="184">
        <f>Debt!D84</f>
        <v>1.2795424902279682</v>
      </c>
      <c r="E51" s="184">
        <f>Debt!D85</f>
        <v>1.281585358666933</v>
      </c>
      <c r="F51" s="169"/>
      <c r="G51" s="177"/>
      <c r="T51" s="276"/>
    </row>
    <row r="52" spans="1:24" ht="15.75">
      <c r="A52" s="176" t="s">
        <v>122</v>
      </c>
      <c r="B52" s="169"/>
      <c r="C52" s="17"/>
      <c r="D52" s="184">
        <f>Debt!G84</f>
        <v>1.3663213746516205</v>
      </c>
      <c r="E52" s="184">
        <f>Debt!G85</f>
        <v>3.0893412698181471</v>
      </c>
      <c r="F52" s="169"/>
      <c r="G52" s="177"/>
      <c r="T52" s="276"/>
    </row>
    <row r="53" spans="1:24" ht="15.75">
      <c r="A53" s="176"/>
      <c r="B53" s="169"/>
      <c r="C53" s="169"/>
      <c r="D53" s="169"/>
      <c r="E53" s="169"/>
      <c r="F53" s="169"/>
      <c r="G53" s="177"/>
      <c r="T53" s="276"/>
    </row>
    <row r="54" spans="1:24" ht="15.75">
      <c r="A54" s="176"/>
      <c r="B54" s="169"/>
      <c r="C54" s="169"/>
      <c r="D54" s="168" t="s">
        <v>52</v>
      </c>
      <c r="E54" s="168" t="s">
        <v>53</v>
      </c>
      <c r="F54" s="168" t="s">
        <v>54</v>
      </c>
      <c r="G54" s="177"/>
      <c r="T54" s="276"/>
    </row>
    <row r="55" spans="1:24" ht="15.75">
      <c r="A55" s="176" t="s">
        <v>299</v>
      </c>
      <c r="B55" s="169"/>
      <c r="C55" s="169"/>
      <c r="D55" s="186">
        <f>SUMPRODUCT(Assumptions!C9:E9,Assumptions!C10:E10)/SUM(Assumptions!C9:E9)</f>
        <v>11956.194594594595</v>
      </c>
      <c r="E55" s="186">
        <f>SUMPRODUCT(Assumptions!G9:I9,Assumptions!G10:I10)/SUM(Assumptions!G9:I9)</f>
        <v>11458.743073047859</v>
      </c>
      <c r="F55" s="186">
        <f>SUMPRODUCT(Assumptions!C9:I9,Assumptions!C10:I10)/Assumptions!K9</f>
        <v>11682.190773499826</v>
      </c>
      <c r="G55" s="177"/>
      <c r="T55" s="276"/>
    </row>
    <row r="56" spans="1:24" ht="15.75">
      <c r="A56" s="30"/>
      <c r="B56" s="17"/>
      <c r="C56" s="17"/>
      <c r="D56" s="17"/>
      <c r="E56" s="17"/>
      <c r="F56" s="17"/>
      <c r="G56" s="29"/>
      <c r="T56" s="276"/>
    </row>
    <row r="57" spans="1:24" ht="15.75">
      <c r="A57" s="176" t="s">
        <v>288</v>
      </c>
      <c r="B57" s="169"/>
      <c r="C57" s="169"/>
      <c r="D57" s="186">
        <f>SUM(Assumptions!C9:E9)</f>
        <v>1295</v>
      </c>
      <c r="E57" s="186">
        <f>SUM(Assumptions!G9:I9)</f>
        <v>1588</v>
      </c>
      <c r="F57" s="186">
        <f>SUM(D57:E57)</f>
        <v>2883</v>
      </c>
      <c r="G57" s="177"/>
      <c r="T57" s="40"/>
      <c r="U57" s="40"/>
      <c r="V57" s="40"/>
      <c r="W57" s="40"/>
      <c r="X57" s="40"/>
    </row>
    <row r="58" spans="1:24" ht="15.75">
      <c r="A58" s="176"/>
      <c r="B58" s="17"/>
      <c r="C58" s="17"/>
      <c r="D58" s="186"/>
      <c r="E58" s="186"/>
      <c r="F58" s="186"/>
      <c r="G58" s="29"/>
      <c r="T58" s="40"/>
      <c r="U58" s="40"/>
      <c r="V58" s="40"/>
      <c r="W58" s="40"/>
      <c r="X58" s="40"/>
    </row>
    <row r="59" spans="1:24" ht="15.75">
      <c r="A59" s="176" t="s">
        <v>123</v>
      </c>
      <c r="B59" s="17"/>
      <c r="C59" s="17"/>
      <c r="D59" s="186">
        <f>Depreciation!V59/F57</f>
        <v>201.34597810809413</v>
      </c>
      <c r="E59" s="17"/>
      <c r="F59" s="17"/>
      <c r="G59" s="29"/>
      <c r="T59" s="402"/>
      <c r="U59" s="40"/>
      <c r="V59" s="40"/>
      <c r="W59" s="40"/>
      <c r="X59" s="40"/>
    </row>
    <row r="60" spans="1:24" ht="15.75">
      <c r="A60" s="30"/>
      <c r="B60" s="17"/>
      <c r="C60" s="17"/>
      <c r="D60" s="17"/>
      <c r="E60" s="17"/>
      <c r="F60" s="17"/>
      <c r="G60" s="29"/>
      <c r="T60" s="402"/>
      <c r="U60" s="40"/>
      <c r="V60" s="40"/>
      <c r="W60" s="40"/>
      <c r="X60" s="40"/>
    </row>
    <row r="61" spans="1:24" ht="15.75">
      <c r="A61" s="176" t="s">
        <v>295</v>
      </c>
      <c r="B61" s="169"/>
      <c r="C61" s="169"/>
      <c r="D61" s="289">
        <f>CF!B33</f>
        <v>0.14001414179801938</v>
      </c>
      <c r="E61" s="169"/>
      <c r="F61" s="169"/>
      <c r="G61" s="177"/>
      <c r="T61" s="402"/>
      <c r="U61" s="40"/>
      <c r="V61" s="40"/>
      <c r="W61" s="40"/>
      <c r="X61" s="40"/>
    </row>
    <row r="62" spans="1:24" ht="15.75">
      <c r="A62" s="176"/>
      <c r="B62" s="301"/>
      <c r="C62" s="185"/>
      <c r="D62" s="262"/>
      <c r="E62" s="169"/>
      <c r="F62" s="169"/>
      <c r="G62" s="177"/>
      <c r="T62" s="402"/>
      <c r="U62" s="40"/>
      <c r="V62" s="40"/>
      <c r="W62" s="40"/>
      <c r="X62" s="40"/>
    </row>
    <row r="63" spans="1:24" ht="15.75">
      <c r="A63" s="176"/>
      <c r="B63" s="168">
        <v>2001</v>
      </c>
      <c r="C63" s="168">
        <v>2002</v>
      </c>
      <c r="D63" s="168">
        <v>2003</v>
      </c>
      <c r="E63" s="168">
        <v>2004</v>
      </c>
      <c r="F63" s="168">
        <v>2005</v>
      </c>
      <c r="G63" s="29"/>
      <c r="T63" s="402"/>
      <c r="U63" s="40"/>
      <c r="V63" s="40"/>
      <c r="W63" s="40"/>
      <c r="X63" s="40"/>
    </row>
    <row r="64" spans="1:24" ht="15.75">
      <c r="A64" s="176" t="s">
        <v>165</v>
      </c>
      <c r="B64" s="186">
        <f>IS!B34</f>
        <v>171999.85037748344</v>
      </c>
      <c r="C64" s="186">
        <f>IS!C34</f>
        <v>171361.82623025382</v>
      </c>
      <c r="D64" s="186">
        <f>IS!D34</f>
        <v>170794.06991416006</v>
      </c>
      <c r="E64" s="186">
        <f>IS!E34</f>
        <v>207931.72575500078</v>
      </c>
      <c r="F64" s="186">
        <f>IS!F34</f>
        <v>218406.21700906413</v>
      </c>
      <c r="G64" s="29"/>
      <c r="I64" s="3"/>
      <c r="J64" s="403"/>
      <c r="K64" s="403"/>
      <c r="L64" s="403"/>
      <c r="M64" s="403"/>
      <c r="N64" s="403"/>
      <c r="O64" s="403"/>
      <c r="P64" s="403"/>
      <c r="Q64" s="403"/>
      <c r="R64" s="403"/>
      <c r="S64" s="40"/>
      <c r="T64" s="402"/>
      <c r="U64" s="40"/>
      <c r="V64" s="40"/>
      <c r="W64" s="40"/>
      <c r="X64" s="40"/>
    </row>
    <row r="65" spans="1:24" ht="15.75">
      <c r="A65" s="176" t="s">
        <v>166</v>
      </c>
      <c r="B65" s="186">
        <f>IS!B47</f>
        <v>32891.56527700297</v>
      </c>
      <c r="C65" s="186">
        <f>IS!C47</f>
        <v>33507.22072641585</v>
      </c>
      <c r="D65" s="186">
        <f>IS!D47</f>
        <v>34510.483961715057</v>
      </c>
      <c r="E65" s="186">
        <f>IS!E47</f>
        <v>58237.523797851922</v>
      </c>
      <c r="F65" s="186">
        <f>IS!F47</f>
        <v>65869.322503243849</v>
      </c>
      <c r="G65" s="29"/>
      <c r="J65" s="403"/>
      <c r="K65" s="403"/>
      <c r="L65" s="403"/>
      <c r="M65" s="403"/>
      <c r="N65" s="403"/>
      <c r="O65" s="403"/>
      <c r="P65" s="403"/>
      <c r="Q65" s="403"/>
      <c r="R65" s="403"/>
      <c r="S65" s="40"/>
      <c r="T65" s="402"/>
      <c r="U65" s="40"/>
      <c r="V65" s="40"/>
      <c r="W65" s="40"/>
      <c r="X65" s="40"/>
    </row>
    <row r="66" spans="1:24" ht="15.75">
      <c r="A66" s="176" t="s">
        <v>163</v>
      </c>
      <c r="B66" s="186">
        <f>CF!C17</f>
        <v>27130.522153903876</v>
      </c>
      <c r="C66" s="186">
        <f>CF!D17</f>
        <v>26842.2471737827</v>
      </c>
      <c r="D66" s="186">
        <f>CF!E17</f>
        <v>26699.410915183791</v>
      </c>
      <c r="E66" s="186">
        <f>CF!F17</f>
        <v>123753.0916427489</v>
      </c>
      <c r="F66" s="186">
        <f>CF!G17</f>
        <v>130578.98773185676</v>
      </c>
      <c r="G66" s="29"/>
      <c r="J66" s="403"/>
      <c r="K66" s="403"/>
      <c r="L66" s="403"/>
      <c r="M66" s="403"/>
      <c r="N66" s="403"/>
      <c r="O66" s="403"/>
      <c r="P66" s="403"/>
      <c r="Q66" s="403"/>
      <c r="R66" s="403"/>
      <c r="S66" s="40"/>
      <c r="T66" s="402"/>
      <c r="U66" s="40"/>
      <c r="V66" s="40"/>
      <c r="W66" s="40"/>
      <c r="X66" s="40"/>
    </row>
    <row r="67" spans="1:24" ht="16.5" thickBot="1">
      <c r="A67" s="178" t="s">
        <v>164</v>
      </c>
      <c r="B67" s="187">
        <f>CF!C22</f>
        <v>26733.387642766284</v>
      </c>
      <c r="C67" s="187">
        <f>CF!D22</f>
        <v>26444.881935611193</v>
      </c>
      <c r="D67" s="187">
        <f>CF!E22</f>
        <v>26301.804627575853</v>
      </c>
      <c r="E67" s="187">
        <f>CF!F22</f>
        <v>123167.65916273884</v>
      </c>
      <c r="F67" s="187">
        <f>CF!G22</f>
        <v>129473.76821700744</v>
      </c>
      <c r="G67" s="142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2"/>
      <c r="U67" s="40"/>
      <c r="V67" s="40"/>
      <c r="W67" s="40"/>
      <c r="X67" s="40"/>
    </row>
    <row r="68" spans="1:24"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1:24"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4"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spans="1:24"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spans="1:24"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4"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spans="1:24"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spans="1:24">
      <c r="S75" s="40"/>
      <c r="T75" s="40"/>
      <c r="U75" s="40"/>
      <c r="V75" s="40"/>
      <c r="W75" s="40"/>
      <c r="X75" s="40"/>
    </row>
    <row r="76" spans="1:24">
      <c r="S76" s="40"/>
      <c r="T76" s="40"/>
      <c r="U76" s="40"/>
      <c r="V76" s="40"/>
      <c r="W76" s="40"/>
      <c r="X76" s="40"/>
    </row>
    <row r="77" spans="1:24">
      <c r="S77" s="40"/>
      <c r="T77" s="40"/>
      <c r="U77" s="40"/>
      <c r="V77" s="40"/>
      <c r="W77" s="40"/>
      <c r="X77" s="40"/>
    </row>
    <row r="78" spans="1:24">
      <c r="S78" s="40"/>
      <c r="T78" s="40"/>
      <c r="U78" s="40"/>
      <c r="V78" s="40"/>
      <c r="W78" s="40"/>
      <c r="X78" s="40"/>
    </row>
    <row r="79" spans="1:24">
      <c r="S79" s="40"/>
      <c r="T79" s="40"/>
      <c r="U79" s="40"/>
      <c r="V79" s="40"/>
      <c r="W79" s="40"/>
      <c r="X79" s="40"/>
    </row>
    <row r="80" spans="1:24">
      <c r="S80" s="40"/>
      <c r="T80" s="40"/>
      <c r="U80" s="40"/>
      <c r="V80" s="40"/>
      <c r="W80" s="40"/>
      <c r="X80" s="40"/>
    </row>
    <row r="81" spans="10:24">
      <c r="S81" s="40"/>
      <c r="T81" s="40"/>
      <c r="U81" s="40"/>
      <c r="V81" s="40"/>
      <c r="W81" s="40"/>
      <c r="X81" s="40"/>
    </row>
    <row r="82" spans="10:24">
      <c r="S82" s="40"/>
      <c r="T82" s="40"/>
      <c r="U82" s="40"/>
      <c r="V82" s="40"/>
      <c r="W82" s="40"/>
      <c r="X82" s="40"/>
    </row>
    <row r="83" spans="10:24">
      <c r="S83" s="40"/>
      <c r="T83" s="40"/>
      <c r="U83" s="40"/>
      <c r="V83" s="40"/>
      <c r="W83" s="40"/>
      <c r="X83" s="40"/>
    </row>
    <row r="84" spans="10:24">
      <c r="S84" s="40"/>
      <c r="T84" s="40"/>
      <c r="U84" s="40"/>
      <c r="V84" s="40"/>
      <c r="W84" s="40"/>
      <c r="X84" s="40"/>
    </row>
    <row r="85" spans="10:24">
      <c r="S85" s="40"/>
      <c r="T85" s="40"/>
      <c r="U85" s="40"/>
      <c r="V85" s="40"/>
      <c r="W85" s="40"/>
      <c r="X85" s="40"/>
    </row>
    <row r="86" spans="10:24">
      <c r="S86" s="40"/>
      <c r="T86" s="40"/>
      <c r="U86" s="40"/>
      <c r="V86" s="40"/>
      <c r="W86" s="40"/>
      <c r="X86" s="40"/>
    </row>
    <row r="87" spans="10:24">
      <c r="S87" s="40"/>
      <c r="T87" s="40"/>
      <c r="U87" s="40"/>
      <c r="V87" s="40"/>
      <c r="W87" s="40"/>
      <c r="X87" s="40"/>
    </row>
    <row r="88" spans="10:24"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10:24"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4" spans="10:24">
      <c r="Q94" s="6"/>
    </row>
  </sheetData>
  <pageMargins left="0.75" right="0.75" top="1" bottom="1" header="0.5" footer="0.5"/>
  <pageSetup scale="47" orientation="landscape" r:id="rId1"/>
  <headerFooter alignWithMargins="0">
    <oddHeader>&amp;L&amp;12Enron's Generation</oddHeader>
    <oddFooter>&amp;L&amp;T, &amp;D&amp;C&amp;F&amp;RPage &amp;P</oddFooter>
  </headerFooter>
  <colBreaks count="1" manualBreakCount="1">
    <brk id="18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90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409575</xdr:colOff>
                    <xdr:row>33</xdr:row>
                    <xdr:rowOff>28575</xdr:rowOff>
                  </from>
                  <to>
                    <xdr:col>3</xdr:col>
                    <xdr:colOff>619125</xdr:colOff>
                    <xdr:row>34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C769"/>
  <sheetViews>
    <sheetView zoomScale="75" zoomScaleNormal="75" workbookViewId="0"/>
  </sheetViews>
  <sheetFormatPr defaultRowHeight="12.75" outlineLevelRow="1" outlineLevelCol="1"/>
  <cols>
    <col min="1" max="1" width="40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102</v>
      </c>
      <c r="B2" s="391"/>
      <c r="C2" s="391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7" t="s">
        <v>65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42"/>
      <c r="C6" s="442"/>
      <c r="D6" s="442"/>
      <c r="E6" s="442"/>
      <c r="F6" s="442"/>
      <c r="G6" s="442"/>
      <c r="H6" s="442"/>
      <c r="I6" s="442"/>
      <c r="J6" s="442"/>
      <c r="K6" s="442"/>
      <c r="L6" s="442"/>
      <c r="M6" s="442"/>
      <c r="N6" s="442"/>
      <c r="O6" s="442"/>
      <c r="P6" s="442"/>
      <c r="Q6" s="442"/>
      <c r="R6" s="442"/>
      <c r="S6" s="442"/>
      <c r="T6" s="442"/>
      <c r="U6" s="442"/>
    </row>
    <row r="7" spans="1:55">
      <c r="A7" s="1" t="s">
        <v>66</v>
      </c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58"/>
      <c r="W7" s="58"/>
      <c r="X7" s="58"/>
      <c r="Y7" s="503">
        <f>SUM(Z7:AS7)-SUM(Z8:AS8)</f>
        <v>0</v>
      </c>
      <c r="Z7" s="504">
        <f>B10+B11</f>
        <v>587.47327199999995</v>
      </c>
      <c r="AA7" s="504">
        <f>C10+C11</f>
        <v>605.09747016000006</v>
      </c>
      <c r="AB7" s="504">
        <f>D10+D11</f>
        <v>623.25039426480009</v>
      </c>
      <c r="AC7" s="504">
        <f t="shared" ref="AC7:AS7" si="1">E16</f>
        <v>304.29526309274399</v>
      </c>
      <c r="AD7" s="504">
        <f t="shared" si="1"/>
        <v>313.42412098552626</v>
      </c>
      <c r="AE7" s="504">
        <f t="shared" si="1"/>
        <v>322.82684461509211</v>
      </c>
      <c r="AF7" s="504">
        <f t="shared" si="1"/>
        <v>332.51164995354486</v>
      </c>
      <c r="AG7" s="504">
        <f t="shared" si="1"/>
        <v>342.48699945215117</v>
      </c>
      <c r="AH7" s="504">
        <f t="shared" si="1"/>
        <v>352.76160943571574</v>
      </c>
      <c r="AI7" s="504">
        <f t="shared" si="1"/>
        <v>363.34445771878723</v>
      </c>
      <c r="AJ7" s="504">
        <f t="shared" si="1"/>
        <v>374.24479145035082</v>
      </c>
      <c r="AK7" s="504">
        <f t="shared" si="1"/>
        <v>385.47213519386128</v>
      </c>
      <c r="AL7" s="504">
        <f t="shared" si="1"/>
        <v>397.03629924967709</v>
      </c>
      <c r="AM7" s="504">
        <f t="shared" si="1"/>
        <v>408.94738822716749</v>
      </c>
      <c r="AN7" s="504">
        <f t="shared" si="1"/>
        <v>421.21580987398249</v>
      </c>
      <c r="AO7" s="504">
        <f t="shared" si="1"/>
        <v>433.85228417020198</v>
      </c>
      <c r="AP7" s="504">
        <f t="shared" si="1"/>
        <v>446.86785269530799</v>
      </c>
      <c r="AQ7" s="504">
        <f t="shared" si="1"/>
        <v>460.27388827616721</v>
      </c>
      <c r="AR7" s="504">
        <f t="shared" si="1"/>
        <v>474.08210492445221</v>
      </c>
      <c r="AS7" s="504">
        <f t="shared" si="1"/>
        <v>488.30456807218576</v>
      </c>
    </row>
    <row r="8" spans="1:55">
      <c r="A8" s="364" t="s">
        <v>159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503">
        <v>0</v>
      </c>
      <c r="Z8" s="533">
        <f>B24+B25</f>
        <v>587.47327199999995</v>
      </c>
      <c r="AA8" s="533">
        <f>C24+C25</f>
        <v>605.09747016000006</v>
      </c>
      <c r="AB8" s="533">
        <f>D24+D25</f>
        <v>623.25039426480009</v>
      </c>
      <c r="AC8" s="533">
        <f t="shared" ref="AC8:AS8" si="2">E24+1/3*E25</f>
        <v>304.29526309274399</v>
      </c>
      <c r="AD8" s="533">
        <f t="shared" si="2"/>
        <v>313.42412098552632</v>
      </c>
      <c r="AE8" s="533">
        <f t="shared" si="2"/>
        <v>322.82684461509211</v>
      </c>
      <c r="AF8" s="533">
        <f t="shared" si="2"/>
        <v>332.51164995354492</v>
      </c>
      <c r="AG8" s="533">
        <f t="shared" si="2"/>
        <v>342.48699945215128</v>
      </c>
      <c r="AH8" s="533">
        <f t="shared" si="2"/>
        <v>352.76160943571585</v>
      </c>
      <c r="AI8" s="533">
        <f t="shared" si="2"/>
        <v>363.34445771878734</v>
      </c>
      <c r="AJ8" s="533">
        <f t="shared" si="2"/>
        <v>374.24479145035093</v>
      </c>
      <c r="AK8" s="533">
        <f t="shared" si="2"/>
        <v>385.47213519386139</v>
      </c>
      <c r="AL8" s="533">
        <f t="shared" si="2"/>
        <v>397.03629924967731</v>
      </c>
      <c r="AM8" s="533">
        <f t="shared" si="2"/>
        <v>408.94738822716761</v>
      </c>
      <c r="AN8" s="533">
        <f t="shared" si="2"/>
        <v>421.21580987398261</v>
      </c>
      <c r="AO8" s="533">
        <f t="shared" si="2"/>
        <v>433.8522841702021</v>
      </c>
      <c r="AP8" s="533">
        <f t="shared" si="2"/>
        <v>446.86785269530816</v>
      </c>
      <c r="AQ8" s="533">
        <f t="shared" si="2"/>
        <v>460.27388827616744</v>
      </c>
      <c r="AR8" s="533">
        <f t="shared" si="2"/>
        <v>474.08210492445244</v>
      </c>
      <c r="AS8" s="533">
        <f t="shared" si="2"/>
        <v>488.30456807218599</v>
      </c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67</v>
      </c>
      <c r="B9" s="56">
        <f>'Power Price Assumption'!D32*12*Assumptions!$C$9</f>
        <v>21984</v>
      </c>
      <c r="C9" s="56">
        <f>'Power Price Assumption'!E32*12*Assumptions!$C$9</f>
        <v>21984</v>
      </c>
      <c r="D9" s="56">
        <f>'Power Price Assumption'!F32*12*Assumptions!$C$9</f>
        <v>21984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65952</v>
      </c>
      <c r="X9" s="16"/>
      <c r="Y9" s="503"/>
      <c r="Z9" s="505">
        <f>Z7-Z8</f>
        <v>0</v>
      </c>
      <c r="AA9" s="505">
        <f t="shared" ref="AA9:AS9" si="3">AA7-AA8</f>
        <v>0</v>
      </c>
      <c r="AB9" s="505">
        <f t="shared" si="3"/>
        <v>0</v>
      </c>
      <c r="AC9" s="505">
        <f t="shared" si="3"/>
        <v>0</v>
      </c>
      <c r="AD9" s="505">
        <f t="shared" si="3"/>
        <v>0</v>
      </c>
      <c r="AE9" s="505">
        <f t="shared" si="3"/>
        <v>0</v>
      </c>
      <c r="AF9" s="505">
        <f t="shared" si="3"/>
        <v>0</v>
      </c>
      <c r="AG9" s="505">
        <f t="shared" si="3"/>
        <v>0</v>
      </c>
      <c r="AH9" s="505">
        <f t="shared" si="3"/>
        <v>0</v>
      </c>
      <c r="AI9" s="505">
        <f t="shared" si="3"/>
        <v>0</v>
      </c>
      <c r="AJ9" s="505">
        <f t="shared" si="3"/>
        <v>0</v>
      </c>
      <c r="AK9" s="505">
        <f t="shared" si="3"/>
        <v>0</v>
      </c>
      <c r="AL9" s="505">
        <f t="shared" si="3"/>
        <v>0</v>
      </c>
      <c r="AM9" s="505">
        <f t="shared" si="3"/>
        <v>0</v>
      </c>
      <c r="AN9" s="505">
        <f t="shared" si="3"/>
        <v>0</v>
      </c>
      <c r="AO9" s="505">
        <f t="shared" si="3"/>
        <v>0</v>
      </c>
      <c r="AP9" s="505">
        <f t="shared" si="3"/>
        <v>0</v>
      </c>
      <c r="AQ9" s="505">
        <f t="shared" si="3"/>
        <v>0</v>
      </c>
      <c r="AR9" s="505">
        <f t="shared" si="3"/>
        <v>0</v>
      </c>
      <c r="AS9" s="505">
        <f t="shared" si="3"/>
        <v>0</v>
      </c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242</v>
      </c>
      <c r="B10" s="56">
        <f>Assumptions!C23*Assumptions!C21/1000*(1+Assumptions!$C$33)</f>
        <v>123.97327200000001</v>
      </c>
      <c r="C10" s="56">
        <f>B10*(1+Assumptions!$C$33)</f>
        <v>127.69247016000001</v>
      </c>
      <c r="D10" s="56">
        <f>C10*(1+Assumptions!$C$33)</f>
        <v>131.52324426480001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383.18898642480008</v>
      </c>
      <c r="X10" s="16"/>
      <c r="Y10" s="503"/>
      <c r="Z10" s="505"/>
      <c r="AA10" s="505"/>
      <c r="AB10" s="505"/>
      <c r="AC10" s="505"/>
      <c r="AD10" s="505"/>
      <c r="AE10" s="505"/>
      <c r="AF10" s="505"/>
      <c r="AG10" s="505"/>
      <c r="AH10" s="505"/>
      <c r="AI10" s="505"/>
      <c r="AJ10" s="505"/>
      <c r="AK10" s="505"/>
      <c r="AL10" s="505"/>
      <c r="AM10" s="505"/>
      <c r="AN10" s="505"/>
      <c r="AO10" s="505"/>
      <c r="AP10" s="505"/>
      <c r="AQ10" s="505"/>
      <c r="AR10" s="505"/>
      <c r="AS10" s="505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171</v>
      </c>
      <c r="B11" s="127">
        <f>Assumptions!$C$22*Assumptions!$C$11*Assumptions!$C$8/1000*(1+Assumptions!$C$33)</f>
        <v>463.5</v>
      </c>
      <c r="C11" s="91">
        <f>B11*(1+Assumptions!$C$33)</f>
        <v>477.40500000000003</v>
      </c>
      <c r="D11" s="91">
        <f>C11*(1+Assumptions!$C$33)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280</v>
      </c>
      <c r="B12" s="127">
        <f>'Contract Amortization'!$C$11*0.9/3</f>
        <v>7399.2864289026402</v>
      </c>
      <c r="C12" s="127">
        <f>'Contract Amortization'!$C$11*0.9/3</f>
        <v>7399.2864289026402</v>
      </c>
      <c r="D12" s="127">
        <f>'Contract Amortization'!$C$11*0.9/3</f>
        <v>7399.2864289026402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22197.859286707921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64" t="s">
        <v>183</v>
      </c>
      <c r="B14" s="127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67</v>
      </c>
      <c r="B15" s="19">
        <v>0</v>
      </c>
      <c r="C15" s="19">
        <v>0</v>
      </c>
      <c r="D15" s="19">
        <v>0</v>
      </c>
      <c r="E15" s="19">
        <f>'Power Price Assumption'!G32*Assumptions!$C$9*12</f>
        <v>35283.04271031278</v>
      </c>
      <c r="F15" s="19">
        <f>'Power Price Assumption'!H32*Assumptions!$C$9*12</f>
        <v>37032.451918507053</v>
      </c>
      <c r="G15" s="19">
        <f>'Power Price Assumption'!I32*Assumptions!$C$9*12</f>
        <v>37507.316002428866</v>
      </c>
      <c r="H15" s="19">
        <f>'Power Price Assumption'!J32*Assumptions!$C$9*12</f>
        <v>37988.268121834066</v>
      </c>
      <c r="I15" s="19">
        <f>'Power Price Assumption'!K32*Assumptions!$C$9*12</f>
        <v>38475.232938270477</v>
      </c>
      <c r="J15" s="19">
        <f>'Power Price Assumption'!L32*Assumptions!$C$9*12</f>
        <v>38968.81695624609</v>
      </c>
      <c r="K15" s="19">
        <f>'Power Price Assumption'!M32*Assumptions!$C$9*12</f>
        <v>39468.603238105337</v>
      </c>
      <c r="L15" s="19">
        <f>'Power Price Assumption'!N32*Assumptions!$C$9*12</f>
        <v>40215.199379872764</v>
      </c>
      <c r="M15" s="19">
        <f>'Power Price Assumption'!O32*Assumptions!$C$9*12</f>
        <v>40976.442802254533</v>
      </c>
      <c r="N15" s="19">
        <f>'Power Price Assumption'!P32*Assumptions!$C$9*12</f>
        <v>41751.910967114403</v>
      </c>
      <c r="O15" s="19">
        <f>'Power Price Assumption'!Q32*Assumptions!$C$9*12</f>
        <v>42541.914554418225</v>
      </c>
      <c r="P15" s="19">
        <f>'Power Price Assumption'!R32*Assumptions!$C$9*12</f>
        <v>43346.774352096516</v>
      </c>
      <c r="Q15" s="19">
        <f>'Power Price Assumption'!S32*Assumptions!$C$9*12</f>
        <v>43964.657549177064</v>
      </c>
      <c r="R15" s="19">
        <f>'Power Price Assumption'!T32*Assumptions!$C$9*12</f>
        <v>44592.614857704248</v>
      </c>
      <c r="S15" s="19">
        <f>'Power Price Assumption'!U32*Assumptions!$C$9*12</f>
        <v>45228.30533419815</v>
      </c>
      <c r="T15" s="19">
        <f>'Power Price Assumption'!V32*Assumptions!$C$9*12</f>
        <v>45873.804646489283</v>
      </c>
      <c r="U15" s="19">
        <f>'Power Price Assumption'!W32*Assumptions!$C$9*12</f>
        <v>46528.510843442287</v>
      </c>
      <c r="W15" s="91">
        <f t="shared" ref="W15:W20" si="4">SUM(B15:U15)</f>
        <v>699743.86717247218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68</v>
      </c>
      <c r="B16" s="19">
        <v>0</v>
      </c>
      <c r="C16" s="19">
        <v>0</v>
      </c>
      <c r="D16" s="19">
        <v>0</v>
      </c>
      <c r="E16" s="127">
        <f>1/3*Assumptions!$C$22*Assumptions!$C$11*Assumptions!$C$8/1000*(1+Assumptions!$C$33)^(E5-2000)+Assumptions!$C$23*Assumptions!$C$21*(1+Assumptions!$C$33)^(E5-2000)/1000</f>
        <v>304.29526309274399</v>
      </c>
      <c r="F16" s="127">
        <f>1/3*Assumptions!$C$22*Assumptions!$C$11*Assumptions!$C$8/1000*(1+Assumptions!$C$33)^(F5-2000)+Assumptions!$C$23*Assumptions!$C$21*(1+Assumptions!$C$33)^(F5-2000)/1000</f>
        <v>313.42412098552626</v>
      </c>
      <c r="G16" s="127">
        <f>1/3*Assumptions!$C$22*Assumptions!$C$11*Assumptions!$C$8/1000*(1+Assumptions!$C$33)^(G5-2000)+Assumptions!$C$23*Assumptions!$C$21*(1+Assumptions!$C$33)^(G5-2000)/1000</f>
        <v>322.82684461509211</v>
      </c>
      <c r="H16" s="127">
        <f>1/3*Assumptions!$C$22*Assumptions!$C$11*Assumptions!$C$8/1000*(1+Assumptions!$C$33)^(H5-2000)+Assumptions!$C$23*Assumptions!$C$21*(1+Assumptions!$C$33)^(H5-2000)/1000</f>
        <v>332.51164995354486</v>
      </c>
      <c r="I16" s="127">
        <f>1/3*Assumptions!$C$22*Assumptions!$C$11*Assumptions!$C$8/1000*(1+Assumptions!$C$33)^(I5-2000)+Assumptions!$C$23*Assumptions!$C$21*(1+Assumptions!$C$33)^(I5-2000)/1000</f>
        <v>342.48699945215117</v>
      </c>
      <c r="J16" s="127">
        <f>1/3*Assumptions!$C$22*Assumptions!$C$11*Assumptions!$C$8/1000*(1+Assumptions!$C$33)^(J5-2000)+Assumptions!$C$23*Assumptions!$C$21*(1+Assumptions!$C$33)^(J5-2000)/1000</f>
        <v>352.76160943571574</v>
      </c>
      <c r="K16" s="127">
        <f>1/3*Assumptions!$C$22*Assumptions!$C$11*Assumptions!$C$8/1000*(1+Assumptions!$C$33)^(K5-2000)+Assumptions!$C$23*Assumptions!$C$21*(1+Assumptions!$C$33)^(K5-2000)/1000</f>
        <v>363.34445771878723</v>
      </c>
      <c r="L16" s="127">
        <f>1/3*Assumptions!$C$22*Assumptions!$C$11*Assumptions!$C$8/1000*(1+Assumptions!$C$33)^(L5-2000)+Assumptions!$C$23*Assumptions!$C$21*(1+Assumptions!$C$33)^(L5-2000)/1000</f>
        <v>374.24479145035082</v>
      </c>
      <c r="M16" s="127">
        <f>1/3*Assumptions!$C$22*Assumptions!$C$11*Assumptions!$C$8/1000*(1+Assumptions!$C$33)^(M5-2000)+Assumptions!$C$23*Assumptions!$C$21*(1+Assumptions!$C$33)^(M5-2000)/1000</f>
        <v>385.47213519386128</v>
      </c>
      <c r="N16" s="127">
        <f>1/3*Assumptions!$C$22*Assumptions!$C$11*Assumptions!$C$8/1000*(1+Assumptions!$C$33)^(N5-2000)+Assumptions!$C$23*Assumptions!$C$21*(1+Assumptions!$C$33)^(N5-2000)/1000</f>
        <v>397.03629924967709</v>
      </c>
      <c r="O16" s="127">
        <f>1/3*Assumptions!$C$22*Assumptions!$C$11*Assumptions!$C$8/1000*(1+Assumptions!$C$33)^(O5-2000)+Assumptions!$C$23*Assumptions!$C$21*(1+Assumptions!$C$33)^(O5-2000)/1000</f>
        <v>408.94738822716749</v>
      </c>
      <c r="P16" s="127">
        <f>1/3*Assumptions!$C$22*Assumptions!$C$11*Assumptions!$C$8/1000*(1+Assumptions!$C$33)^(P5-2000)+Assumptions!$C$23*Assumptions!$C$21*(1+Assumptions!$C$33)^(P5-2000)/1000</f>
        <v>421.21580987398249</v>
      </c>
      <c r="Q16" s="127">
        <f>1/3*Assumptions!$C$22*Assumptions!$C$11*Assumptions!$C$8/1000*(1+Assumptions!$C$33)^(Q5-2000)+Assumptions!$C$23*Assumptions!$C$21*(1+Assumptions!$C$33)^(Q5-2000)/1000</f>
        <v>433.85228417020198</v>
      </c>
      <c r="R16" s="127">
        <f>1/3*Assumptions!$C$22*Assumptions!$C$11*Assumptions!$C$8/1000*(1+Assumptions!$C$33)^(R5-2000)+Assumptions!$C$23*Assumptions!$C$21*(1+Assumptions!$C$33)^(R5-2000)/1000</f>
        <v>446.86785269530799</v>
      </c>
      <c r="S16" s="127">
        <f>1/3*Assumptions!$C$22*Assumptions!$C$11*Assumptions!$C$8/1000*(1+Assumptions!$C$33)^(S5-2000)+Assumptions!$C$23*Assumptions!$C$21*(1+Assumptions!$C$33)^(S5-2000)/1000</f>
        <v>460.27388827616721</v>
      </c>
      <c r="T16" s="127">
        <f>1/3*Assumptions!$C$22*Assumptions!$C$11*Assumptions!$C$8/1000*(1+Assumptions!$C$33)^(T5-2000)+Assumptions!$C$23*Assumptions!$C$21*(1+Assumptions!$C$33)^(T5-2000)/1000</f>
        <v>474.08210492445221</v>
      </c>
      <c r="U16" s="127">
        <f>1/3*Assumptions!$C$22*Assumptions!$C$11*Assumptions!$C$8/1000*(1+Assumptions!$C$33)^(U5-2000)+Assumptions!$C$23*Assumptions!$C$21*(1+Assumptions!$C$33)^(U5-2000)/1000</f>
        <v>488.30456807218576</v>
      </c>
      <c r="W16" s="91">
        <f t="shared" si="4"/>
        <v>6621.9480673869166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 t="s">
        <v>69</v>
      </c>
      <c r="B17" s="19">
        <v>0</v>
      </c>
      <c r="C17" s="19">
        <v>0</v>
      </c>
      <c r="D17" s="19">
        <v>0</v>
      </c>
      <c r="E17" s="56">
        <f>Assumptions!$C$27*Assumptions!$C$23/1000</f>
        <v>80.241600000000005</v>
      </c>
      <c r="F17" s="56">
        <f>Assumptions!$C$27*Assumptions!$C$23/1000</f>
        <v>80.241600000000005</v>
      </c>
      <c r="G17" s="56">
        <f>Assumptions!$C$27*Assumptions!$C$23/1000</f>
        <v>80.241600000000005</v>
      </c>
      <c r="H17" s="56">
        <f>Assumptions!$C$27*Assumptions!$C$23/1000</f>
        <v>80.241600000000005</v>
      </c>
      <c r="I17" s="56">
        <f>Assumptions!$C$27*Assumptions!$C$23/1000</f>
        <v>80.241600000000005</v>
      </c>
      <c r="J17" s="56">
        <f>Assumptions!$C$27*Assumptions!$C$23/1000</f>
        <v>80.241600000000005</v>
      </c>
      <c r="K17" s="56">
        <f>Assumptions!$C$27*Assumptions!$C$23/1000</f>
        <v>80.241600000000005</v>
      </c>
      <c r="L17" s="56">
        <f>Assumptions!$C$27*Assumptions!$C$23/1000</f>
        <v>80.241600000000005</v>
      </c>
      <c r="M17" s="56">
        <f>Assumptions!$C$27*Assumptions!$C$23/1000</f>
        <v>80.241600000000005</v>
      </c>
      <c r="N17" s="56">
        <f>Assumptions!$C$27*Assumptions!$C$23/1000</f>
        <v>80.241600000000005</v>
      </c>
      <c r="O17" s="56">
        <f>Assumptions!$C$27*Assumptions!$C$23/1000</f>
        <v>80.241600000000005</v>
      </c>
      <c r="P17" s="56">
        <f>Assumptions!$C$27*Assumptions!$C$23/1000</f>
        <v>80.241600000000005</v>
      </c>
      <c r="Q17" s="56">
        <f>Assumptions!$C$27*Assumptions!$C$23/1000</f>
        <v>80.241600000000005</v>
      </c>
      <c r="R17" s="56">
        <f>Assumptions!$C$27*Assumptions!$C$23/1000</f>
        <v>80.241600000000005</v>
      </c>
      <c r="S17" s="56">
        <f>Assumptions!$C$27*Assumptions!$C$23/1000</f>
        <v>80.241600000000005</v>
      </c>
      <c r="T17" s="56">
        <f>Assumptions!$C$27*Assumptions!$C$23/1000</f>
        <v>80.241600000000005</v>
      </c>
      <c r="U17" s="56">
        <f>Assumptions!$C$27*Assumptions!$C$23/1000</f>
        <v>80.241600000000005</v>
      </c>
      <c r="W17" s="91">
        <f t="shared" si="4"/>
        <v>1364.1072000000006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/>
      <c r="W18" s="91">
        <f t="shared" si="4"/>
        <v>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194</v>
      </c>
      <c r="B19" s="201">
        <f>(SUM(B9:B11)-SUM(B23:B29))*'Summary Output'!$B$31/4</f>
        <v>236.70307351609827</v>
      </c>
      <c r="C19" s="201">
        <f>(SUM(C9:C11)-SUM(C23:C29))*'Summary Output'!$B$31/4</f>
        <v>235.40299309149202</v>
      </c>
      <c r="D19" s="201">
        <f>(SUM(D9:D11)-SUM(D23:D29))*'Summary Output'!$B$31/4</f>
        <v>234.70239194394586</v>
      </c>
      <c r="E19" s="201">
        <f>(SUM(E9:E17)-SUM(E23:E29))*'Summary Output'!$B$31/4</f>
        <v>396.99590029318148</v>
      </c>
      <c r="F19" s="201">
        <f>(SUM(F9:F17)-SUM(F23:F29))*'Summary Output'!$B$31/4</f>
        <v>417.98293322734372</v>
      </c>
      <c r="G19" s="201">
        <f>(SUM(G9:G17)-SUM(G23:G29))*'Summary Output'!$B$31/4</f>
        <v>423.00646633285061</v>
      </c>
      <c r="H19" s="201">
        <f>(SUM(H9:H17)-SUM(H23:H29))*'Summary Output'!$B$31/4</f>
        <v>428.07346353339267</v>
      </c>
      <c r="I19" s="201">
        <f>(SUM(I9:I17)-SUM(I23:I29))*'Summary Output'!$B$31/4</f>
        <v>433.18200400786247</v>
      </c>
      <c r="J19" s="201">
        <f>(SUM(J9:J17)-SUM(J23:J29))*'Summary Output'!$B$31/4</f>
        <v>438.33866059944103</v>
      </c>
      <c r="K19" s="201">
        <f>(SUM(K9:K17)-SUM(K23:K29))*'Summary Output'!$B$31/4</f>
        <v>443.53718287036986</v>
      </c>
      <c r="L19" s="201">
        <f>(SUM(L9:L17)-SUM(L23:L29))*'Summary Output'!$B$31/4</f>
        <v>451.78409589237992</v>
      </c>
      <c r="M19" s="201">
        <f>(SUM(M9:M17)-SUM(M23:M29))*'Summary Output'!$B$31/4</f>
        <v>460.17626544936502</v>
      </c>
      <c r="N19" s="201">
        <f>(SUM(N9:N17)-SUM(N23:N29))*'Summary Output'!$B$31/4</f>
        <v>468.70727478044114</v>
      </c>
      <c r="O19" s="201">
        <f>(SUM(O9:O17)-SUM(O23:O29))*'Summary Output'!$B$31/4</f>
        <v>477.37983829997484</v>
      </c>
      <c r="P19" s="201">
        <f>(SUM(P9:P17)-SUM(P23:P29))*'Summary Output'!$B$31/4</f>
        <v>485.53865793458937</v>
      </c>
      <c r="Q19" s="201">
        <f>(SUM(Q9:Q17)-SUM(Q23:Q29))*'Summary Output'!$B$31/4</f>
        <v>491.86887871883232</v>
      </c>
      <c r="R19" s="201">
        <f>(SUM(R9:R17)-SUM(R23:R29))*'Summary Output'!$B$31/4</f>
        <v>498.27902713133165</v>
      </c>
      <c r="S19" s="201">
        <f>(SUM(S9:S17)-SUM(S23:S29))*'Summary Output'!$B$31/4</f>
        <v>504.73848279805844</v>
      </c>
      <c r="T19" s="201">
        <f>(SUM(T9:T17)-SUM(T23:T29))*'Summary Output'!$B$31/4</f>
        <v>511.27179265659697</v>
      </c>
      <c r="U19" s="201">
        <f>(SUM(U9:U17)-SUM(U23:U29))*'Summary Output'!$B$31/4</f>
        <v>517.98571694494171</v>
      </c>
      <c r="W19" s="91">
        <f t="shared" si="4"/>
        <v>8555.6551000224899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3" t="s">
        <v>70</v>
      </c>
      <c r="B20" s="56">
        <f>SUM(B9:B19)</f>
        <v>30207.462774418738</v>
      </c>
      <c r="C20" s="56">
        <f t="shared" ref="C20:U20" si="5">SUM(C9:C19)</f>
        <v>30223.78689215413</v>
      </c>
      <c r="D20" s="56">
        <f t="shared" si="5"/>
        <v>30241.239215111385</v>
      </c>
      <c r="E20" s="56">
        <f t="shared" si="5"/>
        <v>36064.575473698707</v>
      </c>
      <c r="F20" s="56">
        <f t="shared" si="5"/>
        <v>37844.100572719923</v>
      </c>
      <c r="G20" s="56">
        <f t="shared" si="5"/>
        <v>38333.39091337681</v>
      </c>
      <c r="H20" s="56">
        <f t="shared" si="5"/>
        <v>38829.094835321004</v>
      </c>
      <c r="I20" s="56">
        <f t="shared" si="5"/>
        <v>39331.143541730489</v>
      </c>
      <c r="J20" s="56">
        <f t="shared" si="5"/>
        <v>39840.158826281244</v>
      </c>
      <c r="K20" s="56">
        <f t="shared" si="5"/>
        <v>40355.726478694494</v>
      </c>
      <c r="L20" s="56">
        <f t="shared" si="5"/>
        <v>41121.469867215492</v>
      </c>
      <c r="M20" s="56">
        <f t="shared" si="5"/>
        <v>41902.332802897763</v>
      </c>
      <c r="N20" s="56">
        <f t="shared" si="5"/>
        <v>42697.89614114452</v>
      </c>
      <c r="O20" s="56">
        <f t="shared" si="5"/>
        <v>43508.48338094537</v>
      </c>
      <c r="P20" s="56">
        <f t="shared" si="5"/>
        <v>44333.770419905086</v>
      </c>
      <c r="Q20" s="56">
        <f t="shared" si="5"/>
        <v>44970.620312066094</v>
      </c>
      <c r="R20" s="56">
        <f t="shared" si="5"/>
        <v>45618.003337530892</v>
      </c>
      <c r="S20" s="56">
        <f t="shared" si="5"/>
        <v>46273.559305272378</v>
      </c>
      <c r="T20" s="56">
        <f t="shared" si="5"/>
        <v>46939.400144070336</v>
      </c>
      <c r="U20" s="56">
        <f t="shared" si="5"/>
        <v>47615.042728459412</v>
      </c>
      <c r="W20" s="91">
        <f t="shared" si="4"/>
        <v>806251.2579630143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s="62" customFormat="1" ht="12" customHeight="1">
      <c r="A21" s="4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1:55">
      <c r="A22" s="1" t="s">
        <v>71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W22" s="91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1:55">
      <c r="A23" s="3" t="s">
        <v>55</v>
      </c>
      <c r="B23" s="127">
        <f>Assumptions!C36*(1+Assumptions!$C$33)</f>
        <v>1610.5404141000004</v>
      </c>
      <c r="C23" s="91">
        <f>B23*(1+Assumptions!$C$33)</f>
        <v>1658.8566265230004</v>
      </c>
      <c r="D23" s="91">
        <f>C23*(1+Assumptions!$C$33)</f>
        <v>1708.6223253186904</v>
      </c>
      <c r="E23" s="91">
        <f>D23*(1+Assumptions!$C$33)</f>
        <v>1759.8809950782511</v>
      </c>
      <c r="F23" s="91">
        <f>E23*(1+Assumptions!$C$33)</f>
        <v>1812.6774249305986</v>
      </c>
      <c r="G23" s="91">
        <f>F23*(1+Assumptions!$C$33)</f>
        <v>1867.0577476785165</v>
      </c>
      <c r="H23" s="91">
        <f>G23*(1+Assumptions!$C$33)</f>
        <v>1923.0694801088721</v>
      </c>
      <c r="I23" s="91">
        <f>H23*(1+Assumptions!$C$33)</f>
        <v>1980.7615645121382</v>
      </c>
      <c r="J23" s="91">
        <f>I23*(1+Assumptions!$C$33)</f>
        <v>2040.1844114475025</v>
      </c>
      <c r="K23" s="91">
        <f>J23*(1+Assumptions!$C$33)</f>
        <v>2101.3899437909276</v>
      </c>
      <c r="L23" s="91">
        <f>K23*(1+Assumptions!$C$33)</f>
        <v>2164.4316421046556</v>
      </c>
      <c r="M23" s="91">
        <f>L23*(1+Assumptions!$C$33)</f>
        <v>2229.3645913677951</v>
      </c>
      <c r="N23" s="91">
        <f>M23*(1+Assumptions!$C$33)</f>
        <v>2296.245529108829</v>
      </c>
      <c r="O23" s="91">
        <f>N23*(1+Assumptions!$C$33)</f>
        <v>2365.1328949820941</v>
      </c>
      <c r="P23" s="91">
        <f>O23*(1+Assumptions!$C$33)</f>
        <v>2436.0868818315571</v>
      </c>
      <c r="Q23" s="91">
        <f>P23*(1+Assumptions!$C$33)</f>
        <v>2509.169488286504</v>
      </c>
      <c r="R23" s="91">
        <f>Q23*(1+Assumptions!$C$33)</f>
        <v>2584.4445729350991</v>
      </c>
      <c r="S23" s="91">
        <f>R23*(1+Assumptions!$C$33)</f>
        <v>2661.977910123152</v>
      </c>
      <c r="T23" s="91">
        <f>S23*(1+Assumptions!$C$33)</f>
        <v>2741.8372474268467</v>
      </c>
      <c r="U23" s="91">
        <f>T23*(1+Assumptions!$C$33)</f>
        <v>2824.0923648496523</v>
      </c>
      <c r="W23" s="91">
        <f t="shared" ref="W23:W30" si="6">SUM(B23:U23)</f>
        <v>43275.824056504687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1:55">
      <c r="A24" s="3" t="s">
        <v>56</v>
      </c>
      <c r="B24" s="127">
        <f>Assumptions!$C$37*(1+Assumptions!$C$33)</f>
        <v>123.97327200000001</v>
      </c>
      <c r="C24" s="127">
        <f>B24*(1+Assumptions!$C$33)</f>
        <v>127.69247016000001</v>
      </c>
      <c r="D24" s="127">
        <f>C24*(1+Assumptions!$C$33)</f>
        <v>131.52324426480001</v>
      </c>
      <c r="E24" s="127">
        <f>Assumptions!$C$23*Assumptions!$C$31*(1+Assumptions!$C$33)^(E5-2000)/1000</f>
        <v>135.46894159274399</v>
      </c>
      <c r="F24" s="127">
        <f>Assumptions!$C$23*Assumptions!$C$31*(1+Assumptions!$C$33)^(F5-2000)/1000</f>
        <v>139.53300984052629</v>
      </c>
      <c r="G24" s="127">
        <f>Assumptions!$C$23*Assumptions!$C$31*(1+Assumptions!$C$33)^(G5-2000)/1000</f>
        <v>143.71900013574211</v>
      </c>
      <c r="H24" s="127">
        <f>Assumptions!$C$23*Assumptions!$C$31*(1+Assumptions!$C$33)^(H5-2000)/1000</f>
        <v>148.03057013981436</v>
      </c>
      <c r="I24" s="127">
        <f>Assumptions!$C$23*Assumptions!$C$31*(1+Assumptions!$C$33)^(I5-2000)/1000</f>
        <v>152.47148724400881</v>
      </c>
      <c r="J24" s="127">
        <f>Assumptions!$C$23*Assumptions!$C$31*(1+Assumptions!$C$33)^(J5-2000)/1000</f>
        <v>157.04563186132904</v>
      </c>
      <c r="K24" s="127">
        <f>Assumptions!$C$23*Assumptions!$C$31*(1+Assumptions!$C$33)^(K5-2000)/1000</f>
        <v>161.75700081716894</v>
      </c>
      <c r="L24" s="127">
        <f>Assumptions!$C$23*Assumptions!$C$31*(1+Assumptions!$C$33)^(L5-2000)/1000</f>
        <v>166.60971084168403</v>
      </c>
      <c r="M24" s="127">
        <f>Assumptions!$C$23*Assumptions!$C$31*(1+Assumptions!$C$33)^(M5-2000)/1000</f>
        <v>171.60800216693451</v>
      </c>
      <c r="N24" s="127">
        <f>Assumptions!$C$23*Assumptions!$C$31*(1+Assumptions!$C$33)^(N5-2000)/1000</f>
        <v>176.75624223194254</v>
      </c>
      <c r="O24" s="127">
        <f>Assumptions!$C$23*Assumptions!$C$31*(1+Assumptions!$C$33)^(O5-2000)/1000</f>
        <v>182.05892949890082</v>
      </c>
      <c r="P24" s="127">
        <f>Assumptions!$C$23*Assumptions!$C$31*(1+Assumptions!$C$33)^(P5-2000)/1000</f>
        <v>187.52069738386786</v>
      </c>
      <c r="Q24" s="127">
        <f>Assumptions!$C$23*Assumptions!$C$31*(1+Assumptions!$C$33)^(Q5-2000)/1000</f>
        <v>193.14631830538389</v>
      </c>
      <c r="R24" s="127">
        <f>Assumptions!$C$23*Assumptions!$C$31*(1+Assumptions!$C$33)^(R5-2000)/1000</f>
        <v>198.94070785454539</v>
      </c>
      <c r="S24" s="127">
        <f>Assumptions!$C$23*Assumptions!$C$31*(1+Assumptions!$C$33)^(S5-2000)/1000</f>
        <v>204.90892909018174</v>
      </c>
      <c r="T24" s="127">
        <f>Assumptions!$C$23*Assumptions!$C$31*(1+Assumptions!$C$33)^(T5-2000)/1000</f>
        <v>211.05619696288719</v>
      </c>
      <c r="U24" s="127">
        <f>Assumptions!$C$23*Assumptions!$C$31*(1+Assumptions!$C$33)^(U5-2000)/1000</f>
        <v>217.3878828717738</v>
      </c>
      <c r="W24" s="91">
        <f t="shared" si="6"/>
        <v>3331.2082452642353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1:55">
      <c r="A25" s="3" t="s">
        <v>57</v>
      </c>
      <c r="B25" s="127">
        <f>Assumptions!$C$32*Assumptions!$C$11*Assumptions!$C$8/1000*(1+Assumptions!$C$33)</f>
        <v>463.5</v>
      </c>
      <c r="C25" s="91">
        <f>B25*(1+Assumptions!$C$33)</f>
        <v>477.40500000000003</v>
      </c>
      <c r="D25" s="91">
        <f>C25*(1+Assumptions!$C$33)</f>
        <v>491.72715000000005</v>
      </c>
      <c r="E25" s="91">
        <f>D25*(1+Assumptions!$C$33)</f>
        <v>506.47896450000007</v>
      </c>
      <c r="F25" s="91">
        <f>E25*(1+Assumptions!$C$33)</f>
        <v>521.67333343500013</v>
      </c>
      <c r="G25" s="91">
        <f>F25*(1+Assumptions!$C$33)</f>
        <v>537.32353343805016</v>
      </c>
      <c r="H25" s="91">
        <f>G25*(1+Assumptions!$C$33)</f>
        <v>553.44323944119174</v>
      </c>
      <c r="I25" s="91">
        <f>H25*(1+Assumptions!$C$33)</f>
        <v>570.04653662442752</v>
      </c>
      <c r="J25" s="91">
        <f>I25*(1+Assumptions!$C$33)</f>
        <v>587.14793272316035</v>
      </c>
      <c r="K25" s="91">
        <f>J25*(1+Assumptions!$C$33)</f>
        <v>604.76237070485513</v>
      </c>
      <c r="L25" s="91">
        <f>K25*(1+Assumptions!$C$33)</f>
        <v>622.90524182600075</v>
      </c>
      <c r="M25" s="91">
        <f>L25*(1+Assumptions!$C$33)</f>
        <v>641.59239908078075</v>
      </c>
      <c r="N25" s="91">
        <f>M25*(1+Assumptions!$C$33)</f>
        <v>660.84017105320424</v>
      </c>
      <c r="O25" s="91">
        <f>N25*(1+Assumptions!$C$33)</f>
        <v>680.66537618480038</v>
      </c>
      <c r="P25" s="91">
        <f>O25*(1+Assumptions!$C$33)</f>
        <v>701.08533747034437</v>
      </c>
      <c r="Q25" s="91">
        <f>P25*(1+Assumptions!$C$33)</f>
        <v>722.11789759445469</v>
      </c>
      <c r="R25" s="91">
        <f>Q25*(1+Assumptions!$C$33)</f>
        <v>743.78143452228835</v>
      </c>
      <c r="S25" s="91">
        <f>R25*(1+Assumptions!$C$33)</f>
        <v>766.09487755795703</v>
      </c>
      <c r="T25" s="91">
        <f>S25*(1+Assumptions!$C$33)</f>
        <v>789.07772388469573</v>
      </c>
      <c r="U25" s="91">
        <f>T25*(1+Assumptions!$C$33)</f>
        <v>812.75005560123657</v>
      </c>
      <c r="W25" s="91">
        <f t="shared" si="6"/>
        <v>12454.418575642445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</row>
    <row r="26" spans="1:55">
      <c r="A26" s="3" t="s">
        <v>124</v>
      </c>
      <c r="B26" s="127">
        <f>Assumptions!C39*(1+Assumptions!$C$33)</f>
        <v>213.22957000000002</v>
      </c>
      <c r="C26" s="91">
        <f>B26*(1+Assumptions!$C$33)</f>
        <v>219.62645710000004</v>
      </c>
      <c r="D26" s="91">
        <f>C26*(1+Assumptions!$C$33)</f>
        <v>226.21525081300004</v>
      </c>
      <c r="E26" s="91">
        <f>D26*(1+Assumptions!$C$33)</f>
        <v>233.00170833739006</v>
      </c>
      <c r="F26" s="91">
        <f>E26*(1+Assumptions!$C$33)</f>
        <v>239.99175958751175</v>
      </c>
      <c r="G26" s="91">
        <f>F26*(1+Assumptions!$C$33)</f>
        <v>247.19151237513711</v>
      </c>
      <c r="H26" s="91">
        <f>G26*(1+Assumptions!$C$33)</f>
        <v>254.60725774639124</v>
      </c>
      <c r="I26" s="91">
        <f>H26*(1+Assumptions!$C$33)</f>
        <v>262.24547547878296</v>
      </c>
      <c r="J26" s="91">
        <f>I26*(1+Assumptions!$C$33)</f>
        <v>270.11283974314648</v>
      </c>
      <c r="K26" s="91">
        <f>J26*(1+Assumptions!$C$33)</f>
        <v>278.21622493544089</v>
      </c>
      <c r="L26" s="91">
        <f>K26*(1+Assumptions!$C$33)</f>
        <v>286.56271168350412</v>
      </c>
      <c r="M26" s="91">
        <f>L26*(1+Assumptions!$C$33)</f>
        <v>295.15959303400928</v>
      </c>
      <c r="N26" s="91">
        <f>M26*(1+Assumptions!$C$33)</f>
        <v>304.01438082502955</v>
      </c>
      <c r="O26" s="91">
        <f>N26*(1+Assumptions!$C$33)</f>
        <v>313.13481224978045</v>
      </c>
      <c r="P26" s="91">
        <f>O26*(1+Assumptions!$C$33)</f>
        <v>322.5288566172739</v>
      </c>
      <c r="Q26" s="91">
        <f>P26*(1+Assumptions!$C$33)</f>
        <v>332.20472231579214</v>
      </c>
      <c r="R26" s="91">
        <f>Q26*(1+Assumptions!$C$33)</f>
        <v>342.1708639852659</v>
      </c>
      <c r="S26" s="91">
        <f>R26*(1+Assumptions!$C$33)</f>
        <v>352.43598990482388</v>
      </c>
      <c r="T26" s="91">
        <f>S26*(1+Assumptions!$C$33)</f>
        <v>363.00906960196863</v>
      </c>
      <c r="U26" s="91">
        <f>T26*(1+Assumptions!$C$33)</f>
        <v>373.89934169002771</v>
      </c>
      <c r="W26" s="91">
        <f t="shared" si="6"/>
        <v>5729.5583980242764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</row>
    <row r="27" spans="1:55">
      <c r="A27" s="3" t="s">
        <v>125</v>
      </c>
      <c r="B27" s="127">
        <f>Assumptions!C40*(1+Assumptions!$C$33)</f>
        <v>444.73872166666666</v>
      </c>
      <c r="C27" s="91">
        <f>B27*(1+Assumptions!$C$33)</f>
        <v>458.0808833166667</v>
      </c>
      <c r="D27" s="91">
        <f>C27*(1+Assumptions!$C$33)</f>
        <v>471.82330981616673</v>
      </c>
      <c r="E27" s="91">
        <f>D27*(1+Assumptions!$C$33)</f>
        <v>485.97800911065173</v>
      </c>
      <c r="F27" s="91">
        <f>E27*(1+Assumptions!$C$33)</f>
        <v>500.55734938397131</v>
      </c>
      <c r="G27" s="91">
        <f>F27*(1+Assumptions!$C$33)</f>
        <v>515.57406986549051</v>
      </c>
      <c r="H27" s="91">
        <f>G27*(1+Assumptions!$C$33)</f>
        <v>531.04129196145527</v>
      </c>
      <c r="I27" s="91">
        <f>H27*(1+Assumptions!$C$33)</f>
        <v>546.97253072029889</v>
      </c>
      <c r="J27" s="91">
        <f>I27*(1+Assumptions!$C$33)</f>
        <v>563.38170664190784</v>
      </c>
      <c r="K27" s="91">
        <f>J27*(1+Assumptions!$C$33)</f>
        <v>580.28315784116512</v>
      </c>
      <c r="L27" s="91">
        <f>K27*(1+Assumptions!$C$33)</f>
        <v>597.69165257640009</v>
      </c>
      <c r="M27" s="91">
        <f>L27*(1+Assumptions!$C$33)</f>
        <v>615.62240215369206</v>
      </c>
      <c r="N27" s="91">
        <f>M27*(1+Assumptions!$C$33)</f>
        <v>634.09107421830288</v>
      </c>
      <c r="O27" s="91">
        <f>N27*(1+Assumptions!$C$33)</f>
        <v>653.113806444852</v>
      </c>
      <c r="P27" s="91">
        <f>O27*(1+Assumptions!$C$33)</f>
        <v>672.70722063819755</v>
      </c>
      <c r="Q27" s="91">
        <f>P27*(1+Assumptions!$C$33)</f>
        <v>692.88843725734353</v>
      </c>
      <c r="R27" s="91">
        <f>Q27*(1+Assumptions!$C$33)</f>
        <v>713.67509037506386</v>
      </c>
      <c r="S27" s="91">
        <f>R27*(1+Assumptions!$C$33)</f>
        <v>735.08534308631579</v>
      </c>
      <c r="T27" s="91">
        <f>S27*(1+Assumptions!$C$33)</f>
        <v>757.13790337890532</v>
      </c>
      <c r="U27" s="91">
        <f>T27*(1+Assumptions!$C$33)</f>
        <v>779.85204048027254</v>
      </c>
      <c r="W27" s="91">
        <f t="shared" si="6"/>
        <v>11950.296000933786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</row>
    <row r="28" spans="1:55">
      <c r="A28" s="3" t="s">
        <v>224</v>
      </c>
      <c r="B28" s="486">
        <v>325</v>
      </c>
      <c r="C28" s="486">
        <v>375</v>
      </c>
      <c r="D28" s="486">
        <v>375</v>
      </c>
      <c r="E28" s="486">
        <v>375</v>
      </c>
      <c r="F28" s="486">
        <v>375</v>
      </c>
      <c r="G28" s="486">
        <v>375</v>
      </c>
      <c r="H28" s="486">
        <v>375</v>
      </c>
      <c r="I28" s="486">
        <v>375</v>
      </c>
      <c r="J28" s="486">
        <v>375</v>
      </c>
      <c r="K28" s="486">
        <v>375</v>
      </c>
      <c r="L28" s="486">
        <v>375</v>
      </c>
      <c r="M28" s="486">
        <v>375</v>
      </c>
      <c r="N28" s="486">
        <v>375</v>
      </c>
      <c r="O28" s="486">
        <v>375</v>
      </c>
      <c r="P28" s="486">
        <v>427.64830117962356</v>
      </c>
      <c r="Q28" s="486">
        <v>436.20126720321605</v>
      </c>
      <c r="R28" s="486">
        <v>444.92529254728038</v>
      </c>
      <c r="S28" s="486">
        <v>453.82379839822596</v>
      </c>
      <c r="T28" s="486">
        <v>462.9002743661905</v>
      </c>
      <c r="U28" s="486">
        <f>T28</f>
        <v>462.9002743661905</v>
      </c>
      <c r="W28" s="91">
        <f t="shared" si="6"/>
        <v>7888.3992080607268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</row>
    <row r="29" spans="1:55" s="16" customFormat="1">
      <c r="A29" s="3" t="s">
        <v>219</v>
      </c>
      <c r="B29" s="146">
        <f>B86</f>
        <v>454.24541294547242</v>
      </c>
      <c r="C29" s="146">
        <f t="shared" ref="C29:U29" si="7">C86</f>
        <v>440.19658574097326</v>
      </c>
      <c r="D29" s="146">
        <f t="shared" si="7"/>
        <v>426.1477585364741</v>
      </c>
      <c r="E29" s="146">
        <f t="shared" si="7"/>
        <v>412.09893133197488</v>
      </c>
      <c r="F29" s="146">
        <f t="shared" si="7"/>
        <v>398.05010412747572</v>
      </c>
      <c r="G29" s="146">
        <f t="shared" si="7"/>
        <v>384.00127692297656</v>
      </c>
      <c r="H29" s="146">
        <f t="shared" si="7"/>
        <v>369.9524497184774</v>
      </c>
      <c r="I29" s="146">
        <f t="shared" si="7"/>
        <v>355.90362251397818</v>
      </c>
      <c r="J29" s="146">
        <f t="shared" si="7"/>
        <v>341.85479530947902</v>
      </c>
      <c r="K29" s="146">
        <f t="shared" si="7"/>
        <v>327.80596810497985</v>
      </c>
      <c r="L29" s="146">
        <f t="shared" si="7"/>
        <v>313.75714090048069</v>
      </c>
      <c r="M29" s="146">
        <f t="shared" si="7"/>
        <v>299.70831369598159</v>
      </c>
      <c r="N29" s="146">
        <f t="shared" si="7"/>
        <v>285.65948649148243</v>
      </c>
      <c r="O29" s="146">
        <f t="shared" si="7"/>
        <v>271.61065928698326</v>
      </c>
      <c r="P29" s="146">
        <f t="shared" si="7"/>
        <v>257.56183208248416</v>
      </c>
      <c r="Q29" s="146">
        <f t="shared" si="7"/>
        <v>243.513004877985</v>
      </c>
      <c r="R29" s="146">
        <f t="shared" si="7"/>
        <v>229.46417767348586</v>
      </c>
      <c r="S29" s="146">
        <f t="shared" si="7"/>
        <v>215.41535046898673</v>
      </c>
      <c r="T29" s="146">
        <f t="shared" si="7"/>
        <v>201.3665232644876</v>
      </c>
      <c r="U29" s="146">
        <f t="shared" si="7"/>
        <v>187.31769605998846</v>
      </c>
      <c r="V29" s="91"/>
      <c r="W29" s="91">
        <f t="shared" si="6"/>
        <v>6415.6310900546077</v>
      </c>
    </row>
    <row r="30" spans="1:55">
      <c r="A30" s="3" t="s">
        <v>72</v>
      </c>
      <c r="B30" s="127">
        <f t="shared" ref="B30:U30" si="8">SUM(B23:B29)</f>
        <v>3635.2273907121389</v>
      </c>
      <c r="C30" s="127">
        <f t="shared" si="8"/>
        <v>3756.8580228406404</v>
      </c>
      <c r="D30" s="127">
        <f t="shared" si="8"/>
        <v>3831.0590387491316</v>
      </c>
      <c r="E30" s="127">
        <f t="shared" si="8"/>
        <v>3907.9075499510118</v>
      </c>
      <c r="F30" s="127">
        <f t="shared" si="8"/>
        <v>3987.4829813050837</v>
      </c>
      <c r="G30" s="127">
        <f t="shared" si="8"/>
        <v>4069.8671404159131</v>
      </c>
      <c r="H30" s="127">
        <f t="shared" si="8"/>
        <v>4155.1442891162023</v>
      </c>
      <c r="I30" s="127">
        <f t="shared" si="8"/>
        <v>4243.4012170936339</v>
      </c>
      <c r="J30" s="127">
        <f t="shared" si="8"/>
        <v>4334.7273177265261</v>
      </c>
      <c r="K30" s="127">
        <f t="shared" si="8"/>
        <v>4429.2146661945371</v>
      </c>
      <c r="L30" s="127">
        <f t="shared" si="8"/>
        <v>4526.9580999327245</v>
      </c>
      <c r="M30" s="127">
        <f t="shared" si="8"/>
        <v>4628.0553014991929</v>
      </c>
      <c r="N30" s="127">
        <f t="shared" si="8"/>
        <v>4732.6068839287909</v>
      </c>
      <c r="O30" s="127">
        <f t="shared" si="8"/>
        <v>4840.7164786474113</v>
      </c>
      <c r="P30" s="127">
        <f t="shared" si="8"/>
        <v>5005.1391272033488</v>
      </c>
      <c r="Q30" s="127">
        <f t="shared" si="8"/>
        <v>5129.2411358406789</v>
      </c>
      <c r="R30" s="127">
        <f t="shared" si="8"/>
        <v>5257.402139893029</v>
      </c>
      <c r="S30" s="127">
        <f t="shared" si="8"/>
        <v>5389.7421986296431</v>
      </c>
      <c r="T30" s="127">
        <f t="shared" si="8"/>
        <v>5526.3849388859817</v>
      </c>
      <c r="U30" s="127">
        <f t="shared" si="8"/>
        <v>5658.1996559191421</v>
      </c>
      <c r="W30" s="91">
        <f t="shared" si="6"/>
        <v>91045.335574484765</v>
      </c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</row>
    <row r="31" spans="1:55" s="62" customFormat="1">
      <c r="A31" s="5"/>
      <c r="B31" s="130"/>
      <c r="C31" s="13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W31" s="9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</row>
    <row r="32" spans="1:55" s="62" customFormat="1" ht="6.75" customHeight="1">
      <c r="A32" s="5"/>
      <c r="B32" s="130"/>
      <c r="C32" s="131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W32" s="9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</row>
    <row r="33" spans="1:55" s="57" customFormat="1">
      <c r="A33" s="1" t="s">
        <v>73</v>
      </c>
      <c r="B33" s="132">
        <f t="shared" ref="B33:U33" si="9">B20-B30</f>
        <v>26572.2353837066</v>
      </c>
      <c r="C33" s="133">
        <f t="shared" si="9"/>
        <v>26466.928869313491</v>
      </c>
      <c r="D33" s="132">
        <f t="shared" si="9"/>
        <v>26410.180176362253</v>
      </c>
      <c r="E33" s="132">
        <f t="shared" si="9"/>
        <v>32156.667923747696</v>
      </c>
      <c r="F33" s="132">
        <f t="shared" si="9"/>
        <v>33856.617591414841</v>
      </c>
      <c r="G33" s="132">
        <f t="shared" si="9"/>
        <v>34263.5237729609</v>
      </c>
      <c r="H33" s="132">
        <f t="shared" si="9"/>
        <v>34673.950546204804</v>
      </c>
      <c r="I33" s="132">
        <f t="shared" si="9"/>
        <v>35087.742324636856</v>
      </c>
      <c r="J33" s="132">
        <f t="shared" si="9"/>
        <v>35505.43150855472</v>
      </c>
      <c r="K33" s="132">
        <f t="shared" si="9"/>
        <v>35926.511812499957</v>
      </c>
      <c r="L33" s="132">
        <f t="shared" si="9"/>
        <v>36594.511767282769</v>
      </c>
      <c r="M33" s="132">
        <f t="shared" si="9"/>
        <v>37274.277501398567</v>
      </c>
      <c r="N33" s="132">
        <f t="shared" si="9"/>
        <v>37965.289257215729</v>
      </c>
      <c r="O33" s="132">
        <f t="shared" si="9"/>
        <v>38667.766902297961</v>
      </c>
      <c r="P33" s="132">
        <f t="shared" si="9"/>
        <v>39328.631292701735</v>
      </c>
      <c r="Q33" s="132">
        <f t="shared" si="9"/>
        <v>39841.379176225411</v>
      </c>
      <c r="R33" s="132">
        <f t="shared" si="9"/>
        <v>40360.601197637865</v>
      </c>
      <c r="S33" s="132">
        <f t="shared" si="9"/>
        <v>40883.817106642731</v>
      </c>
      <c r="T33" s="132">
        <f t="shared" si="9"/>
        <v>41413.015205184354</v>
      </c>
      <c r="U33" s="132">
        <f t="shared" si="9"/>
        <v>41956.843072540272</v>
      </c>
      <c r="W33" s="91">
        <f>SUM(B33:U33)</f>
        <v>715205.92238852964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</row>
    <row r="34" spans="1:55" s="57" customFormat="1">
      <c r="A34" s="1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</row>
    <row r="35" spans="1:55">
      <c r="A35" s="3" t="s">
        <v>74</v>
      </c>
      <c r="B35" s="127">
        <f>Depreciation!C13</f>
        <v>5557.3997250246402</v>
      </c>
      <c r="C35" s="127">
        <f>Depreciation!D13</f>
        <v>5557.3997250246402</v>
      </c>
      <c r="D35" s="127">
        <f>Depreciation!E13</f>
        <v>5557.3997250246402</v>
      </c>
      <c r="E35" s="127">
        <f>Depreciation!F13</f>
        <v>5557.3997250246402</v>
      </c>
      <c r="F35" s="127">
        <f>Depreciation!G13</f>
        <v>5557.3997250246402</v>
      </c>
      <c r="G35" s="127">
        <f>Depreciation!H13</f>
        <v>5557.3997250246402</v>
      </c>
      <c r="H35" s="127">
        <f>Depreciation!I13</f>
        <v>5557.3997250246402</v>
      </c>
      <c r="I35" s="127">
        <f>Depreciation!J13</f>
        <v>5557.3997250246402</v>
      </c>
      <c r="J35" s="127">
        <f>Depreciation!K13</f>
        <v>5557.3997250246402</v>
      </c>
      <c r="K35" s="127">
        <f>Depreciation!L13</f>
        <v>5557.3997250246402</v>
      </c>
      <c r="L35" s="127">
        <f>Depreciation!M13</f>
        <v>5557.3997250246402</v>
      </c>
      <c r="M35" s="127">
        <f>Depreciation!N13</f>
        <v>5557.3997250246402</v>
      </c>
      <c r="N35" s="127">
        <f>Depreciation!O13</f>
        <v>5557.3997250246402</v>
      </c>
      <c r="O35" s="127">
        <f>Depreciation!P13</f>
        <v>5557.3997250246402</v>
      </c>
      <c r="P35" s="127">
        <f>Depreciation!Q13</f>
        <v>5557.3997250246402</v>
      </c>
      <c r="Q35" s="127">
        <f>Depreciation!R13</f>
        <v>5557.3997250246402</v>
      </c>
      <c r="R35" s="127">
        <f>Depreciation!S13</f>
        <v>5557.3997250246402</v>
      </c>
      <c r="S35" s="127">
        <f>Depreciation!T13</f>
        <v>5557.3997250246402</v>
      </c>
      <c r="T35" s="127">
        <f>Depreciation!U13</f>
        <v>5557.3997250246402</v>
      </c>
      <c r="U35" s="127">
        <f>Depreciation!V13</f>
        <v>5557.3997250246402</v>
      </c>
      <c r="W35" s="91">
        <f>SUM(B35:U35)</f>
        <v>111147.99450049286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</row>
    <row r="36" spans="1:55" ht="7.5" customHeight="1">
      <c r="A36" s="3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W36" s="91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</row>
    <row r="37" spans="1:55" s="57" customFormat="1">
      <c r="A37" s="1" t="s">
        <v>75</v>
      </c>
      <c r="B37" s="132">
        <f t="shared" ref="B37:U37" si="10">B33-B35</f>
        <v>21014.835658681961</v>
      </c>
      <c r="C37" s="132">
        <f t="shared" si="10"/>
        <v>20909.529144288852</v>
      </c>
      <c r="D37" s="132">
        <f t="shared" si="10"/>
        <v>20852.780451337614</v>
      </c>
      <c r="E37" s="132">
        <f t="shared" si="10"/>
        <v>26599.268198723057</v>
      </c>
      <c r="F37" s="132">
        <f t="shared" si="10"/>
        <v>28299.217866390201</v>
      </c>
      <c r="G37" s="132">
        <f t="shared" si="10"/>
        <v>28706.12404793626</v>
      </c>
      <c r="H37" s="132">
        <f t="shared" si="10"/>
        <v>29116.550821180164</v>
      </c>
      <c r="I37" s="132">
        <f t="shared" si="10"/>
        <v>29530.342599612217</v>
      </c>
      <c r="J37" s="132">
        <f t="shared" si="10"/>
        <v>29948.031783530081</v>
      </c>
      <c r="K37" s="132">
        <f t="shared" si="10"/>
        <v>30369.112087475318</v>
      </c>
      <c r="L37" s="132">
        <f t="shared" si="10"/>
        <v>31037.11204225813</v>
      </c>
      <c r="M37" s="132">
        <f t="shared" si="10"/>
        <v>31716.877776373927</v>
      </c>
      <c r="N37" s="132">
        <f t="shared" si="10"/>
        <v>32407.88953219109</v>
      </c>
      <c r="O37" s="132">
        <f t="shared" si="10"/>
        <v>33110.367177273321</v>
      </c>
      <c r="P37" s="132">
        <f t="shared" si="10"/>
        <v>33771.231567677096</v>
      </c>
      <c r="Q37" s="132">
        <f t="shared" si="10"/>
        <v>34283.979451200772</v>
      </c>
      <c r="R37" s="132">
        <f t="shared" si="10"/>
        <v>34803.201472613226</v>
      </c>
      <c r="S37" s="132">
        <f t="shared" si="10"/>
        <v>35326.417381618092</v>
      </c>
      <c r="T37" s="132">
        <f t="shared" si="10"/>
        <v>35855.615480159715</v>
      </c>
      <c r="U37" s="132">
        <f t="shared" si="10"/>
        <v>36399.443347515633</v>
      </c>
      <c r="W37" s="91">
        <f>SUM(B37:U37)</f>
        <v>604057.92788803682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</row>
    <row r="38" spans="1:55" s="57" customFormat="1">
      <c r="A38" s="1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W38" s="91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</row>
    <row r="39" spans="1:55">
      <c r="A39" s="6" t="s">
        <v>76</v>
      </c>
      <c r="B39" s="127">
        <f>IS!B40*Allocation!$E$7</f>
        <v>11597.639149100833</v>
      </c>
      <c r="C39" s="127">
        <f>IS!C40*Allocation!$E$7</f>
        <v>11342.608723082905</v>
      </c>
      <c r="D39" s="127">
        <f>IS!D40*Allocation!$E$7</f>
        <v>11000.563928996611</v>
      </c>
      <c r="E39" s="127">
        <f>IS!E40*Allocation!$E$7</f>
        <v>10755.300800218647</v>
      </c>
      <c r="F39" s="127">
        <f>IS!F40*Allocation!$E$7</f>
        <v>10448.212652096956</v>
      </c>
      <c r="G39" s="127">
        <f>IS!G40*Allocation!$E$7</f>
        <v>10087.285536433032</v>
      </c>
      <c r="H39" s="127">
        <f>IS!H40*Allocation!$E$7</f>
        <v>9681.6520537248743</v>
      </c>
      <c r="I39" s="127">
        <f>IS!I40*Allocation!$E$7</f>
        <v>9259.8597505519683</v>
      </c>
      <c r="J39" s="127">
        <f>IS!J40*Allocation!$E$7</f>
        <v>8730.1548098094445</v>
      </c>
      <c r="K39" s="127">
        <f>IS!K40*Allocation!$E$7</f>
        <v>8146.0553399459186</v>
      </c>
      <c r="L39" s="127">
        <f>IS!L40*Allocation!$E$7</f>
        <v>7493.6641314690223</v>
      </c>
      <c r="M39" s="127">
        <f>IS!M40*Allocation!$E$7</f>
        <v>6731.8376901865868</v>
      </c>
      <c r="N39" s="127">
        <f>IS!N40*Allocation!$E$7</f>
        <v>5932.1498758571233</v>
      </c>
      <c r="O39" s="127">
        <f>IS!O40*Allocation!$E$7</f>
        <v>5151.3927480511738</v>
      </c>
      <c r="P39" s="127">
        <f>IS!P40*Allocation!$E$7</f>
        <v>4360.7959413742446</v>
      </c>
      <c r="Q39" s="127">
        <f>IS!Q40*Allocation!$E$7</f>
        <v>3541.4287693028232</v>
      </c>
      <c r="R39" s="127">
        <f>IS!R40*Allocation!$E$7</f>
        <v>2672.3284377204741</v>
      </c>
      <c r="S39" s="127">
        <f>IS!S40*Allocation!$E$7</f>
        <v>1852.8543126178456</v>
      </c>
      <c r="T39" s="127">
        <f>IS!T40*Allocation!$E$7</f>
        <v>1150.1728975924909</v>
      </c>
      <c r="U39" s="127">
        <f>IS!U40*Allocation!$E$7</f>
        <v>449.20273106643685</v>
      </c>
      <c r="W39" s="91">
        <f>SUM(B39:U39)</f>
        <v>140385.16027919945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</row>
    <row r="40" spans="1:55" ht="6" customHeight="1">
      <c r="B40" s="67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W40" s="91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</row>
    <row r="41" spans="1:55" s="57" customFormat="1">
      <c r="A41" s="1" t="s">
        <v>77</v>
      </c>
      <c r="B41" s="132">
        <f t="shared" ref="B41:U41" si="11">B37-B39</f>
        <v>9417.1965095811283</v>
      </c>
      <c r="C41" s="132">
        <f t="shared" si="11"/>
        <v>9566.9204212059467</v>
      </c>
      <c r="D41" s="132">
        <f t="shared" si="11"/>
        <v>9852.2165223410029</v>
      </c>
      <c r="E41" s="132">
        <f t="shared" si="11"/>
        <v>15843.96739850441</v>
      </c>
      <c r="F41" s="132">
        <f t="shared" si="11"/>
        <v>17851.005214293247</v>
      </c>
      <c r="G41" s="132">
        <f t="shared" si="11"/>
        <v>18618.838511503229</v>
      </c>
      <c r="H41" s="132">
        <f t="shared" si="11"/>
        <v>19434.898767455292</v>
      </c>
      <c r="I41" s="132">
        <f t="shared" si="11"/>
        <v>20270.482849060249</v>
      </c>
      <c r="J41" s="132">
        <f t="shared" si="11"/>
        <v>21217.876973720638</v>
      </c>
      <c r="K41" s="132">
        <f t="shared" si="11"/>
        <v>22223.056747529401</v>
      </c>
      <c r="L41" s="132">
        <f t="shared" si="11"/>
        <v>23543.447910789109</v>
      </c>
      <c r="M41" s="132">
        <f t="shared" si="11"/>
        <v>24985.040086187342</v>
      </c>
      <c r="N41" s="132">
        <f t="shared" si="11"/>
        <v>26475.739656333964</v>
      </c>
      <c r="O41" s="132">
        <f t="shared" si="11"/>
        <v>27958.974429222148</v>
      </c>
      <c r="P41" s="132">
        <f t="shared" si="11"/>
        <v>29410.435626302853</v>
      </c>
      <c r="Q41" s="132">
        <f t="shared" si="11"/>
        <v>30742.550681897948</v>
      </c>
      <c r="R41" s="132">
        <f t="shared" si="11"/>
        <v>32130.873034892753</v>
      </c>
      <c r="S41" s="132">
        <f t="shared" si="11"/>
        <v>33473.563069000244</v>
      </c>
      <c r="T41" s="132">
        <f t="shared" si="11"/>
        <v>34705.442582567222</v>
      </c>
      <c r="U41" s="132">
        <f t="shared" si="11"/>
        <v>35950.240616449199</v>
      </c>
      <c r="W41" s="91">
        <f>SUM(B41:U41)</f>
        <v>463672.7676088374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</row>
    <row r="42" spans="1:55" s="57" customFormat="1">
      <c r="A42" s="1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W42" s="91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</row>
    <row r="43" spans="1:55">
      <c r="A43" s="3" t="s">
        <v>78</v>
      </c>
      <c r="B43" s="127">
        <f>B41*-Assumptions!$C$47</f>
        <v>-565.03179057486773</v>
      </c>
      <c r="C43" s="127">
        <f>C41*-Assumptions!$C$47</f>
        <v>-574.01522527235682</v>
      </c>
      <c r="D43" s="127">
        <f>D41*-Assumptions!$C$47</f>
        <v>-591.13299134046019</v>
      </c>
      <c r="E43" s="127">
        <f>E41*-Assumptions!$C$47</f>
        <v>-950.63804391026451</v>
      </c>
      <c r="F43" s="127">
        <f>F41*-Assumptions!$C$47</f>
        <v>-1071.0603128575949</v>
      </c>
      <c r="G43" s="127">
        <f>G41*-Assumptions!$C$47</f>
        <v>-1117.1303106901937</v>
      </c>
      <c r="H43" s="127">
        <f>H41*-Assumptions!$C$47</f>
        <v>-1166.0939260473174</v>
      </c>
      <c r="I43" s="127">
        <f>I41*-Assumptions!$C$47</f>
        <v>-1216.228970943615</v>
      </c>
      <c r="J43" s="127">
        <f>J41*-Assumptions!$C$47</f>
        <v>-1273.0726184232383</v>
      </c>
      <c r="K43" s="127">
        <f>K41*-Assumptions!$C$47</f>
        <v>-1333.383404851764</v>
      </c>
      <c r="L43" s="127">
        <f>L41*-Assumptions!$C$47</f>
        <v>-1412.6068746473466</v>
      </c>
      <c r="M43" s="127">
        <f>M41*-Assumptions!$C$47</f>
        <v>-1499.1024051712404</v>
      </c>
      <c r="N43" s="127">
        <f>N41*-Assumptions!$C$47</f>
        <v>-1588.5443793800378</v>
      </c>
      <c r="O43" s="127">
        <f>O41*-Assumptions!$C$47</f>
        <v>-1677.5384657533289</v>
      </c>
      <c r="P43" s="127">
        <f>P41*-Assumptions!$C$47</f>
        <v>-1764.6261375781712</v>
      </c>
      <c r="Q43" s="127">
        <f>Q41*-Assumptions!$C$47</f>
        <v>-1844.5530409138769</v>
      </c>
      <c r="R43" s="127">
        <f>R41*-Assumptions!$C$47</f>
        <v>-1927.8523820935652</v>
      </c>
      <c r="S43" s="127">
        <f>S41*-Assumptions!$C$47</f>
        <v>-2008.4137841400145</v>
      </c>
      <c r="T43" s="127">
        <f>T41*-Assumptions!$C$47</f>
        <v>-2082.3265549540333</v>
      </c>
      <c r="U43" s="127">
        <f>U41*-Assumptions!$C$47</f>
        <v>-2157.0144369869518</v>
      </c>
      <c r="W43" s="91">
        <f>SUM(B43:U43)</f>
        <v>-27820.366056530245</v>
      </c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</row>
    <row r="44" spans="1:55">
      <c r="A44" s="3" t="s">
        <v>79</v>
      </c>
      <c r="B44" s="121">
        <f>(B41+B43)*-Assumptions!$C$46</f>
        <v>-3098.2576516521913</v>
      </c>
      <c r="C44" s="121">
        <f>(C41+C43)*-Assumptions!$C$46</f>
        <v>-3147.5168185767566</v>
      </c>
      <c r="D44" s="121">
        <f>(D41+D43)*-Assumptions!$C$46</f>
        <v>-3241.3792358501896</v>
      </c>
      <c r="E44" s="121">
        <f>(E41+E43)*-Assumptions!$C$46</f>
        <v>-5212.6652741079506</v>
      </c>
      <c r="F44" s="121">
        <f>(F41+F43)*-Assumptions!$C$46</f>
        <v>-5872.9807155024773</v>
      </c>
      <c r="G44" s="121">
        <f>(G41+G43)*-Assumptions!$C$46</f>
        <v>-6125.5978702845614</v>
      </c>
      <c r="H44" s="121">
        <f>(H41+H43)*-Assumptions!$C$46</f>
        <v>-6394.081694492791</v>
      </c>
      <c r="I44" s="121">
        <f>(I41+I43)*-Assumptions!$C$46</f>
        <v>-6668.9888573408216</v>
      </c>
      <c r="J44" s="121">
        <f>(J41+J43)*-Assumptions!$C$46</f>
        <v>-6980.6815243540905</v>
      </c>
      <c r="K44" s="121">
        <f>(K41+K43)*-Assumptions!$C$46</f>
        <v>-7311.3856699371727</v>
      </c>
      <c r="L44" s="121">
        <f>(L41+L43)*-Assumptions!$C$46</f>
        <v>-7745.7943626496162</v>
      </c>
      <c r="M44" s="121">
        <f>(M41+M43)*-Assumptions!$C$46</f>
        <v>-8220.0781883556356</v>
      </c>
      <c r="N44" s="121">
        <f>(N41+N43)*-Assumptions!$C$46</f>
        <v>-8710.5183469338735</v>
      </c>
      <c r="O44" s="121">
        <f>(O41+O43)*-Assumptions!$C$46</f>
        <v>-9198.5025872140868</v>
      </c>
      <c r="P44" s="121">
        <f>(P41+P43)*-Assumptions!$C$46</f>
        <v>-9676.0333210536373</v>
      </c>
      <c r="Q44" s="121">
        <f>(Q41+Q43)*-Assumptions!$C$46</f>
        <v>-10114.299174344424</v>
      </c>
      <c r="R44" s="121">
        <f>(R41+R43)*-Assumptions!$C$46</f>
        <v>-10571.057228479714</v>
      </c>
      <c r="S44" s="121">
        <f>(S41+S43)*-Assumptions!$C$46</f>
        <v>-11012.802249701079</v>
      </c>
      <c r="T44" s="121">
        <f>(T41+T43)*-Assumptions!$C$46</f>
        <v>-11418.090609664616</v>
      </c>
      <c r="U44" s="121">
        <f>(U41+U43)*-Assumptions!$C$46</f>
        <v>-11827.629162811785</v>
      </c>
      <c r="W44" s="91">
        <f>SUM(B44:U44)</f>
        <v>-152548.34054330748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</row>
    <row r="45" spans="1:55" ht="6" customHeight="1"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W45" s="91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</row>
    <row r="46" spans="1:55" s="64" customFormat="1" ht="15.75">
      <c r="A46" s="45" t="s">
        <v>256</v>
      </c>
      <c r="B46" s="134">
        <f t="shared" ref="B46:U46" si="12">SUM(B41:B44)</f>
        <v>5753.90706735407</v>
      </c>
      <c r="C46" s="134">
        <f t="shared" si="12"/>
        <v>5845.3883773568341</v>
      </c>
      <c r="D46" s="134">
        <f t="shared" si="12"/>
        <v>6019.7042951503527</v>
      </c>
      <c r="E46" s="134">
        <f t="shared" si="12"/>
        <v>9680.6640804861945</v>
      </c>
      <c r="F46" s="134">
        <f t="shared" si="12"/>
        <v>10906.964185933173</v>
      </c>
      <c r="G46" s="134">
        <f t="shared" si="12"/>
        <v>11376.110330528474</v>
      </c>
      <c r="H46" s="134">
        <f t="shared" si="12"/>
        <v>11874.723146915185</v>
      </c>
      <c r="I46" s="134">
        <f t="shared" si="12"/>
        <v>12385.265020775812</v>
      </c>
      <c r="J46" s="134">
        <f t="shared" si="12"/>
        <v>12964.12283094331</v>
      </c>
      <c r="K46" s="134">
        <f t="shared" si="12"/>
        <v>13578.287672740465</v>
      </c>
      <c r="L46" s="134">
        <f t="shared" si="12"/>
        <v>14385.046673492147</v>
      </c>
      <c r="M46" s="134">
        <f t="shared" si="12"/>
        <v>15265.859492660466</v>
      </c>
      <c r="N46" s="134">
        <f t="shared" si="12"/>
        <v>16176.676930020054</v>
      </c>
      <c r="O46" s="134">
        <f t="shared" si="12"/>
        <v>17082.933376254732</v>
      </c>
      <c r="P46" s="134">
        <f t="shared" si="12"/>
        <v>17969.776167671043</v>
      </c>
      <c r="Q46" s="134">
        <f t="shared" si="12"/>
        <v>18783.698466639646</v>
      </c>
      <c r="R46" s="134">
        <f t="shared" si="12"/>
        <v>19631.963424319474</v>
      </c>
      <c r="S46" s="134">
        <f t="shared" si="12"/>
        <v>20452.34703515915</v>
      </c>
      <c r="T46" s="134">
        <f t="shared" si="12"/>
        <v>21205.025417948571</v>
      </c>
      <c r="U46" s="134">
        <f t="shared" si="12"/>
        <v>21965.597016650463</v>
      </c>
      <c r="W46" s="91">
        <f>SUM(B46:U46)</f>
        <v>283304.06100899965</v>
      </c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</row>
    <row r="47" spans="1:55" s="62" customFormat="1">
      <c r="A47" s="4"/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</row>
    <row r="48" spans="1:55">
      <c r="A48" s="1"/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</row>
    <row r="49" spans="1:55">
      <c r="A49" s="13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</row>
    <row r="50" spans="1:55" ht="18.75">
      <c r="A50" s="55" t="s">
        <v>253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</row>
    <row r="51" spans="1:55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</row>
    <row r="52" spans="1:55" ht="12.75" customHeight="1">
      <c r="A52" s="1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</row>
    <row r="53" spans="1:55" ht="12.75" customHeight="1">
      <c r="A53" s="1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</row>
    <row r="54" spans="1:55" ht="13.5" thickBot="1">
      <c r="A54" s="197" t="s">
        <v>65</v>
      </c>
      <c r="B54" s="8">
        <v>2001</v>
      </c>
      <c r="C54" s="8">
        <f t="shared" ref="C54:U54" si="13">B54+1</f>
        <v>2002</v>
      </c>
      <c r="D54" s="8">
        <f t="shared" si="13"/>
        <v>2003</v>
      </c>
      <c r="E54" s="8">
        <f t="shared" si="13"/>
        <v>2004</v>
      </c>
      <c r="F54" s="8">
        <f t="shared" si="13"/>
        <v>2005</v>
      </c>
      <c r="G54" s="8">
        <f t="shared" si="13"/>
        <v>2006</v>
      </c>
      <c r="H54" s="8">
        <f t="shared" si="13"/>
        <v>2007</v>
      </c>
      <c r="I54" s="8">
        <f t="shared" si="13"/>
        <v>2008</v>
      </c>
      <c r="J54" s="8">
        <f t="shared" si="13"/>
        <v>2009</v>
      </c>
      <c r="K54" s="8">
        <f t="shared" si="13"/>
        <v>2010</v>
      </c>
      <c r="L54" s="8">
        <f t="shared" si="13"/>
        <v>2011</v>
      </c>
      <c r="M54" s="8">
        <f t="shared" si="13"/>
        <v>2012</v>
      </c>
      <c r="N54" s="8">
        <f t="shared" si="13"/>
        <v>2013</v>
      </c>
      <c r="O54" s="8">
        <f t="shared" si="13"/>
        <v>2014</v>
      </c>
      <c r="P54" s="8">
        <f t="shared" si="13"/>
        <v>2015</v>
      </c>
      <c r="Q54" s="8">
        <f t="shared" si="13"/>
        <v>2016</v>
      </c>
      <c r="R54" s="8">
        <f t="shared" si="13"/>
        <v>2017</v>
      </c>
      <c r="S54" s="8">
        <f t="shared" si="13"/>
        <v>2018</v>
      </c>
      <c r="T54" s="8">
        <f t="shared" si="13"/>
        <v>2019</v>
      </c>
      <c r="U54" s="8">
        <f t="shared" si="13"/>
        <v>2020</v>
      </c>
      <c r="W54" s="425" t="s">
        <v>181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</row>
    <row r="55" spans="1:55">
      <c r="A55" s="12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W55" s="44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293</v>
      </c>
      <c r="B56" s="67">
        <f>B33-B12</f>
        <v>19172.94895480396</v>
      </c>
      <c r="C56" s="67">
        <f>C33-C12</f>
        <v>19067.642440410851</v>
      </c>
      <c r="D56" s="67">
        <f>D33-D12</f>
        <v>19010.893747459613</v>
      </c>
      <c r="E56" s="67">
        <f t="shared" ref="E56:U56" si="14">E33</f>
        <v>32156.667923747696</v>
      </c>
      <c r="F56" s="67">
        <f t="shared" si="14"/>
        <v>33856.617591414841</v>
      </c>
      <c r="G56" s="67">
        <f t="shared" si="14"/>
        <v>34263.5237729609</v>
      </c>
      <c r="H56" s="67">
        <f t="shared" si="14"/>
        <v>34673.950546204804</v>
      </c>
      <c r="I56" s="67">
        <f t="shared" si="14"/>
        <v>35087.742324636856</v>
      </c>
      <c r="J56" s="67">
        <f t="shared" si="14"/>
        <v>35505.43150855472</v>
      </c>
      <c r="K56" s="67">
        <f t="shared" si="14"/>
        <v>35926.511812499957</v>
      </c>
      <c r="L56" s="67">
        <f t="shared" si="14"/>
        <v>36594.511767282769</v>
      </c>
      <c r="M56" s="67">
        <f t="shared" si="14"/>
        <v>37274.277501398567</v>
      </c>
      <c r="N56" s="67">
        <f t="shared" si="14"/>
        <v>37965.289257215729</v>
      </c>
      <c r="O56" s="67">
        <f t="shared" si="14"/>
        <v>38667.766902297961</v>
      </c>
      <c r="P56" s="67">
        <f t="shared" si="14"/>
        <v>39328.631292701735</v>
      </c>
      <c r="Q56" s="67">
        <f t="shared" si="14"/>
        <v>39841.379176225411</v>
      </c>
      <c r="R56" s="67">
        <f t="shared" si="14"/>
        <v>40360.601197637865</v>
      </c>
      <c r="S56" s="67">
        <f t="shared" si="14"/>
        <v>40883.817106642731</v>
      </c>
      <c r="T56" s="67">
        <f t="shared" si="14"/>
        <v>41413.015205184354</v>
      </c>
      <c r="U56" s="67">
        <f t="shared" si="14"/>
        <v>41956.843072540272</v>
      </c>
      <c r="W56" s="426">
        <f>SUM(B56:U56)</f>
        <v>693008.0631018217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ht="12" customHeight="1">
      <c r="A57" s="13" t="s">
        <v>195</v>
      </c>
      <c r="B57" s="67">
        <f>B28</f>
        <v>325</v>
      </c>
      <c r="C57" s="67">
        <f t="shared" ref="C57:T57" si="15">C28</f>
        <v>375</v>
      </c>
      <c r="D57" s="67">
        <f t="shared" si="15"/>
        <v>375</v>
      </c>
      <c r="E57" s="67">
        <f t="shared" si="15"/>
        <v>375</v>
      </c>
      <c r="F57" s="67">
        <f t="shared" si="15"/>
        <v>375</v>
      </c>
      <c r="G57" s="67">
        <f t="shared" si="15"/>
        <v>375</v>
      </c>
      <c r="H57" s="67">
        <f t="shared" si="15"/>
        <v>375</v>
      </c>
      <c r="I57" s="67">
        <f t="shared" si="15"/>
        <v>375</v>
      </c>
      <c r="J57" s="67">
        <f t="shared" si="15"/>
        <v>375</v>
      </c>
      <c r="K57" s="67">
        <f t="shared" si="15"/>
        <v>375</v>
      </c>
      <c r="L57" s="67">
        <f t="shared" si="15"/>
        <v>375</v>
      </c>
      <c r="M57" s="67">
        <f t="shared" si="15"/>
        <v>375</v>
      </c>
      <c r="N57" s="67">
        <f t="shared" si="15"/>
        <v>375</v>
      </c>
      <c r="O57" s="67">
        <f t="shared" si="15"/>
        <v>375</v>
      </c>
      <c r="P57" s="67">
        <f t="shared" si="15"/>
        <v>427.64830117962356</v>
      </c>
      <c r="Q57" s="67">
        <f t="shared" si="15"/>
        <v>436.20126720321605</v>
      </c>
      <c r="R57" s="67">
        <f t="shared" si="15"/>
        <v>444.92529254728038</v>
      </c>
      <c r="S57" s="67">
        <f t="shared" si="15"/>
        <v>453.82379839822596</v>
      </c>
      <c r="T57" s="67">
        <f t="shared" si="15"/>
        <v>462.9002743661905</v>
      </c>
      <c r="U57" s="67">
        <f>T57</f>
        <v>462.9002743661905</v>
      </c>
      <c r="W57" s="426">
        <f>SUM(B57:U57)</f>
        <v>7888.3992080607268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</row>
    <row r="58" spans="1:55">
      <c r="A58" s="13" t="s">
        <v>196</v>
      </c>
      <c r="B58" s="495">
        <v>-250</v>
      </c>
      <c r="C58" s="67">
        <f>-B57</f>
        <v>-325</v>
      </c>
      <c r="D58" s="67">
        <f t="shared" ref="D58:U58" si="16">-C57</f>
        <v>-375</v>
      </c>
      <c r="E58" s="67">
        <f t="shared" si="16"/>
        <v>-375</v>
      </c>
      <c r="F58" s="67">
        <f t="shared" si="16"/>
        <v>-375</v>
      </c>
      <c r="G58" s="67">
        <f t="shared" si="16"/>
        <v>-375</v>
      </c>
      <c r="H58" s="67">
        <f t="shared" si="16"/>
        <v>-375</v>
      </c>
      <c r="I58" s="67">
        <f t="shared" si="16"/>
        <v>-375</v>
      </c>
      <c r="J58" s="67">
        <f t="shared" si="16"/>
        <v>-375</v>
      </c>
      <c r="K58" s="67">
        <f t="shared" si="16"/>
        <v>-375</v>
      </c>
      <c r="L58" s="67">
        <f t="shared" si="16"/>
        <v>-375</v>
      </c>
      <c r="M58" s="67">
        <f t="shared" si="16"/>
        <v>-375</v>
      </c>
      <c r="N58" s="67">
        <f t="shared" si="16"/>
        <v>-375</v>
      </c>
      <c r="O58" s="67">
        <f t="shared" si="16"/>
        <v>-375</v>
      </c>
      <c r="P58" s="67">
        <f t="shared" si="16"/>
        <v>-375</v>
      </c>
      <c r="Q58" s="67">
        <f t="shared" si="16"/>
        <v>-427.64830117962356</v>
      </c>
      <c r="R58" s="67">
        <f t="shared" si="16"/>
        <v>-436.20126720321605</v>
      </c>
      <c r="S58" s="67">
        <f t="shared" si="16"/>
        <v>-444.92529254728038</v>
      </c>
      <c r="T58" s="67">
        <f t="shared" si="16"/>
        <v>-453.82379839822596</v>
      </c>
      <c r="U58" s="67">
        <f t="shared" si="16"/>
        <v>-462.9002743661905</v>
      </c>
      <c r="W58" s="426">
        <f>SUM(B58:U58)</f>
        <v>-7675.4989336945364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</row>
    <row r="59" spans="1:55">
      <c r="A59" s="13" t="s">
        <v>81</v>
      </c>
      <c r="B59" s="424">
        <f>-Debt!B77*Allocation!$E$7</f>
        <v>-14721.256538621452</v>
      </c>
      <c r="C59" s="424">
        <f>-Debt!C77*Allocation!$E$7</f>
        <v>-14692.940277971955</v>
      </c>
      <c r="D59" s="424">
        <f>-Debt!D77*Allocation!$E$7</f>
        <v>-14602.800112072808</v>
      </c>
      <c r="E59" s="424">
        <f>-Debt!E77*Allocation!$E$7</f>
        <v>-13061.197012085604</v>
      </c>
      <c r="F59" s="424">
        <f>-Debt!F77*Allocation!$E$7</f>
        <v>-13622.210967255005</v>
      </c>
      <c r="G59" s="424">
        <f>-Debt!G77*Allocation!$E$7</f>
        <v>-13695.334903236626</v>
      </c>
      <c r="H59" s="424">
        <f>-Debt!H77*Allocation!$E$7</f>
        <v>-13615.239709262629</v>
      </c>
      <c r="I59" s="424">
        <f>-Debt!I77*Allocation!$E$7</f>
        <v>-13736.011220646651</v>
      </c>
      <c r="J59" s="424">
        <f>-Debt!J77*Allocation!$E$7</f>
        <v>-13640.357331549672</v>
      </c>
      <c r="K59" s="424">
        <f>-Debt!K77*Allocation!$E$7</f>
        <v>-13912.733597522443</v>
      </c>
      <c r="L59" s="424">
        <f>-Debt!L77*Allocation!$E$7</f>
        <v>-14469.484604343854</v>
      </c>
      <c r="M59" s="424">
        <f>-Debt!M77*Allocation!$E$7</f>
        <v>-13707.658163061418</v>
      </c>
      <c r="N59" s="424">
        <f>-Debt!N77*Allocation!$E$7</f>
        <v>-12907.970348731955</v>
      </c>
      <c r="O59" s="424">
        <f>-Debt!O77*Allocation!$E$7</f>
        <v>-12127.213220926005</v>
      </c>
      <c r="P59" s="424">
        <f>-Debt!P77*Allocation!$E$7</f>
        <v>-11685.407437892818</v>
      </c>
      <c r="Q59" s="424">
        <f>-Debt!Q77*Allocation!$E$7</f>
        <v>-11214.831289465139</v>
      </c>
      <c r="R59" s="424">
        <f>-Debt!R77*Allocation!$E$7</f>
        <v>-10345.73095788279</v>
      </c>
      <c r="S59" s="424">
        <f>-Debt!S77*Allocation!$E$7</f>
        <v>-8131.0927382051941</v>
      </c>
      <c r="T59" s="424">
        <f>-Debt!T77*Allocation!$E$7</f>
        <v>-7428.4113231798392</v>
      </c>
      <c r="U59" s="424">
        <f>-Debt!U77*Allocation!$E$7</f>
        <v>-6029.8591093663081</v>
      </c>
      <c r="W59" s="426">
        <f>SUM(B59:U59)</f>
        <v>-247347.74086328017</v>
      </c>
    </row>
    <row r="60" spans="1:55">
      <c r="A60" s="13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27"/>
    </row>
    <row r="61" spans="1:55" s="57" customFormat="1">
      <c r="A61" s="12" t="s">
        <v>82</v>
      </c>
      <c r="B61" s="136">
        <f t="shared" ref="B61:U61" si="17">SUM(B56:B59)</f>
        <v>4526.6924161825082</v>
      </c>
      <c r="C61" s="136">
        <f t="shared" si="17"/>
        <v>4424.7021624388963</v>
      </c>
      <c r="D61" s="136">
        <f t="shared" si="17"/>
        <v>4408.0936353868055</v>
      </c>
      <c r="E61" s="136">
        <f t="shared" si="17"/>
        <v>19095.470911662094</v>
      </c>
      <c r="F61" s="136">
        <f t="shared" si="17"/>
        <v>20234.406624159834</v>
      </c>
      <c r="G61" s="136">
        <f t="shared" si="17"/>
        <v>20568.188869724276</v>
      </c>
      <c r="H61" s="136">
        <f t="shared" si="17"/>
        <v>21058.710836942177</v>
      </c>
      <c r="I61" s="136">
        <f t="shared" si="17"/>
        <v>21351.731103990205</v>
      </c>
      <c r="J61" s="136">
        <f t="shared" si="17"/>
        <v>21865.074177005048</v>
      </c>
      <c r="K61" s="136">
        <f t="shared" si="17"/>
        <v>22013.778214977516</v>
      </c>
      <c r="L61" s="136">
        <f t="shared" si="17"/>
        <v>22125.027162938917</v>
      </c>
      <c r="M61" s="136">
        <f t="shared" si="17"/>
        <v>23566.61933833715</v>
      </c>
      <c r="N61" s="136">
        <f t="shared" si="17"/>
        <v>25057.318908483772</v>
      </c>
      <c r="O61" s="136">
        <f t="shared" si="17"/>
        <v>26540.553681371955</v>
      </c>
      <c r="P61" s="136">
        <f t="shared" si="17"/>
        <v>27695.872155988538</v>
      </c>
      <c r="Q61" s="136">
        <f t="shared" si="17"/>
        <v>28635.100852783864</v>
      </c>
      <c r="R61" s="136">
        <f t="shared" si="17"/>
        <v>30023.594265099142</v>
      </c>
      <c r="S61" s="136">
        <f t="shared" si="17"/>
        <v>32761.622874288478</v>
      </c>
      <c r="T61" s="136">
        <f t="shared" si="17"/>
        <v>33993.68035797248</v>
      </c>
      <c r="U61" s="136">
        <f t="shared" si="17"/>
        <v>35926.983963173967</v>
      </c>
      <c r="W61" s="426">
        <f>SUM(B61:U61)</f>
        <v>445873.22251290764</v>
      </c>
    </row>
    <row r="62" spans="1:55">
      <c r="A62" s="12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W62" s="427"/>
    </row>
    <row r="63" spans="1:55">
      <c r="A63" s="13" t="s">
        <v>109</v>
      </c>
      <c r="B63" s="129">
        <f>-B105</f>
        <v>0</v>
      </c>
      <c r="C63" s="129">
        <f t="shared" ref="C63:U63" si="18">-C105</f>
        <v>0</v>
      </c>
      <c r="D63" s="129">
        <f t="shared" si="18"/>
        <v>0</v>
      </c>
      <c r="E63" s="129">
        <f t="shared" si="18"/>
        <v>0</v>
      </c>
      <c r="F63" s="129">
        <f t="shared" si="18"/>
        <v>-456.78051676399525</v>
      </c>
      <c r="G63" s="129">
        <f t="shared" si="18"/>
        <v>-850.31739735772874</v>
      </c>
      <c r="H63" s="129">
        <f t="shared" si="18"/>
        <v>-931.07632185693956</v>
      </c>
      <c r="I63" s="129">
        <f t="shared" si="18"/>
        <v>-980.24787253681006</v>
      </c>
      <c r="J63" s="129">
        <f t="shared" si="18"/>
        <v>-1038.0550142328605</v>
      </c>
      <c r="K63" s="129">
        <f t="shared" si="18"/>
        <v>-1097.4023064449591</v>
      </c>
      <c r="L63" s="129">
        <f t="shared" si="18"/>
        <v>-1177.5892704569685</v>
      </c>
      <c r="M63" s="129">
        <f t="shared" si="18"/>
        <v>-1263.1213067644355</v>
      </c>
      <c r="N63" s="129">
        <f t="shared" si="18"/>
        <v>-1353.5267751896599</v>
      </c>
      <c r="O63" s="129">
        <f t="shared" si="18"/>
        <v>-1441.557367346524</v>
      </c>
      <c r="P63" s="129">
        <f t="shared" si="18"/>
        <v>-1529.6085333877932</v>
      </c>
      <c r="Q63" s="129">
        <f t="shared" si="18"/>
        <v>-1893.7662305694271</v>
      </c>
      <c r="R63" s="129">
        <f t="shared" si="18"/>
        <v>-2261.2963655950439</v>
      </c>
      <c r="S63" s="129">
        <f t="shared" si="18"/>
        <v>-2341.857767641493</v>
      </c>
      <c r="T63" s="129">
        <f t="shared" si="18"/>
        <v>-2415.7705384555115</v>
      </c>
      <c r="U63" s="129">
        <f t="shared" si="18"/>
        <v>-2490.45842048843</v>
      </c>
      <c r="W63" s="426">
        <f>SUM(B63:U63)</f>
        <v>-23522.43200508858</v>
      </c>
    </row>
    <row r="64" spans="1:55">
      <c r="A64" s="13" t="s">
        <v>110</v>
      </c>
      <c r="B64" s="128">
        <f>-Allocation!$E$7*Tax!B24</f>
        <v>0</v>
      </c>
      <c r="C64" s="128">
        <f>-Allocation!$E$7*Tax!C24</f>
        <v>0</v>
      </c>
      <c r="D64" s="128">
        <f>-Allocation!$E$7*Tax!D24</f>
        <v>0</v>
      </c>
      <c r="E64" s="128">
        <f>-Allocation!$E$7*Tax!E24</f>
        <v>0</v>
      </c>
      <c r="F64" s="128">
        <f>-Allocation!$E$7*Tax!F24</f>
        <v>0</v>
      </c>
      <c r="G64" s="128">
        <f>-Allocation!$E$7*Tax!G24</f>
        <v>-1147.8058015895415</v>
      </c>
      <c r="H64" s="128">
        <f>-Allocation!$E$7*Tax!H24</f>
        <v>-4462.776536490911</v>
      </c>
      <c r="I64" s="128">
        <f>-Allocation!$E$7*Tax!I24</f>
        <v>-4694.2590431821645</v>
      </c>
      <c r="J64" s="128">
        <f>-Allocation!$E$7*Tax!J24</f>
        <v>-5046.7567672624482</v>
      </c>
      <c r="K64" s="128">
        <f>-Allocation!$E$7*Tax!K24</f>
        <v>-5365.4228796361585</v>
      </c>
      <c r="L64" s="128">
        <f>-Allocation!$E$7*Tax!L24</f>
        <v>-5815.7152077045639</v>
      </c>
      <c r="M64" s="128">
        <f>-Allocation!$E$7*Tax!M24</f>
        <v>-6302.2608520051308</v>
      </c>
      <c r="N64" s="128">
        <f>-Allocation!$E$7*Tax!N24</f>
        <v>-6792.4691585058772</v>
      </c>
      <c r="O64" s="128">
        <f>-Allocation!$E$7*Tax!O24</f>
        <v>-7271.7645449398397</v>
      </c>
      <c r="P64" s="128">
        <f>-Allocation!$E$7*Tax!P24</f>
        <v>-7745.9974352538002</v>
      </c>
      <c r="Q64" s="128">
        <f>-Allocation!$E$7*Tax!Q24</f>
        <v>-10150.904486171921</v>
      </c>
      <c r="R64" s="128">
        <f>-Allocation!$E$7*Tax!R24</f>
        <v>-12543.728391946071</v>
      </c>
      <c r="S64" s="128">
        <f>-Allocation!$E$7*Tax!S24</f>
        <v>-12984.743948035722</v>
      </c>
      <c r="T64" s="128">
        <f>-Allocation!$E$7*Tax!T24</f>
        <v>-13389.363022583686</v>
      </c>
      <c r="U64" s="128">
        <f>-Allocation!$E$7*Tax!U24</f>
        <v>-13795.777668311344</v>
      </c>
      <c r="W64" s="426">
        <f>SUM(B64:U64)</f>
        <v>-117509.74574361919</v>
      </c>
    </row>
    <row r="65" spans="1:23">
      <c r="A65" s="13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W65" s="427"/>
    </row>
    <row r="66" spans="1:23" s="64" customFormat="1" ht="15.75">
      <c r="A66" s="228" t="s">
        <v>83</v>
      </c>
      <c r="B66" s="137">
        <f t="shared" ref="B66:U66" si="19">B61+B64+B63</f>
        <v>4526.6924161825082</v>
      </c>
      <c r="C66" s="137">
        <f t="shared" si="19"/>
        <v>4424.7021624388963</v>
      </c>
      <c r="D66" s="137">
        <f t="shared" si="19"/>
        <v>4408.0936353868055</v>
      </c>
      <c r="E66" s="137">
        <f t="shared" si="19"/>
        <v>19095.470911662094</v>
      </c>
      <c r="F66" s="137">
        <f t="shared" si="19"/>
        <v>19777.626107395838</v>
      </c>
      <c r="G66" s="137">
        <f t="shared" si="19"/>
        <v>18570.065670777007</v>
      </c>
      <c r="H66" s="137">
        <f t="shared" si="19"/>
        <v>15664.857978594328</v>
      </c>
      <c r="I66" s="137">
        <f t="shared" si="19"/>
        <v>15677.22418827123</v>
      </c>
      <c r="J66" s="137">
        <f t="shared" si="19"/>
        <v>15780.262395509741</v>
      </c>
      <c r="K66" s="137">
        <f t="shared" si="19"/>
        <v>15550.9530288964</v>
      </c>
      <c r="L66" s="137">
        <f t="shared" si="19"/>
        <v>15131.722684777384</v>
      </c>
      <c r="M66" s="137">
        <f t="shared" si="19"/>
        <v>16001.237179567586</v>
      </c>
      <c r="N66" s="137">
        <f t="shared" si="19"/>
        <v>16911.322974788236</v>
      </c>
      <c r="O66" s="137">
        <f t="shared" si="19"/>
        <v>17827.231769085593</v>
      </c>
      <c r="P66" s="137">
        <f t="shared" si="19"/>
        <v>18420.266187346944</v>
      </c>
      <c r="Q66" s="137">
        <f t="shared" si="19"/>
        <v>16590.430136042512</v>
      </c>
      <c r="R66" s="137">
        <f t="shared" si="19"/>
        <v>15218.569507558026</v>
      </c>
      <c r="S66" s="137">
        <f t="shared" si="19"/>
        <v>17435.021158611264</v>
      </c>
      <c r="T66" s="137">
        <f t="shared" si="19"/>
        <v>18188.546796933282</v>
      </c>
      <c r="U66" s="137">
        <f t="shared" si="19"/>
        <v>19640.747874374192</v>
      </c>
      <c r="W66" s="426">
        <f>SUM(B66:U66)</f>
        <v>304841.04476419982</v>
      </c>
    </row>
    <row r="67" spans="1:23"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23">
      <c r="A68" s="68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</row>
    <row r="69" spans="1:23">
      <c r="A69" s="68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</row>
    <row r="70" spans="1:23" ht="18.75">
      <c r="A70" s="55" t="s">
        <v>225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3">
      <c r="A71" s="57"/>
      <c r="B71" s="18"/>
      <c r="C71" s="18"/>
      <c r="D71" s="18"/>
      <c r="E71" s="18"/>
      <c r="F71" s="18"/>
      <c r="G71" s="138"/>
      <c r="H71" s="18"/>
      <c r="I71" s="18"/>
      <c r="J71" s="18"/>
      <c r="K71" s="18"/>
      <c r="L71" s="18"/>
      <c r="M71" s="138"/>
      <c r="N71" s="18"/>
      <c r="O71" s="18"/>
      <c r="P71" s="18"/>
      <c r="Q71" s="18"/>
      <c r="R71" s="18"/>
      <c r="S71" s="138"/>
      <c r="T71" s="18"/>
      <c r="U71" s="18"/>
    </row>
    <row r="72" spans="1:23">
      <c r="A72" s="230"/>
      <c r="B72" s="248">
        <v>3</v>
      </c>
      <c r="C72" s="248">
        <v>4</v>
      </c>
      <c r="D72" s="248">
        <v>5</v>
      </c>
      <c r="E72" s="249">
        <v>6</v>
      </c>
      <c r="F72" s="248">
        <v>7</v>
      </c>
      <c r="G72" s="248">
        <v>8</v>
      </c>
      <c r="H72" s="248">
        <v>9</v>
      </c>
      <c r="I72" s="248">
        <v>10</v>
      </c>
      <c r="J72" s="248">
        <v>11</v>
      </c>
      <c r="K72" s="249">
        <v>12</v>
      </c>
      <c r="L72" s="248">
        <v>13</v>
      </c>
      <c r="M72" s="248">
        <v>14</v>
      </c>
      <c r="N72" s="248">
        <v>15</v>
      </c>
      <c r="O72" s="248">
        <v>16</v>
      </c>
      <c r="P72" s="248">
        <v>17</v>
      </c>
      <c r="Q72" s="249">
        <v>18</v>
      </c>
      <c r="R72" s="248">
        <v>19</v>
      </c>
      <c r="S72" s="248">
        <v>20</v>
      </c>
      <c r="T72" s="248">
        <v>21</v>
      </c>
      <c r="U72" s="248">
        <v>22</v>
      </c>
    </row>
    <row r="73" spans="1:23" ht="13.5" thickBot="1">
      <c r="A73" s="197" t="s">
        <v>65</v>
      </c>
      <c r="B73" s="8">
        <v>2001</v>
      </c>
      <c r="C73" s="8">
        <v>2002</v>
      </c>
      <c r="D73" s="8">
        <v>2003</v>
      </c>
      <c r="E73" s="8">
        <v>2004</v>
      </c>
      <c r="F73" s="8">
        <v>2005</v>
      </c>
      <c r="G73" s="8">
        <v>2006</v>
      </c>
      <c r="H73" s="8">
        <v>2007</v>
      </c>
      <c r="I73" s="8">
        <v>2008</v>
      </c>
      <c r="J73" s="8">
        <v>2009</v>
      </c>
      <c r="K73" s="8">
        <v>2010</v>
      </c>
      <c r="L73" s="8">
        <v>2011</v>
      </c>
      <c r="M73" s="8">
        <v>2012</v>
      </c>
      <c r="N73" s="8">
        <v>2013</v>
      </c>
      <c r="O73" s="8">
        <v>2014</v>
      </c>
      <c r="P73" s="8">
        <v>2015</v>
      </c>
      <c r="Q73" s="8">
        <v>2016</v>
      </c>
      <c r="R73" s="8">
        <v>2017</v>
      </c>
      <c r="S73" s="8">
        <v>2018</v>
      </c>
      <c r="T73" s="8">
        <v>2019</v>
      </c>
      <c r="U73" s="8">
        <v>2020</v>
      </c>
    </row>
    <row r="74" spans="1:23">
      <c r="A74" s="230"/>
      <c r="B74" s="255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>
      <c r="A75" s="230"/>
      <c r="B75" s="25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>
      <c r="A76" s="231" t="s">
        <v>216</v>
      </c>
      <c r="B76" s="255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3">
      <c r="A77" s="230"/>
      <c r="B77" s="255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3">
      <c r="A78" s="57" t="s">
        <v>227</v>
      </c>
      <c r="B78" s="469">
        <f>Depreciation!C14</f>
        <v>179689.25777579669</v>
      </c>
      <c r="C78" s="469">
        <f>Depreciation!D14</f>
        <v>174131.85805077205</v>
      </c>
      <c r="D78" s="469">
        <f>Depreciation!E14</f>
        <v>168574.4583257474</v>
      </c>
      <c r="E78" s="469">
        <f>Depreciation!F14</f>
        <v>163017.05860072275</v>
      </c>
      <c r="F78" s="469">
        <f>Depreciation!G14</f>
        <v>157459.65887569811</v>
      </c>
      <c r="G78" s="469">
        <f>Depreciation!H14</f>
        <v>151902.25915067346</v>
      </c>
      <c r="H78" s="469">
        <f>Depreciation!I14</f>
        <v>146344.85942564881</v>
      </c>
      <c r="I78" s="469">
        <f>Depreciation!J14</f>
        <v>140787.45970062417</v>
      </c>
      <c r="J78" s="469">
        <f>Depreciation!K14</f>
        <v>135230.05997559952</v>
      </c>
      <c r="K78" s="469">
        <f>Depreciation!L14</f>
        <v>129672.66025057487</v>
      </c>
      <c r="L78" s="469">
        <f>Depreciation!M14</f>
        <v>124115.26052555023</v>
      </c>
      <c r="M78" s="469">
        <f>Depreciation!N14</f>
        <v>118557.86080052558</v>
      </c>
      <c r="N78" s="469">
        <f>Depreciation!O14</f>
        <v>113000.46107550093</v>
      </c>
      <c r="O78" s="469">
        <f>Depreciation!P14</f>
        <v>107443.06135047629</v>
      </c>
      <c r="P78" s="469">
        <f>Depreciation!Q14</f>
        <v>101885.66162545164</v>
      </c>
      <c r="Q78" s="469">
        <f>Depreciation!R14</f>
        <v>96328.261900426995</v>
      </c>
      <c r="R78" s="469">
        <f>Depreciation!S14</f>
        <v>90770.862175402348</v>
      </c>
      <c r="S78" s="469">
        <f>Depreciation!T14</f>
        <v>85213.462450377701</v>
      </c>
      <c r="T78" s="469">
        <f>Depreciation!U14</f>
        <v>79656.062725353055</v>
      </c>
      <c r="U78" s="469">
        <f>Depreciation!V14</f>
        <v>74098.663000328408</v>
      </c>
      <c r="W78" s="446">
        <f t="shared" ref="W78:W86" si="20">SUM(B78:U78)</f>
        <v>2537879.2077612509</v>
      </c>
    </row>
    <row r="79" spans="1:23">
      <c r="A79" s="7" t="s">
        <v>214</v>
      </c>
      <c r="B79" s="469">
        <f>Depreciation!$B$12*'Summary Output'!$B$8</f>
        <v>75856.833695224064</v>
      </c>
      <c r="C79" s="469">
        <f>Depreciation!$B$12*'Summary Output'!$B$8</f>
        <v>75856.833695224064</v>
      </c>
      <c r="D79" s="469">
        <f>Depreciation!$B$12*'Summary Output'!$B$8</f>
        <v>75856.833695224064</v>
      </c>
      <c r="E79" s="469">
        <f>Depreciation!$B$12*'Summary Output'!$B$8</f>
        <v>75856.833695224064</v>
      </c>
      <c r="F79" s="469">
        <f>Depreciation!$B$12*'Summary Output'!$B$8</f>
        <v>75856.833695224064</v>
      </c>
      <c r="G79" s="469">
        <f>Depreciation!$B$12*'Summary Output'!$B$8</f>
        <v>75856.833695224064</v>
      </c>
      <c r="H79" s="469">
        <f>Depreciation!$B$12*'Summary Output'!$B$8</f>
        <v>75856.833695224064</v>
      </c>
      <c r="I79" s="469">
        <f>Depreciation!$B$12*'Summary Output'!$B$8</f>
        <v>75856.833695224064</v>
      </c>
      <c r="J79" s="469">
        <f>Depreciation!$B$12*'Summary Output'!$B$8</f>
        <v>75856.833695224064</v>
      </c>
      <c r="K79" s="469">
        <f>Depreciation!$B$12*'Summary Output'!$B$8</f>
        <v>75856.833695224064</v>
      </c>
      <c r="L79" s="469">
        <f>Depreciation!$B$12*'Summary Output'!$B$8</f>
        <v>75856.833695224064</v>
      </c>
      <c r="M79" s="469">
        <f>Depreciation!$B$12*'Summary Output'!$B$8</f>
        <v>75856.833695224064</v>
      </c>
      <c r="N79" s="469">
        <f>Depreciation!$B$12*'Summary Output'!$B$8</f>
        <v>75856.833695224064</v>
      </c>
      <c r="O79" s="469">
        <f>Depreciation!$B$12*'Summary Output'!$B$8</f>
        <v>75856.833695224064</v>
      </c>
      <c r="P79" s="469">
        <f>Depreciation!$B$12*'Summary Output'!$B$8</f>
        <v>75856.833695224064</v>
      </c>
      <c r="Q79" s="469">
        <f>Depreciation!$B$12*'Summary Output'!$B$8</f>
        <v>75856.833695224064</v>
      </c>
      <c r="R79" s="469">
        <f>Depreciation!$B$12*'Summary Output'!$B$8</f>
        <v>75856.833695224064</v>
      </c>
      <c r="S79" s="469">
        <f>Depreciation!$B$12*'Summary Output'!$B$8</f>
        <v>75856.833695224064</v>
      </c>
      <c r="T79" s="469">
        <f>Depreciation!$B$12*'Summary Output'!$B$8</f>
        <v>75856.833695224064</v>
      </c>
      <c r="U79" s="469">
        <f>Depreciation!$B$12*'Summary Output'!$B$8</f>
        <v>75856.833695224064</v>
      </c>
      <c r="W79" s="446">
        <f t="shared" si="20"/>
        <v>1517136.6739044809</v>
      </c>
    </row>
    <row r="80" spans="1:23">
      <c r="A80" s="473" t="s">
        <v>221</v>
      </c>
      <c r="B80" s="470">
        <f>B46-B66</f>
        <v>1227.2146511715619</v>
      </c>
      <c r="C80" s="470">
        <f t="shared" ref="C80:U80" si="21">C46-C66+B80</f>
        <v>2647.9008660894997</v>
      </c>
      <c r="D80" s="470">
        <f t="shared" si="21"/>
        <v>4259.5115258530468</v>
      </c>
      <c r="E80" s="470">
        <f t="shared" si="21"/>
        <v>-5155.295305322853</v>
      </c>
      <c r="F80" s="470">
        <f t="shared" si="21"/>
        <v>-14025.957226785518</v>
      </c>
      <c r="G80" s="470">
        <f t="shared" si="21"/>
        <v>-21219.912567034051</v>
      </c>
      <c r="H80" s="470">
        <f t="shared" si="21"/>
        <v>-25010.047398713192</v>
      </c>
      <c r="I80" s="470">
        <f t="shared" si="21"/>
        <v>-28302.006566208609</v>
      </c>
      <c r="J80" s="470">
        <f t="shared" si="21"/>
        <v>-31118.14613077504</v>
      </c>
      <c r="K80" s="470">
        <f t="shared" si="21"/>
        <v>-33090.811486930972</v>
      </c>
      <c r="L80" s="470">
        <f t="shared" si="21"/>
        <v>-33837.487498216207</v>
      </c>
      <c r="M80" s="470">
        <f t="shared" si="21"/>
        <v>-34572.86518512333</v>
      </c>
      <c r="N80" s="470">
        <f t="shared" si="21"/>
        <v>-35307.511229891512</v>
      </c>
      <c r="O80" s="470">
        <f t="shared" si="21"/>
        <v>-36051.809622722372</v>
      </c>
      <c r="P80" s="470">
        <f t="shared" si="21"/>
        <v>-36502.299642398269</v>
      </c>
      <c r="Q80" s="470">
        <f t="shared" si="21"/>
        <v>-34309.03131180114</v>
      </c>
      <c r="R80" s="470">
        <f t="shared" si="21"/>
        <v>-29895.637395039692</v>
      </c>
      <c r="S80" s="470">
        <f t="shared" si="21"/>
        <v>-26878.311518491806</v>
      </c>
      <c r="T80" s="470">
        <f t="shared" si="21"/>
        <v>-23861.832897476517</v>
      </c>
      <c r="U80" s="470">
        <f t="shared" si="21"/>
        <v>-21536.983755200246</v>
      </c>
      <c r="W80" s="446">
        <f t="shared" si="20"/>
        <v>-462541.31969501724</v>
      </c>
    </row>
    <row r="81" spans="1:44">
      <c r="A81" s="473" t="s">
        <v>222</v>
      </c>
      <c r="B81" s="471">
        <f>Debt!B73*Allocation!$E$7</f>
        <v>103838.96319456014</v>
      </c>
      <c r="C81" s="471">
        <f>Debt!C73*Allocation!$E$7</f>
        <v>100488.63163967109</v>
      </c>
      <c r="D81" s="471">
        <f>Debt!D73*Allocation!$E$7</f>
        <v>96886.395456594881</v>
      </c>
      <c r="E81" s="471">
        <f>Debt!E73*Allocation!$E$7</f>
        <v>94580.499244727922</v>
      </c>
      <c r="F81" s="471">
        <f>Debt!F73*Allocation!$E$7</f>
        <v>91406.500929569884</v>
      </c>
      <c r="G81" s="471">
        <f>Debt!G73*Allocation!$E$7</f>
        <v>87798.451562766291</v>
      </c>
      <c r="H81" s="471">
        <f>Debt!H73*Allocation!$E$7</f>
        <v>83864.86390722853</v>
      </c>
      <c r="I81" s="471">
        <f>Debt!I73*Allocation!$E$7</f>
        <v>79388.712437133843</v>
      </c>
      <c r="J81" s="471">
        <f>Debt!J73*Allocation!$E$7</f>
        <v>74478.509915393617</v>
      </c>
      <c r="K81" s="471">
        <f>Debt!K73*Allocation!$E$7</f>
        <v>68711.831657817092</v>
      </c>
      <c r="L81" s="471">
        <f>Debt!L73*Allocation!$E$7</f>
        <v>61736.011184942261</v>
      </c>
      <c r="M81" s="471">
        <f>Debt!M73*Allocation!$E$7</f>
        <v>54760.19071206743</v>
      </c>
      <c r="N81" s="471">
        <f>Debt!N73*Allocation!$E$7</f>
        <v>47784.370239192598</v>
      </c>
      <c r="O81" s="471">
        <f>Debt!O73*Allocation!$E$7</f>
        <v>40808.549766317767</v>
      </c>
      <c r="P81" s="471">
        <f>Debt!P73*Allocation!$E$7</f>
        <v>33483.93826979919</v>
      </c>
      <c r="Q81" s="471">
        <f>Debt!Q73*Allocation!$E$7</f>
        <v>25810.535749636878</v>
      </c>
      <c r="R81" s="471">
        <f>Debt!R73*Allocation!$E$7</f>
        <v>18137.133229474563</v>
      </c>
      <c r="S81" s="471">
        <f>Debt!S73*Allocation!$E$7</f>
        <v>11858.894803887215</v>
      </c>
      <c r="T81" s="471">
        <f>Debt!T73*Allocation!$E$7</f>
        <v>5580.6563782998655</v>
      </c>
      <c r="U81" s="471">
        <f>Debt!U73*Allocation!$E$7</f>
        <v>-5.9215069765588636E-12</v>
      </c>
      <c r="W81" s="446">
        <f t="shared" si="20"/>
        <v>1181403.6402790812</v>
      </c>
    </row>
    <row r="82" spans="1:44">
      <c r="A82" s="57" t="s">
        <v>228</v>
      </c>
      <c r="B82" s="472">
        <f>SUM(B79:B81)</f>
        <v>180923.01154095578</v>
      </c>
      <c r="C82" s="472">
        <f t="shared" ref="C82:U82" si="22">SUM(C79:C81)</f>
        <v>178993.36620098466</v>
      </c>
      <c r="D82" s="472">
        <f t="shared" si="22"/>
        <v>177002.74067767197</v>
      </c>
      <c r="E82" s="472">
        <f t="shared" si="22"/>
        <v>165282.03763462912</v>
      </c>
      <c r="F82" s="472">
        <f t="shared" si="22"/>
        <v>153237.37739800842</v>
      </c>
      <c r="G82" s="472">
        <f t="shared" si="22"/>
        <v>142435.37269095631</v>
      </c>
      <c r="H82" s="472">
        <f t="shared" si="22"/>
        <v>134711.65020373941</v>
      </c>
      <c r="I82" s="472">
        <f t="shared" si="22"/>
        <v>126943.53956614929</v>
      </c>
      <c r="J82" s="472">
        <f t="shared" si="22"/>
        <v>119217.19747984264</v>
      </c>
      <c r="K82" s="472">
        <f t="shared" si="22"/>
        <v>111477.85386611018</v>
      </c>
      <c r="L82" s="472">
        <f t="shared" si="22"/>
        <v>103755.35738195012</v>
      </c>
      <c r="M82" s="472">
        <f t="shared" si="22"/>
        <v>96044.159222168164</v>
      </c>
      <c r="N82" s="472">
        <f t="shared" si="22"/>
        <v>88333.69270452515</v>
      </c>
      <c r="O82" s="472">
        <f t="shared" si="22"/>
        <v>80613.573838819459</v>
      </c>
      <c r="P82" s="472">
        <f t="shared" si="22"/>
        <v>72838.472322624992</v>
      </c>
      <c r="Q82" s="472">
        <f t="shared" si="22"/>
        <v>67358.338133059806</v>
      </c>
      <c r="R82" s="472">
        <f t="shared" si="22"/>
        <v>64098.329529658935</v>
      </c>
      <c r="S82" s="472">
        <f t="shared" si="22"/>
        <v>60837.41698061947</v>
      </c>
      <c r="T82" s="472">
        <f t="shared" si="22"/>
        <v>57575.657176047411</v>
      </c>
      <c r="U82" s="472">
        <f t="shared" si="22"/>
        <v>54319.849940023814</v>
      </c>
      <c r="W82" s="446">
        <f t="shared" si="20"/>
        <v>2235998.9944885457</v>
      </c>
    </row>
    <row r="83" spans="1:44">
      <c r="A83" s="230"/>
      <c r="B83" s="472"/>
      <c r="C83" s="472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W83" s="446">
        <f t="shared" si="20"/>
        <v>0</v>
      </c>
    </row>
    <row r="84" spans="1:44">
      <c r="A84" s="57" t="s">
        <v>255</v>
      </c>
      <c r="B84" s="472">
        <f>MAX(B82,B78)</f>
        <v>180923.01154095578</v>
      </c>
      <c r="C84" s="472">
        <f t="shared" ref="C84:U84" si="23">MAX(C82,C78)</f>
        <v>178993.36620098466</v>
      </c>
      <c r="D84" s="472">
        <f t="shared" si="23"/>
        <v>177002.74067767197</v>
      </c>
      <c r="E84" s="472">
        <f t="shared" si="23"/>
        <v>165282.03763462912</v>
      </c>
      <c r="F84" s="472">
        <f t="shared" si="23"/>
        <v>157459.65887569811</v>
      </c>
      <c r="G84" s="472">
        <f t="shared" si="23"/>
        <v>151902.25915067346</v>
      </c>
      <c r="H84" s="472">
        <f t="shared" si="23"/>
        <v>146344.85942564881</v>
      </c>
      <c r="I84" s="472">
        <f t="shared" si="23"/>
        <v>140787.45970062417</v>
      </c>
      <c r="J84" s="472">
        <f t="shared" si="23"/>
        <v>135230.05997559952</v>
      </c>
      <c r="K84" s="472">
        <f t="shared" si="23"/>
        <v>129672.66025057487</v>
      </c>
      <c r="L84" s="472">
        <f t="shared" si="23"/>
        <v>124115.26052555023</v>
      </c>
      <c r="M84" s="472">
        <f t="shared" si="23"/>
        <v>118557.86080052558</v>
      </c>
      <c r="N84" s="472">
        <f t="shared" si="23"/>
        <v>113000.46107550093</v>
      </c>
      <c r="O84" s="472">
        <f t="shared" si="23"/>
        <v>107443.06135047629</v>
      </c>
      <c r="P84" s="472">
        <f t="shared" si="23"/>
        <v>101885.66162545164</v>
      </c>
      <c r="Q84" s="472">
        <f t="shared" si="23"/>
        <v>96328.261900426995</v>
      </c>
      <c r="R84" s="472">
        <f t="shared" si="23"/>
        <v>90770.862175402348</v>
      </c>
      <c r="S84" s="472">
        <f t="shared" si="23"/>
        <v>85213.462450377701</v>
      </c>
      <c r="T84" s="472">
        <f t="shared" si="23"/>
        <v>79656.062725353055</v>
      </c>
      <c r="U84" s="472">
        <f t="shared" si="23"/>
        <v>74098.663000328408</v>
      </c>
      <c r="W84" s="446">
        <f t="shared" si="20"/>
        <v>2554667.7310624537</v>
      </c>
    </row>
    <row r="85" spans="1:44">
      <c r="A85" s="473" t="s">
        <v>217</v>
      </c>
      <c r="B85" s="475">
        <f>Assumptions!$C$50</f>
        <v>2.5000000000000001E-3</v>
      </c>
      <c r="C85" s="475">
        <f>Assumptions!$C$51</f>
        <v>2.5000000000000001E-3</v>
      </c>
      <c r="D85" s="475">
        <f>Assumptions!$C$51</f>
        <v>2.5000000000000001E-3</v>
      </c>
      <c r="E85" s="475">
        <f>Assumptions!$C$51</f>
        <v>2.5000000000000001E-3</v>
      </c>
      <c r="F85" s="475">
        <f>Assumptions!$C$51</f>
        <v>2.5000000000000001E-3</v>
      </c>
      <c r="G85" s="475">
        <f>Assumptions!$C$51</f>
        <v>2.5000000000000001E-3</v>
      </c>
      <c r="H85" s="475">
        <f>Assumptions!$C$51</f>
        <v>2.5000000000000001E-3</v>
      </c>
      <c r="I85" s="475">
        <f>Assumptions!$C$51</f>
        <v>2.5000000000000001E-3</v>
      </c>
      <c r="J85" s="475">
        <f>Assumptions!$C$51</f>
        <v>2.5000000000000001E-3</v>
      </c>
      <c r="K85" s="475">
        <f>Assumptions!$C$51</f>
        <v>2.5000000000000001E-3</v>
      </c>
      <c r="L85" s="475">
        <f>Assumptions!$C$51</f>
        <v>2.5000000000000001E-3</v>
      </c>
      <c r="M85" s="475">
        <f>Assumptions!$C$51</f>
        <v>2.5000000000000001E-3</v>
      </c>
      <c r="N85" s="475">
        <f>Assumptions!$C$51</f>
        <v>2.5000000000000001E-3</v>
      </c>
      <c r="O85" s="475">
        <f>Assumptions!$C$51</f>
        <v>2.5000000000000001E-3</v>
      </c>
      <c r="P85" s="475">
        <f>Assumptions!$C$51</f>
        <v>2.5000000000000001E-3</v>
      </c>
      <c r="Q85" s="475">
        <f>Assumptions!$C$51</f>
        <v>2.5000000000000001E-3</v>
      </c>
      <c r="R85" s="475">
        <f>Assumptions!$C$51</f>
        <v>2.5000000000000001E-3</v>
      </c>
      <c r="S85" s="475">
        <f>Assumptions!$C$51</f>
        <v>2.5000000000000001E-3</v>
      </c>
      <c r="T85" s="475">
        <f>Assumptions!$C$51</f>
        <v>2.5000000000000001E-3</v>
      </c>
      <c r="U85" s="475">
        <f>Assumptions!$C$51</f>
        <v>2.5000000000000001E-3</v>
      </c>
      <c r="W85" s="446"/>
    </row>
    <row r="86" spans="1:44">
      <c r="A86" s="230" t="s">
        <v>218</v>
      </c>
      <c r="B86" s="494">
        <v>454.24541294547242</v>
      </c>
      <c r="C86" s="494">
        <v>440.19658574097326</v>
      </c>
      <c r="D86" s="494">
        <v>426.1477585364741</v>
      </c>
      <c r="E86" s="494">
        <v>412.09893133197488</v>
      </c>
      <c r="F86" s="494">
        <v>398.05010412747572</v>
      </c>
      <c r="G86" s="494">
        <v>384.00127692297656</v>
      </c>
      <c r="H86" s="494">
        <v>369.9524497184774</v>
      </c>
      <c r="I86" s="494">
        <v>355.90362251397818</v>
      </c>
      <c r="J86" s="494">
        <v>341.85479530947902</v>
      </c>
      <c r="K86" s="494">
        <v>327.80596810497985</v>
      </c>
      <c r="L86" s="494">
        <v>313.75714090048069</v>
      </c>
      <c r="M86" s="494">
        <v>299.70831369598159</v>
      </c>
      <c r="N86" s="494">
        <v>285.65948649148243</v>
      </c>
      <c r="O86" s="494">
        <v>271.61065928698326</v>
      </c>
      <c r="P86" s="494">
        <v>257.56183208248416</v>
      </c>
      <c r="Q86" s="494">
        <v>243.513004877985</v>
      </c>
      <c r="R86" s="494">
        <v>229.46417767348586</v>
      </c>
      <c r="S86" s="494">
        <v>215.41535046898673</v>
      </c>
      <c r="T86" s="494">
        <v>201.3665232644876</v>
      </c>
      <c r="U86" s="494">
        <v>187.31769605998846</v>
      </c>
      <c r="W86" s="446">
        <f t="shared" si="20"/>
        <v>6415.6310900546077</v>
      </c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>
      <c r="A87" s="473"/>
      <c r="B87" s="474"/>
      <c r="C87" s="474"/>
      <c r="D87" s="474"/>
      <c r="E87" s="474"/>
      <c r="F87" s="474"/>
      <c r="G87" s="474"/>
      <c r="H87" s="474"/>
      <c r="I87" s="474"/>
      <c r="J87" s="474"/>
      <c r="K87" s="474"/>
      <c r="L87" s="474"/>
      <c r="M87" s="474"/>
      <c r="N87" s="474"/>
      <c r="O87" s="474"/>
      <c r="P87" s="474"/>
      <c r="Q87" s="474"/>
      <c r="R87" s="474"/>
      <c r="S87" s="474"/>
      <c r="T87" s="474"/>
      <c r="U87" s="474"/>
    </row>
    <row r="88" spans="1:44">
      <c r="A88" s="230"/>
      <c r="B88" s="255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44">
      <c r="A89" s="231" t="s">
        <v>93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</row>
    <row r="90" spans="1:44">
      <c r="A90" s="231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spans="1:44">
      <c r="A91" s="21" t="s">
        <v>294</v>
      </c>
      <c r="B91" s="20">
        <f>B41-B12</f>
        <v>2017.9100806784882</v>
      </c>
      <c r="C91" s="20">
        <f>C41-C12</f>
        <v>2167.6339923033065</v>
      </c>
      <c r="D91" s="20">
        <f>D41-D12</f>
        <v>2452.9300934383627</v>
      </c>
      <c r="E91" s="20">
        <f t="shared" ref="E91:U91" si="24">E41</f>
        <v>15843.96739850441</v>
      </c>
      <c r="F91" s="20">
        <f t="shared" si="24"/>
        <v>17851.005214293247</v>
      </c>
      <c r="G91" s="20">
        <f t="shared" si="24"/>
        <v>18618.838511503229</v>
      </c>
      <c r="H91" s="20">
        <f t="shared" si="24"/>
        <v>19434.898767455292</v>
      </c>
      <c r="I91" s="20">
        <f t="shared" si="24"/>
        <v>20270.482849060249</v>
      </c>
      <c r="J91" s="20">
        <f t="shared" si="24"/>
        <v>21217.876973720638</v>
      </c>
      <c r="K91" s="20">
        <f t="shared" si="24"/>
        <v>22223.056747529401</v>
      </c>
      <c r="L91" s="20">
        <f t="shared" si="24"/>
        <v>23543.447910789109</v>
      </c>
      <c r="M91" s="20">
        <f t="shared" si="24"/>
        <v>24985.040086187342</v>
      </c>
      <c r="N91" s="20">
        <f t="shared" si="24"/>
        <v>26475.739656333964</v>
      </c>
      <c r="O91" s="20">
        <f t="shared" si="24"/>
        <v>27958.974429222148</v>
      </c>
      <c r="P91" s="20">
        <f t="shared" si="24"/>
        <v>29410.435626302853</v>
      </c>
      <c r="Q91" s="20">
        <f t="shared" si="24"/>
        <v>30742.550681897948</v>
      </c>
      <c r="R91" s="20">
        <f t="shared" si="24"/>
        <v>32130.873034892753</v>
      </c>
      <c r="S91" s="20">
        <f t="shared" si="24"/>
        <v>33473.563069000244</v>
      </c>
      <c r="T91" s="20">
        <f t="shared" si="24"/>
        <v>34705.442582567222</v>
      </c>
      <c r="U91" s="20">
        <f t="shared" si="24"/>
        <v>35950.240616449199</v>
      </c>
      <c r="W91" s="446">
        <f>SUM(B91:U91)</f>
        <v>441474.90832212946</v>
      </c>
    </row>
    <row r="92" spans="1:44">
      <c r="A92" s="21" t="s">
        <v>146</v>
      </c>
      <c r="B92" s="20">
        <f>B35</f>
        <v>5557.3997250246402</v>
      </c>
      <c r="C92" s="20">
        <f t="shared" ref="C92:U92" si="25">C35</f>
        <v>5557.3997250246402</v>
      </c>
      <c r="D92" s="20">
        <f t="shared" si="25"/>
        <v>5557.3997250246402</v>
      </c>
      <c r="E92" s="20">
        <f t="shared" si="25"/>
        <v>5557.3997250246402</v>
      </c>
      <c r="F92" s="20">
        <f t="shared" si="25"/>
        <v>5557.3997250246402</v>
      </c>
      <c r="G92" s="20">
        <f t="shared" si="25"/>
        <v>5557.3997250246402</v>
      </c>
      <c r="H92" s="20">
        <f t="shared" si="25"/>
        <v>5557.3997250246402</v>
      </c>
      <c r="I92" s="20">
        <f t="shared" si="25"/>
        <v>5557.3997250246402</v>
      </c>
      <c r="J92" s="20">
        <f t="shared" si="25"/>
        <v>5557.3997250246402</v>
      </c>
      <c r="K92" s="20">
        <f t="shared" si="25"/>
        <v>5557.3997250246402</v>
      </c>
      <c r="L92" s="20">
        <f t="shared" si="25"/>
        <v>5557.3997250246402</v>
      </c>
      <c r="M92" s="20">
        <f t="shared" si="25"/>
        <v>5557.3997250246402</v>
      </c>
      <c r="N92" s="20">
        <f t="shared" si="25"/>
        <v>5557.3997250246402</v>
      </c>
      <c r="O92" s="20">
        <f t="shared" si="25"/>
        <v>5557.3997250246402</v>
      </c>
      <c r="P92" s="20">
        <f t="shared" si="25"/>
        <v>5557.3997250246402</v>
      </c>
      <c r="Q92" s="20">
        <f t="shared" si="25"/>
        <v>5557.3997250246402</v>
      </c>
      <c r="R92" s="20">
        <f t="shared" si="25"/>
        <v>5557.3997250246402</v>
      </c>
      <c r="S92" s="20">
        <f t="shared" si="25"/>
        <v>5557.3997250246402</v>
      </c>
      <c r="T92" s="20">
        <f t="shared" si="25"/>
        <v>5557.3997250246402</v>
      </c>
      <c r="U92" s="20">
        <f t="shared" si="25"/>
        <v>5557.3997250246402</v>
      </c>
      <c r="W92" s="446">
        <f>SUM(B92:U92)</f>
        <v>111147.99450049286</v>
      </c>
    </row>
    <row r="93" spans="1:44" ht="15">
      <c r="A93" s="21" t="s">
        <v>237</v>
      </c>
      <c r="B93" s="234">
        <f>-Depreciation!C69-Depreciation!C112*Allocation!$E$7</f>
        <v>-8029.1184702239598</v>
      </c>
      <c r="C93" s="234">
        <f>-Depreciation!D69-Depreciation!D112*Allocation!$E$7</f>
        <v>-15255.325093425523</v>
      </c>
      <c r="D93" s="234">
        <f>-Depreciation!E69-Depreciation!E112*Allocation!$E$7</f>
        <v>-13729.792584082972</v>
      </c>
      <c r="E93" s="234">
        <f>-Depreciation!F69-Depreciation!F112*Allocation!$E$7</f>
        <v>-12364.842444144897</v>
      </c>
      <c r="F93" s="234">
        <f>-Depreciation!G69-Depreciation!G112*Allocation!$E$7</f>
        <v>-11128.358199730408</v>
      </c>
      <c r="G93" s="234">
        <f>-Depreciation!H69-Depreciation!H112*Allocation!$E$7</f>
        <v>-10004.281613899055</v>
      </c>
      <c r="H93" s="234">
        <f>-Depreciation!I69-Depreciation!I112*Allocation!$E$7</f>
        <v>-9474.359794864271</v>
      </c>
      <c r="I93" s="234">
        <f>-Depreciation!J69-Depreciation!J112*Allocation!$E$7</f>
        <v>-9490.4180318047202</v>
      </c>
      <c r="J93" s="234">
        <f>-Depreciation!K69-Depreciation!K112*Allocation!$E$7</f>
        <v>-9474.359794864271</v>
      </c>
      <c r="K93" s="234">
        <f>-Depreciation!L69-Depreciation!L112*Allocation!$E$7</f>
        <v>-9490.4180318047202</v>
      </c>
      <c r="L93" s="234">
        <f>-Depreciation!M69-Depreciation!M112*Allocation!$E$7</f>
        <v>-9474.359794864271</v>
      </c>
      <c r="M93" s="234">
        <f>-Depreciation!N69-Depreciation!N112*Allocation!$E$7</f>
        <v>-9490.4180318047202</v>
      </c>
      <c r="N93" s="234">
        <f>-Depreciation!O69-Depreciation!O112*Allocation!$E$7</f>
        <v>-9474.359794864271</v>
      </c>
      <c r="O93" s="234">
        <f>-Depreciation!P69-Depreciation!P112*Allocation!$E$7</f>
        <v>-9490.4180318047202</v>
      </c>
      <c r="P93" s="234">
        <f>-Depreciation!Q69-Depreciation!Q112*Allocation!$E$7</f>
        <v>-9474.359794864271</v>
      </c>
      <c r="Q93" s="234">
        <f>-Depreciation!R69-Depreciation!R112*Allocation!$E$7</f>
        <v>-4737.1798974321355</v>
      </c>
      <c r="R93" s="234">
        <f>-Depreciation!S69-Depreciation!S112*Allocation!$E$7</f>
        <v>0</v>
      </c>
      <c r="S93" s="234">
        <f>-Depreciation!T69-Depreciation!T112*Allocation!$E$7</f>
        <v>0</v>
      </c>
      <c r="T93" s="234">
        <f>-Depreciation!U69-Depreciation!U112*Allocation!$E$7</f>
        <v>0</v>
      </c>
      <c r="U93" s="234">
        <f>-Depreciation!V69-Depreciation!V112*Allocation!$E$7</f>
        <v>0</v>
      </c>
      <c r="W93" s="447">
        <f>SUM(B93:U93)</f>
        <v>-160582.36940447913</v>
      </c>
    </row>
    <row r="94" spans="1:44">
      <c r="A94" s="233" t="s">
        <v>145</v>
      </c>
      <c r="B94" s="22">
        <f t="shared" ref="B94:U94" si="26">SUM(B91:B93)</f>
        <v>-453.80866452083137</v>
      </c>
      <c r="C94" s="22">
        <f t="shared" si="26"/>
        <v>-7530.2913760975762</v>
      </c>
      <c r="D94" s="22">
        <f t="shared" si="26"/>
        <v>-5719.4627656199691</v>
      </c>
      <c r="E94" s="22">
        <f t="shared" si="26"/>
        <v>9036.5246793841525</v>
      </c>
      <c r="F94" s="22">
        <f t="shared" si="26"/>
        <v>12280.046739587478</v>
      </c>
      <c r="G94" s="22">
        <f t="shared" si="26"/>
        <v>14171.956622628813</v>
      </c>
      <c r="H94" s="22">
        <f t="shared" si="26"/>
        <v>15517.93869761566</v>
      </c>
      <c r="I94" s="22">
        <f t="shared" si="26"/>
        <v>16337.464542280168</v>
      </c>
      <c r="J94" s="22">
        <f t="shared" si="26"/>
        <v>17300.916903881007</v>
      </c>
      <c r="K94" s="22">
        <f t="shared" si="26"/>
        <v>18290.038440749318</v>
      </c>
      <c r="L94" s="22">
        <f t="shared" si="26"/>
        <v>19626.487840949478</v>
      </c>
      <c r="M94" s="22">
        <f t="shared" si="26"/>
        <v>21052.02177940726</v>
      </c>
      <c r="N94" s="22">
        <f t="shared" si="26"/>
        <v>22558.779586494333</v>
      </c>
      <c r="O94" s="22">
        <f t="shared" si="26"/>
        <v>24025.956122442069</v>
      </c>
      <c r="P94" s="22">
        <f t="shared" si="26"/>
        <v>25493.475556463221</v>
      </c>
      <c r="Q94" s="22">
        <f t="shared" si="26"/>
        <v>31562.770509490452</v>
      </c>
      <c r="R94" s="22">
        <f t="shared" si="26"/>
        <v>37688.272759917396</v>
      </c>
      <c r="S94" s="22">
        <f t="shared" si="26"/>
        <v>39030.962794024883</v>
      </c>
      <c r="T94" s="22">
        <f t="shared" si="26"/>
        <v>40262.842307591862</v>
      </c>
      <c r="U94" s="22">
        <f t="shared" si="26"/>
        <v>41507.640341473838</v>
      </c>
      <c r="W94" s="446">
        <f>SUM(B94:U94)</f>
        <v>392040.53341814305</v>
      </c>
    </row>
    <row r="95" spans="1:44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spans="1:44">
      <c r="A96" s="21" t="s">
        <v>46</v>
      </c>
      <c r="B96" s="444">
        <f>Assumptions!$C$47</f>
        <v>0.06</v>
      </c>
      <c r="C96" s="444">
        <f>Assumptions!$C$47</f>
        <v>0.06</v>
      </c>
      <c r="D96" s="444">
        <f>Assumptions!$C$47</f>
        <v>0.06</v>
      </c>
      <c r="E96" s="444">
        <f>Assumptions!$C$47</f>
        <v>0.06</v>
      </c>
      <c r="F96" s="444">
        <f>Assumptions!$C$47</f>
        <v>0.06</v>
      </c>
      <c r="G96" s="444">
        <f>Assumptions!$C$47</f>
        <v>0.06</v>
      </c>
      <c r="H96" s="444">
        <f>Assumptions!$C$47</f>
        <v>0.06</v>
      </c>
      <c r="I96" s="444">
        <f>Assumptions!$C$47</f>
        <v>0.06</v>
      </c>
      <c r="J96" s="444">
        <f>Assumptions!$C$47</f>
        <v>0.06</v>
      </c>
      <c r="K96" s="444">
        <f>Assumptions!$C$47</f>
        <v>0.06</v>
      </c>
      <c r="L96" s="444">
        <f>Assumptions!$C$47</f>
        <v>0.06</v>
      </c>
      <c r="M96" s="444">
        <f>Assumptions!$C$47</f>
        <v>0.06</v>
      </c>
      <c r="N96" s="444">
        <f>Assumptions!$C$47</f>
        <v>0.06</v>
      </c>
      <c r="O96" s="444">
        <f>Assumptions!$C$47</f>
        <v>0.06</v>
      </c>
      <c r="P96" s="444">
        <f>Assumptions!$C$47</f>
        <v>0.06</v>
      </c>
      <c r="Q96" s="444">
        <f>Assumptions!$C$47</f>
        <v>0.06</v>
      </c>
      <c r="R96" s="444">
        <f>Assumptions!$C$47</f>
        <v>0.06</v>
      </c>
      <c r="S96" s="444">
        <f>Assumptions!$C$47</f>
        <v>0.06</v>
      </c>
      <c r="T96" s="444">
        <f>Assumptions!$C$47</f>
        <v>0.06</v>
      </c>
      <c r="U96" s="444">
        <f>Assumptions!$C$47</f>
        <v>0.06</v>
      </c>
    </row>
    <row r="97" spans="1:23">
      <c r="A97" s="21" t="s">
        <v>147</v>
      </c>
      <c r="B97" s="20">
        <f>B94*B96</f>
        <v>-27.22851987124988</v>
      </c>
      <c r="C97" s="20">
        <f t="shared" ref="C97:U97" si="27">C94*C96</f>
        <v>-451.81748256585456</v>
      </c>
      <c r="D97" s="20">
        <f t="shared" si="27"/>
        <v>-343.16776593719811</v>
      </c>
      <c r="E97" s="20">
        <f t="shared" si="27"/>
        <v>542.19148076304919</v>
      </c>
      <c r="F97" s="20">
        <f t="shared" si="27"/>
        <v>736.80280437524868</v>
      </c>
      <c r="G97" s="20">
        <f t="shared" si="27"/>
        <v>850.31739735772874</v>
      </c>
      <c r="H97" s="20">
        <f t="shared" si="27"/>
        <v>931.07632185693956</v>
      </c>
      <c r="I97" s="20">
        <f t="shared" si="27"/>
        <v>980.24787253681006</v>
      </c>
      <c r="J97" s="20">
        <f t="shared" si="27"/>
        <v>1038.0550142328605</v>
      </c>
      <c r="K97" s="20">
        <f t="shared" si="27"/>
        <v>1097.4023064449591</v>
      </c>
      <c r="L97" s="20">
        <f t="shared" si="27"/>
        <v>1177.5892704569685</v>
      </c>
      <c r="M97" s="20">
        <f t="shared" si="27"/>
        <v>1263.1213067644355</v>
      </c>
      <c r="N97" s="20">
        <f t="shared" si="27"/>
        <v>1353.5267751896599</v>
      </c>
      <c r="O97" s="20">
        <f t="shared" si="27"/>
        <v>1441.557367346524</v>
      </c>
      <c r="P97" s="20">
        <f t="shared" si="27"/>
        <v>1529.6085333877932</v>
      </c>
      <c r="Q97" s="20">
        <f t="shared" si="27"/>
        <v>1893.7662305694271</v>
      </c>
      <c r="R97" s="20">
        <f t="shared" si="27"/>
        <v>2261.2963655950439</v>
      </c>
      <c r="S97" s="20">
        <f t="shared" si="27"/>
        <v>2341.857767641493</v>
      </c>
      <c r="T97" s="20">
        <f t="shared" si="27"/>
        <v>2415.7705384555115</v>
      </c>
      <c r="U97" s="20">
        <f t="shared" si="27"/>
        <v>2490.45842048843</v>
      </c>
    </row>
    <row r="98" spans="1:23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spans="1:23">
      <c r="A99" s="21" t="s">
        <v>148</v>
      </c>
      <c r="B99" s="20">
        <v>0</v>
      </c>
      <c r="C99" s="20">
        <f t="shared" ref="C99:U99" si="28">B103</f>
        <v>27.22851987124988</v>
      </c>
      <c r="D99" s="20">
        <f t="shared" si="28"/>
        <v>479.04600243710445</v>
      </c>
      <c r="E99" s="20">
        <f t="shared" si="28"/>
        <v>822.21376837430262</v>
      </c>
      <c r="F99" s="20">
        <f t="shared" si="28"/>
        <v>280.02228761125343</v>
      </c>
      <c r="G99" s="20">
        <f t="shared" si="28"/>
        <v>0</v>
      </c>
      <c r="H99" s="20">
        <f t="shared" si="28"/>
        <v>0</v>
      </c>
      <c r="I99" s="20">
        <f t="shared" si="28"/>
        <v>0</v>
      </c>
      <c r="J99" s="20">
        <f t="shared" si="28"/>
        <v>0</v>
      </c>
      <c r="K99" s="20">
        <f t="shared" si="28"/>
        <v>0</v>
      </c>
      <c r="L99" s="20">
        <f t="shared" si="28"/>
        <v>0</v>
      </c>
      <c r="M99" s="20">
        <f t="shared" si="28"/>
        <v>0</v>
      </c>
      <c r="N99" s="20">
        <f>M103</f>
        <v>0</v>
      </c>
      <c r="O99" s="20">
        <f t="shared" si="28"/>
        <v>0</v>
      </c>
      <c r="P99" s="20">
        <f t="shared" si="28"/>
        <v>0</v>
      </c>
      <c r="Q99" s="20">
        <f t="shared" si="28"/>
        <v>0</v>
      </c>
      <c r="R99" s="20">
        <v>0</v>
      </c>
      <c r="S99" s="20">
        <f t="shared" si="28"/>
        <v>0</v>
      </c>
      <c r="T99" s="20">
        <f t="shared" si="28"/>
        <v>0</v>
      </c>
      <c r="U99" s="20">
        <f t="shared" si="28"/>
        <v>0</v>
      </c>
    </row>
    <row r="100" spans="1:23">
      <c r="A100" s="21" t="s">
        <v>149</v>
      </c>
      <c r="B100" s="247">
        <f t="shared" ref="B100:U100" si="29">IF(B70&gt;2020,0,IF(B97&lt;0,-B97,0))</f>
        <v>27.22851987124988</v>
      </c>
      <c r="C100" s="247">
        <f t="shared" si="29"/>
        <v>451.81748256585456</v>
      </c>
      <c r="D100" s="247">
        <f t="shared" si="29"/>
        <v>343.16776593719811</v>
      </c>
      <c r="E100" s="247">
        <f t="shared" si="29"/>
        <v>0</v>
      </c>
      <c r="F100" s="247">
        <f t="shared" si="29"/>
        <v>0</v>
      </c>
      <c r="G100" s="247">
        <f t="shared" si="29"/>
        <v>0</v>
      </c>
      <c r="H100" s="247">
        <f t="shared" si="29"/>
        <v>0</v>
      </c>
      <c r="I100" s="247">
        <f t="shared" si="29"/>
        <v>0</v>
      </c>
      <c r="J100" s="247">
        <f t="shared" si="29"/>
        <v>0</v>
      </c>
      <c r="K100" s="247">
        <f t="shared" si="29"/>
        <v>0</v>
      </c>
      <c r="L100" s="247">
        <f t="shared" si="29"/>
        <v>0</v>
      </c>
      <c r="M100" s="247">
        <f t="shared" si="29"/>
        <v>0</v>
      </c>
      <c r="N100" s="247">
        <f t="shared" si="29"/>
        <v>0</v>
      </c>
      <c r="O100" s="247">
        <f t="shared" si="29"/>
        <v>0</v>
      </c>
      <c r="P100" s="247">
        <f t="shared" si="29"/>
        <v>0</v>
      </c>
      <c r="Q100" s="247">
        <f t="shared" si="29"/>
        <v>0</v>
      </c>
      <c r="R100" s="247">
        <f t="shared" si="29"/>
        <v>0</v>
      </c>
      <c r="S100" s="247">
        <f t="shared" si="29"/>
        <v>0</v>
      </c>
      <c r="T100" s="247">
        <f t="shared" si="29"/>
        <v>0</v>
      </c>
      <c r="U100" s="247">
        <f t="shared" si="29"/>
        <v>0</v>
      </c>
    </row>
    <row r="101" spans="1:23">
      <c r="A101" s="21" t="s">
        <v>150</v>
      </c>
      <c r="B101" s="235">
        <v>0</v>
      </c>
      <c r="C101" s="235">
        <v>0</v>
      </c>
      <c r="D101" s="235">
        <v>0</v>
      </c>
      <c r="E101" s="235">
        <v>0</v>
      </c>
      <c r="F101" s="235">
        <v>0</v>
      </c>
      <c r="G101" s="235">
        <v>0</v>
      </c>
      <c r="H101" s="235">
        <v>0</v>
      </c>
      <c r="I101" s="235">
        <v>0</v>
      </c>
      <c r="J101" s="235">
        <v>0</v>
      </c>
      <c r="K101" s="235">
        <v>0</v>
      </c>
      <c r="L101" s="235">
        <v>0</v>
      </c>
      <c r="M101" s="235">
        <v>0</v>
      </c>
      <c r="N101" s="235">
        <v>0</v>
      </c>
      <c r="O101" s="235">
        <v>0</v>
      </c>
      <c r="P101" s="235">
        <v>0</v>
      </c>
      <c r="Q101" s="235">
        <v>0</v>
      </c>
      <c r="R101" s="235">
        <v>0</v>
      </c>
      <c r="S101" s="235">
        <v>0</v>
      </c>
      <c r="T101" s="20">
        <f>IF(L100&gt;(SUM(M102:S102)+SUM(L101:S101))*-1,L100-(SUM(L102:S102)+SUM(L101:S101))*-1,0)</f>
        <v>0</v>
      </c>
      <c r="U101" s="20">
        <f>IF(M100&gt;(SUM(N102:T102)+SUM(M101:T101))*-1,M100-(SUM(M102:T102)+SUM(M101:T101))*-1,0)</f>
        <v>0</v>
      </c>
    </row>
    <row r="102" spans="1:23">
      <c r="A102" s="17" t="s">
        <v>151</v>
      </c>
      <c r="B102" s="236">
        <f t="shared" ref="B102:T102" si="30">IF(B97&lt;0,0,IF(B99&gt;B97,-B97,-B99))</f>
        <v>0</v>
      </c>
      <c r="C102" s="236">
        <f t="shared" si="30"/>
        <v>0</v>
      </c>
      <c r="D102" s="236">
        <f t="shared" si="30"/>
        <v>0</v>
      </c>
      <c r="E102" s="236">
        <f t="shared" si="30"/>
        <v>-542.19148076304919</v>
      </c>
      <c r="F102" s="236">
        <f t="shared" si="30"/>
        <v>-280.02228761125343</v>
      </c>
      <c r="G102" s="236">
        <f t="shared" si="30"/>
        <v>0</v>
      </c>
      <c r="H102" s="236">
        <f t="shared" si="30"/>
        <v>0</v>
      </c>
      <c r="I102" s="236">
        <f t="shared" si="30"/>
        <v>0</v>
      </c>
      <c r="J102" s="236">
        <f t="shared" si="30"/>
        <v>0</v>
      </c>
      <c r="K102" s="236">
        <f t="shared" si="30"/>
        <v>0</v>
      </c>
      <c r="L102" s="236">
        <f t="shared" si="30"/>
        <v>0</v>
      </c>
      <c r="M102" s="236">
        <f t="shared" si="30"/>
        <v>0</v>
      </c>
      <c r="N102" s="236">
        <f t="shared" si="30"/>
        <v>0</v>
      </c>
      <c r="O102" s="236">
        <f t="shared" si="30"/>
        <v>0</v>
      </c>
      <c r="P102" s="236">
        <f t="shared" si="30"/>
        <v>0</v>
      </c>
      <c r="Q102" s="236">
        <f t="shared" si="30"/>
        <v>0</v>
      </c>
      <c r="R102" s="236">
        <f t="shared" si="30"/>
        <v>0</v>
      </c>
      <c r="S102" s="236">
        <f t="shared" si="30"/>
        <v>0</v>
      </c>
      <c r="T102" s="236">
        <f t="shared" si="30"/>
        <v>0</v>
      </c>
      <c r="U102" s="236">
        <f>IF(U97&lt;0,0,IF(U99&gt;U97,-U97,-U99))</f>
        <v>0</v>
      </c>
    </row>
    <row r="103" spans="1:23">
      <c r="A103" s="17" t="s">
        <v>152</v>
      </c>
      <c r="B103" s="236">
        <f t="shared" ref="B103:U103" si="31">SUM(B99:B102)</f>
        <v>27.22851987124988</v>
      </c>
      <c r="C103" s="236">
        <f t="shared" si="31"/>
        <v>479.04600243710445</v>
      </c>
      <c r="D103" s="236">
        <f t="shared" si="31"/>
        <v>822.21376837430262</v>
      </c>
      <c r="E103" s="236">
        <f t="shared" si="31"/>
        <v>280.02228761125343</v>
      </c>
      <c r="F103" s="236"/>
      <c r="G103" s="236">
        <f t="shared" si="31"/>
        <v>0</v>
      </c>
      <c r="H103" s="236">
        <f t="shared" si="31"/>
        <v>0</v>
      </c>
      <c r="I103" s="236">
        <f t="shared" si="31"/>
        <v>0</v>
      </c>
      <c r="J103" s="236">
        <f t="shared" si="31"/>
        <v>0</v>
      </c>
      <c r="K103" s="236">
        <f t="shared" si="31"/>
        <v>0</v>
      </c>
      <c r="L103" s="236">
        <f t="shared" si="31"/>
        <v>0</v>
      </c>
      <c r="M103" s="236">
        <f t="shared" si="31"/>
        <v>0</v>
      </c>
      <c r="N103" s="236">
        <f t="shared" si="31"/>
        <v>0</v>
      </c>
      <c r="O103" s="236">
        <f t="shared" si="31"/>
        <v>0</v>
      </c>
      <c r="P103" s="236">
        <f t="shared" si="31"/>
        <v>0</v>
      </c>
      <c r="Q103" s="236">
        <f t="shared" si="31"/>
        <v>0</v>
      </c>
      <c r="R103" s="236">
        <f t="shared" si="31"/>
        <v>0</v>
      </c>
      <c r="S103" s="236">
        <f t="shared" si="31"/>
        <v>0</v>
      </c>
      <c r="T103" s="236">
        <f t="shared" si="31"/>
        <v>0</v>
      </c>
      <c r="U103" s="236">
        <f t="shared" si="31"/>
        <v>0</v>
      </c>
    </row>
    <row r="104" spans="1:23">
      <c r="A104" s="17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</row>
    <row r="105" spans="1:23" ht="13.5" thickBot="1">
      <c r="A105" s="32" t="s">
        <v>144</v>
      </c>
      <c r="B105" s="347">
        <f t="shared" ref="B105:U105" si="32">IF(B97&lt;0,0,B97+B102)</f>
        <v>0</v>
      </c>
      <c r="C105" s="347">
        <f t="shared" si="32"/>
        <v>0</v>
      </c>
      <c r="D105" s="347">
        <f t="shared" si="32"/>
        <v>0</v>
      </c>
      <c r="E105" s="347">
        <f t="shared" si="32"/>
        <v>0</v>
      </c>
      <c r="F105" s="347">
        <f t="shared" si="32"/>
        <v>456.78051676399525</v>
      </c>
      <c r="G105" s="347">
        <f t="shared" si="32"/>
        <v>850.31739735772874</v>
      </c>
      <c r="H105" s="347">
        <f t="shared" si="32"/>
        <v>931.07632185693956</v>
      </c>
      <c r="I105" s="347">
        <f t="shared" si="32"/>
        <v>980.24787253681006</v>
      </c>
      <c r="J105" s="347">
        <f t="shared" si="32"/>
        <v>1038.0550142328605</v>
      </c>
      <c r="K105" s="347">
        <f t="shared" si="32"/>
        <v>1097.4023064449591</v>
      </c>
      <c r="L105" s="347">
        <f t="shared" si="32"/>
        <v>1177.5892704569685</v>
      </c>
      <c r="M105" s="347">
        <f t="shared" si="32"/>
        <v>1263.1213067644355</v>
      </c>
      <c r="N105" s="347">
        <f t="shared" si="32"/>
        <v>1353.5267751896599</v>
      </c>
      <c r="O105" s="347">
        <f t="shared" si="32"/>
        <v>1441.557367346524</v>
      </c>
      <c r="P105" s="347">
        <f t="shared" si="32"/>
        <v>1529.6085333877932</v>
      </c>
      <c r="Q105" s="347">
        <f t="shared" si="32"/>
        <v>1893.7662305694271</v>
      </c>
      <c r="R105" s="347">
        <f t="shared" si="32"/>
        <v>2261.2963655950439</v>
      </c>
      <c r="S105" s="347">
        <f t="shared" si="32"/>
        <v>2341.857767641493</v>
      </c>
      <c r="T105" s="347">
        <f t="shared" si="32"/>
        <v>2415.7705384555115</v>
      </c>
      <c r="U105" s="347">
        <f t="shared" si="32"/>
        <v>2490.45842048843</v>
      </c>
      <c r="W105" s="446">
        <f>SUM(B105:U105)</f>
        <v>23522.43200508858</v>
      </c>
    </row>
    <row r="106" spans="1:23">
      <c r="A106" s="7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>
      <c r="A107" s="7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ht="14.25">
      <c r="A108" s="75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>
      <c r="A109" s="7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>
      <c r="A110" s="7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>
      <c r="A112" s="7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>
      <c r="A113" s="7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>
      <c r="A114" s="7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>
      <c r="A117" s="8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>
      <c r="A118" s="81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>
      <c r="A121" s="82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>
      <c r="A122" s="8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>
      <c r="A123" s="7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>
      <c r="A124" s="82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>
      <c r="A126" s="7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>
      <c r="A127" s="7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>
      <c r="A128" s="82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>
      <c r="A129" s="7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>
      <c r="A130" s="8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>
      <c r="A131" s="8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ht="15" customHeight="1">
      <c r="A132" s="80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>
      <c r="A133" s="80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ht="14.25" customHeight="1">
      <c r="A134" s="80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>
      <c r="A135" s="80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>
      <c r="A136" s="80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>
      <c r="A137" s="83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>
      <c r="A138" s="83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>
      <c r="A139" s="83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>
      <c r="A141" s="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>
      <c r="A142" s="7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>
      <c r="A143" s="7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ht="18.75">
      <c r="A144" s="84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>
      <c r="A145" s="57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>
      <c r="A146" s="5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>
      <c r="A147" s="7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>
      <c r="A149" s="2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1:21">
      <c r="A150" s="80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>
      <c r="A151" s="79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>
      <c r="A152" s="7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>
      <c r="A153" s="78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>
      <c r="A154" s="6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>
      <c r="A158" s="7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>
      <c r="A159" s="7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>
      <c r="A160" s="69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>
      <c r="A162" s="6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>
      <c r="A163" s="80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>
      <c r="A165" s="80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>
      <c r="A166" s="82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>
      <c r="A168" s="78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>
      <c r="A170" s="78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>
      <c r="A171" s="79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>
      <c r="A173" s="79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>
      <c r="A175" s="79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>
      <c r="A177" s="80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>
      <c r="A178" s="81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>
      <c r="A180" s="82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>
      <c r="A181" s="82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>
      <c r="A182" s="79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>
      <c r="A183" s="79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>
      <c r="A184" s="78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>
      <c r="A186" s="80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>
      <c r="A187" s="80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>
      <c r="A188" s="80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>
      <c r="A189" s="80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>
      <c r="A190" s="80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>
      <c r="A191" s="80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>
      <c r="A192" s="7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</row>
    <row r="193" spans="1:21">
      <c r="A193" s="7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</row>
    <row r="194" spans="1:21">
      <c r="A194" s="7"/>
      <c r="B194" s="7"/>
      <c r="C194" s="7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</row>
    <row r="195" spans="1:21" ht="18.75">
      <c r="A195" s="8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5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5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2"/>
      <c r="B199" s="9"/>
      <c r="C199" s="9"/>
      <c r="D199" s="9"/>
      <c r="E199" s="9"/>
      <c r="F199" s="9"/>
      <c r="G199" s="9"/>
      <c r="H199" s="9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5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86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7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57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57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5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57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7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57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>
      <c r="A227" s="86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5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86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86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86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86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86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57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57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7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57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57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57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57"/>
      <c r="B245" s="7"/>
      <c r="C245" s="59"/>
      <c r="D245" s="59"/>
      <c r="E245" s="59"/>
      <c r="F245" s="59"/>
      <c r="G245" s="59"/>
      <c r="H245" s="5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>
      <c r="A246" s="57"/>
      <c r="B246" s="7"/>
      <c r="C246" s="59"/>
      <c r="D246" s="59"/>
      <c r="E246" s="59"/>
      <c r="F246" s="59"/>
      <c r="G246" s="59"/>
      <c r="H246" s="5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8.75">
      <c r="A248" s="8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5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s="90" customFormat="1">
      <c r="A252" s="89"/>
    </row>
    <row r="253" spans="1:21">
      <c r="A253" s="5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57"/>
      <c r="B254" s="7"/>
      <c r="C254" s="91"/>
      <c r="D254" s="91"/>
      <c r="E254" s="91"/>
      <c r="F254" s="91"/>
      <c r="G254" s="91"/>
      <c r="H254" s="91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57"/>
      <c r="B255" s="7"/>
      <c r="C255" s="91"/>
      <c r="D255" s="91"/>
      <c r="E255" s="91"/>
      <c r="F255" s="91"/>
      <c r="G255" s="91"/>
      <c r="H255" s="91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7"/>
      <c r="B256" s="7"/>
      <c r="C256" s="93"/>
      <c r="D256" s="93"/>
      <c r="E256" s="93"/>
      <c r="F256" s="93"/>
      <c r="G256" s="93"/>
      <c r="H256" s="93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5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8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94"/>
      <c r="B259" s="7"/>
      <c r="C259" s="59"/>
      <c r="D259" s="59"/>
      <c r="E259" s="59"/>
      <c r="F259" s="59"/>
      <c r="G259" s="59"/>
      <c r="H259" s="5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94"/>
      <c r="B260" s="7"/>
      <c r="C260" s="59"/>
      <c r="D260" s="59"/>
      <c r="E260" s="59"/>
      <c r="F260" s="59"/>
      <c r="G260" s="59"/>
      <c r="H260" s="5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94"/>
      <c r="B261" s="7"/>
      <c r="C261" s="59"/>
      <c r="D261" s="59"/>
      <c r="E261" s="59"/>
      <c r="F261" s="59"/>
      <c r="G261" s="59"/>
      <c r="H261" s="59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94"/>
      <c r="B262" s="7"/>
      <c r="C262" s="59"/>
      <c r="D262" s="59"/>
      <c r="E262" s="59"/>
      <c r="F262" s="59"/>
      <c r="G262" s="59"/>
      <c r="H262" s="5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94"/>
      <c r="B263" s="7"/>
      <c r="C263" s="91"/>
      <c r="D263" s="91"/>
      <c r="E263" s="91"/>
      <c r="F263" s="91"/>
      <c r="G263" s="91"/>
      <c r="H263" s="91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57"/>
      <c r="B264" s="7"/>
      <c r="C264" s="95"/>
      <c r="D264" s="95"/>
      <c r="E264" s="95"/>
      <c r="F264" s="95"/>
      <c r="G264" s="95"/>
      <c r="H264" s="95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94"/>
      <c r="B265" s="7"/>
      <c r="C265" s="96"/>
      <c r="D265" s="96"/>
      <c r="E265" s="96"/>
      <c r="F265" s="96"/>
      <c r="G265" s="96"/>
      <c r="H265" s="9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94"/>
      <c r="B266" s="7"/>
      <c r="C266" s="96"/>
      <c r="D266" s="96"/>
      <c r="E266" s="96"/>
      <c r="F266" s="96"/>
      <c r="G266" s="96"/>
      <c r="H266" s="9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94"/>
      <c r="B267" s="7"/>
      <c r="C267" s="96"/>
      <c r="D267" s="96"/>
      <c r="E267" s="96"/>
      <c r="F267" s="96"/>
      <c r="G267" s="96"/>
      <c r="H267" s="96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94"/>
      <c r="B268" s="7"/>
      <c r="C268" s="96"/>
      <c r="D268" s="96"/>
      <c r="E268" s="96"/>
      <c r="F268" s="96"/>
      <c r="G268" s="96"/>
      <c r="H268" s="96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94"/>
      <c r="B269" s="7"/>
      <c r="C269" s="95"/>
      <c r="D269" s="95"/>
      <c r="E269" s="95"/>
      <c r="F269" s="95"/>
      <c r="G269" s="95"/>
      <c r="H269" s="9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5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59"/>
      <c r="D271" s="59"/>
      <c r="E271" s="59"/>
      <c r="F271" s="59"/>
      <c r="G271" s="59"/>
      <c r="H271" s="5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7"/>
      <c r="B272" s="7"/>
      <c r="C272" s="59"/>
      <c r="D272" s="59"/>
      <c r="E272" s="59"/>
      <c r="F272" s="59"/>
      <c r="G272" s="59"/>
      <c r="H272" s="5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7"/>
      <c r="B273" s="7"/>
      <c r="C273" s="59"/>
      <c r="D273" s="59"/>
      <c r="E273" s="59"/>
      <c r="F273" s="59"/>
      <c r="G273" s="59"/>
      <c r="H273" s="59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7"/>
      <c r="B274" s="97"/>
      <c r="C274" s="59"/>
      <c r="D274" s="59"/>
      <c r="E274" s="59"/>
      <c r="F274" s="59"/>
      <c r="G274" s="59"/>
      <c r="H274" s="59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5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7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94"/>
      <c r="B278" s="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94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94"/>
      <c r="B280" s="9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91"/>
      <c r="D281" s="91"/>
      <c r="E281" s="91"/>
      <c r="F281" s="91"/>
      <c r="G281" s="91"/>
      <c r="H281" s="91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>
      <c r="A283" s="7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>
      <c r="A284" s="7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7"/>
      <c r="B285" s="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>
      <c r="A286" s="7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>
      <c r="A288" s="57"/>
      <c r="B288" s="98"/>
      <c r="C288" s="98"/>
      <c r="D288" s="98"/>
      <c r="E288" s="98"/>
      <c r="F288" s="98"/>
      <c r="G288" s="98"/>
      <c r="H288" s="9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>
      <c r="A289" s="57"/>
      <c r="B289" s="97"/>
      <c r="C289" s="98"/>
      <c r="D289" s="98"/>
      <c r="E289" s="98"/>
      <c r="F289" s="98"/>
      <c r="G289" s="98"/>
      <c r="H289" s="9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>
      <c r="A290" s="57"/>
      <c r="B290" s="98"/>
      <c r="C290" s="98"/>
      <c r="D290" s="98"/>
      <c r="E290" s="98"/>
      <c r="F290" s="98"/>
      <c r="G290" s="98"/>
      <c r="H290" s="98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57"/>
      <c r="B291" s="7"/>
      <c r="C291" s="98"/>
      <c r="D291" s="98"/>
      <c r="E291" s="98"/>
      <c r="F291" s="98"/>
      <c r="G291" s="98"/>
      <c r="H291" s="9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5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>
      <c r="A294" s="5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>
      <c r="A296" s="7"/>
      <c r="B296" s="7"/>
      <c r="C296" s="87"/>
      <c r="D296" s="87"/>
      <c r="E296" s="87"/>
      <c r="F296" s="87"/>
      <c r="G296" s="87"/>
      <c r="H296" s="8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>
      <c r="A297" s="7"/>
      <c r="B297" s="7"/>
      <c r="C297" s="98"/>
      <c r="D297" s="98"/>
      <c r="E297" s="98"/>
      <c r="F297" s="98"/>
      <c r="G297" s="98"/>
      <c r="H297" s="9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>
      <c r="A298" s="7"/>
      <c r="B298" s="7"/>
      <c r="C298" s="99"/>
      <c r="D298" s="99"/>
      <c r="E298" s="99"/>
      <c r="F298" s="99"/>
      <c r="G298" s="99"/>
      <c r="H298" s="9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>
      <c r="A299" s="7"/>
      <c r="B299" s="7"/>
      <c r="C299" s="87"/>
      <c r="D299" s="87"/>
      <c r="E299" s="87"/>
      <c r="F299" s="87"/>
      <c r="G299" s="87"/>
      <c r="H299" s="8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>
      <c r="A300" s="7"/>
      <c r="B300" s="7"/>
      <c r="C300" s="99"/>
      <c r="D300" s="99"/>
      <c r="E300" s="99"/>
      <c r="F300" s="99"/>
      <c r="G300" s="99"/>
      <c r="H300" s="99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>
      <c r="A301" s="7"/>
      <c r="B301" s="7"/>
      <c r="C301" s="100"/>
      <c r="D301" s="100"/>
      <c r="E301" s="100"/>
      <c r="F301" s="100"/>
      <c r="G301" s="100"/>
      <c r="H301" s="10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>
      <c r="A302" s="7"/>
      <c r="B302" s="7"/>
      <c r="C302" s="100"/>
      <c r="D302" s="100"/>
      <c r="E302" s="100"/>
      <c r="F302" s="100"/>
      <c r="G302" s="100"/>
      <c r="H302" s="10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8.75" hidden="1" outlineLevel="1">
      <c r="A303" s="84"/>
      <c r="B303" s="7"/>
      <c r="C303" s="100"/>
      <c r="D303" s="100"/>
      <c r="E303" s="100"/>
      <c r="F303" s="100"/>
      <c r="G303" s="100"/>
      <c r="H303" s="10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idden="1" outlineLevel="1">
      <c r="A304" s="57"/>
      <c r="B304" s="7"/>
      <c r="C304" s="100"/>
      <c r="D304" s="100"/>
      <c r="E304" s="100"/>
      <c r="F304" s="100"/>
      <c r="G304" s="100"/>
      <c r="H304" s="100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hidden="1" outlineLevel="1">
      <c r="A305" s="7"/>
      <c r="B305" s="7"/>
      <c r="C305" s="100"/>
      <c r="D305" s="100"/>
      <c r="E305" s="100"/>
      <c r="F305" s="100"/>
      <c r="G305" s="100"/>
      <c r="H305" s="100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hidden="1" outlineLevel="1">
      <c r="A306" s="57"/>
      <c r="B306" s="11"/>
      <c r="C306" s="11"/>
      <c r="D306" s="10"/>
      <c r="E306" s="10"/>
      <c r="F306" s="11"/>
      <c r="G306" s="11"/>
      <c r="H306" s="10"/>
      <c r="I306" s="11"/>
      <c r="J306" s="11"/>
      <c r="K306" s="11"/>
      <c r="L306" s="10"/>
      <c r="M306" s="11"/>
      <c r="N306" s="11"/>
      <c r="O306" s="7"/>
      <c r="P306" s="7"/>
      <c r="Q306" s="7"/>
      <c r="R306" s="7"/>
      <c r="S306" s="7"/>
      <c r="T306" s="11"/>
      <c r="U306" s="7"/>
    </row>
    <row r="307" spans="1:26" hidden="1" outlineLevel="1">
      <c r="A307" s="5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6" hidden="1" outlineLevel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1">
      <c r="A309" s="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7"/>
    </row>
    <row r="310" spans="1:26" hidden="1" outlineLevel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1">
      <c r="A311" s="7"/>
      <c r="B311" s="98"/>
      <c r="C311" s="98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7"/>
    </row>
    <row r="312" spans="1:26" hidden="1" outlineLevel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1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87"/>
      <c r="V313" s="87"/>
      <c r="W313" s="87"/>
      <c r="X313" s="87"/>
      <c r="Y313" s="87"/>
      <c r="Z313" s="87"/>
    </row>
    <row r="314" spans="1:26" hidden="1" outlineLevel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hidden="1" outlineLevel="1">
      <c r="A315" s="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7"/>
      <c r="P315" s="7"/>
      <c r="Q315" s="7"/>
      <c r="R315" s="7"/>
      <c r="S315" s="7"/>
      <c r="T315" s="87"/>
      <c r="U315" s="7"/>
    </row>
    <row r="316" spans="1:26" hidden="1" outlineLevel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hidden="1" outlineLevel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7"/>
      <c r="P317" s="7"/>
      <c r="Q317" s="7"/>
      <c r="R317" s="7"/>
      <c r="S317" s="7"/>
      <c r="T317" s="87"/>
      <c r="U317" s="87"/>
    </row>
    <row r="318" spans="1:26" hidden="1" outlineLevel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hidden="1" outlineLevel="1">
      <c r="A319" s="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7"/>
      <c r="P319" s="7"/>
      <c r="Q319" s="7"/>
      <c r="R319" s="7"/>
      <c r="S319" s="7"/>
      <c r="T319" s="87"/>
      <c r="U319" s="87"/>
    </row>
    <row r="320" spans="1:26" hidden="1" outlineLevel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collapsed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8.75">
      <c r="A324" s="8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>
      <c r="A325" s="5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>
      <c r="A326" s="5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>
      <c r="A328" s="2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 spans="1:21">
      <c r="A329" s="5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>
      <c r="A330" s="86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>
      <c r="A335" s="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>
      <c r="A336" s="5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>
      <c r="A350" s="5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>
      <c r="A352" s="5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>
      <c r="A353" s="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>
      <c r="A354" s="5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>
      <c r="A355" s="86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>
      <c r="A357" s="86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>
      <c r="A358" s="86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>
      <c r="A360" s="5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>
      <c r="A364" s="86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>
      <c r="A365" s="86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>
      <c r="A366" s="2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>
      <c r="A367" s="5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>
      <c r="A368" s="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>
      <c r="A369" s="5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>
      <c r="A370" s="5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</row>
    <row r="371" spans="1:21">
      <c r="A371" s="5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</row>
    <row r="372" spans="1:2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8.75">
      <c r="A374" s="8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>
      <c r="A375" s="5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>
      <c r="A376" s="5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>
      <c r="A378" s="2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7"/>
      <c r="P378" s="7"/>
      <c r="Q378" s="7"/>
      <c r="R378" s="7"/>
      <c r="S378" s="7"/>
      <c r="T378" s="7"/>
      <c r="U378" s="7"/>
    </row>
    <row r="379" spans="1:21">
      <c r="A379" s="5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>
      <c r="A380" s="86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>
      <c r="A382" s="86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>
      <c r="A384" s="86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>
      <c r="A386" s="57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>
      <c r="A399" s="5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>
      <c r="A400" s="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>
      <c r="A408" s="57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>
      <c r="A409" s="57"/>
      <c r="B409" s="101"/>
      <c r="C409" s="101"/>
      <c r="D409"/>
      <c r="E409"/>
      <c r="F409"/>
      <c r="G409"/>
      <c r="H409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>
      <c r="A410" s="57"/>
      <c r="B410" s="101"/>
      <c r="C410" s="101"/>
      <c r="D410"/>
      <c r="E410"/>
      <c r="F410"/>
      <c r="G410"/>
      <c r="H410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>
      <c r="A411" s="57"/>
      <c r="B411" s="101"/>
      <c r="C411" s="101"/>
      <c r="D411"/>
      <c r="E411"/>
      <c r="F411"/>
      <c r="G411"/>
      <c r="H41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>
      <c r="A412" s="7"/>
      <c r="B412" s="101"/>
      <c r="C412" s="101"/>
      <c r="D412"/>
      <c r="E412"/>
      <c r="F412"/>
      <c r="G412"/>
      <c r="H412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>
      <c r="A413" s="7"/>
      <c r="B413" s="101"/>
      <c r="C413" s="101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>
      <c r="A414" s="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>
      <c r="A415" s="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>
      <c r="A416" s="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>
      <c r="A417" s="7"/>
      <c r="B417" s="101"/>
      <c r="C417" s="101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>
      <c r="A418" s="57"/>
      <c r="B418" s="101"/>
      <c r="C418" s="101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>
      <c r="A419" s="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>
      <c r="A420" s="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>
      <c r="A421" s="5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>
      <c r="A422" s="5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>
      <c r="A426" s="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>
      <c r="A427" s="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>
      <c r="A429" s="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7"/>
      <c r="P430" s="7"/>
      <c r="Q430" s="7"/>
      <c r="R430" s="7"/>
      <c r="S430" s="7"/>
      <c r="T430" s="7"/>
      <c r="U430" s="7"/>
    </row>
    <row r="431" spans="1:21">
      <c r="A431" s="5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7"/>
      <c r="P431" s="7"/>
      <c r="Q431" s="7"/>
      <c r="R431" s="7"/>
      <c r="S431" s="7"/>
      <c r="T431" s="7"/>
      <c r="U431" s="7"/>
    </row>
    <row r="432" spans="1:21">
      <c r="A432" s="5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7"/>
      <c r="P432" s="7"/>
      <c r="Q432" s="7"/>
      <c r="R432" s="7"/>
      <c r="S432" s="7"/>
      <c r="T432" s="7"/>
      <c r="U432" s="7"/>
    </row>
    <row r="433" spans="1:21">
      <c r="A433" s="5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7"/>
      <c r="P433" s="7"/>
      <c r="Q433" s="7"/>
      <c r="R433" s="7"/>
      <c r="S433" s="7"/>
      <c r="T433" s="7"/>
      <c r="U433" s="7"/>
    </row>
    <row r="434" spans="1:21">
      <c r="A434" s="5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7"/>
      <c r="P434" s="7"/>
      <c r="Q434" s="7"/>
      <c r="R434" s="7"/>
      <c r="S434" s="7"/>
      <c r="T434" s="7"/>
      <c r="U434" s="7"/>
    </row>
    <row r="435" spans="1:21">
      <c r="A435" s="57"/>
      <c r="B435" s="102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7"/>
      <c r="P435" s="7"/>
      <c r="Q435" s="7"/>
      <c r="R435" s="7"/>
      <c r="S435" s="7"/>
      <c r="T435" s="7"/>
      <c r="U435" s="7"/>
    </row>
    <row r="436" spans="1:2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8.75">
      <c r="A437" s="8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>
      <c r="A438" s="5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>
      <c r="A441" s="2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</row>
    <row r="442" spans="1:21">
      <c r="A442" s="7"/>
      <c r="B442" s="7"/>
      <c r="C442" s="73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>
      <c r="A443" s="57"/>
      <c r="B443" s="7"/>
      <c r="C443" s="73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7"/>
      <c r="P443" s="7"/>
      <c r="Q443" s="7"/>
      <c r="R443" s="7"/>
      <c r="S443" s="7"/>
      <c r="T443" s="7"/>
      <c r="U443" s="7"/>
    </row>
    <row r="444" spans="1:21">
      <c r="A444" s="7"/>
      <c r="B444" s="7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"/>
      <c r="P444" s="7"/>
      <c r="Q444" s="7"/>
      <c r="R444" s="7"/>
      <c r="S444" s="7"/>
      <c r="T444" s="7"/>
      <c r="U444" s="7"/>
    </row>
    <row r="445" spans="1:21">
      <c r="A445" s="7"/>
      <c r="B445" s="7"/>
      <c r="C445" s="73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7"/>
      <c r="P445" s="7"/>
      <c r="Q445" s="7"/>
      <c r="R445" s="7"/>
      <c r="S445" s="7"/>
      <c r="T445" s="7"/>
      <c r="U445" s="7"/>
    </row>
    <row r="446" spans="1:21">
      <c r="A446" s="7"/>
      <c r="B446" s="7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"/>
      <c r="P446" s="7"/>
      <c r="Q446" s="7"/>
      <c r="R446" s="7"/>
      <c r="S446" s="7"/>
      <c r="T446" s="7"/>
      <c r="U446" s="7"/>
    </row>
    <row r="447" spans="1:21">
      <c r="A447" s="7"/>
      <c r="B447" s="7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"/>
      <c r="P447" s="7"/>
      <c r="Q447" s="7"/>
      <c r="R447" s="7"/>
      <c r="S447" s="7"/>
      <c r="T447" s="7"/>
      <c r="U447" s="7"/>
    </row>
    <row r="448" spans="1:21">
      <c r="A448" s="94"/>
      <c r="B448" s="7"/>
      <c r="C448" s="73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7"/>
      <c r="P448" s="7"/>
      <c r="Q448" s="7"/>
      <c r="R448" s="7"/>
      <c r="S448" s="7"/>
      <c r="T448" s="7"/>
      <c r="U448" s="7"/>
    </row>
    <row r="449" spans="1:21">
      <c r="A449" s="94"/>
      <c r="B449" s="7"/>
      <c r="C449" s="73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7"/>
      <c r="P449" s="7"/>
      <c r="Q449" s="7"/>
      <c r="R449" s="7"/>
      <c r="S449" s="7"/>
      <c r="T449" s="7"/>
      <c r="U449" s="7"/>
    </row>
    <row r="450" spans="1:21">
      <c r="A450" s="57"/>
      <c r="B450" s="7"/>
      <c r="C450" s="7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>
      <c r="A451" s="7"/>
      <c r="B451" s="102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7"/>
      <c r="P451" s="7"/>
      <c r="Q451" s="7"/>
      <c r="R451" s="7"/>
      <c r="S451" s="7"/>
      <c r="T451" s="7"/>
      <c r="U451" s="7"/>
    </row>
    <row r="452" spans="1:21">
      <c r="A452" s="7"/>
      <c r="B452" s="7"/>
      <c r="C452" s="73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>
      <c r="A453" s="57"/>
      <c r="B453" s="7"/>
      <c r="C453" s="73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7"/>
      <c r="P453" s="7"/>
      <c r="Q453" s="7"/>
      <c r="R453" s="7"/>
      <c r="S453" s="7"/>
      <c r="T453" s="7"/>
      <c r="U453" s="7"/>
    </row>
    <row r="454" spans="1:21">
      <c r="A454" s="7"/>
      <c r="B454" s="7"/>
      <c r="C454" s="73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7"/>
      <c r="P454" s="7"/>
      <c r="Q454" s="7"/>
      <c r="R454" s="7"/>
      <c r="S454" s="7"/>
      <c r="T454" s="7"/>
      <c r="U454" s="7"/>
    </row>
    <row r="455" spans="1:21">
      <c r="A455" s="57"/>
      <c r="B455" s="7"/>
      <c r="C455" s="73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7"/>
      <c r="P455" s="7"/>
      <c r="Q455" s="7"/>
      <c r="R455" s="7"/>
      <c r="S455" s="7"/>
      <c r="T455" s="7"/>
      <c r="U455" s="7"/>
    </row>
    <row r="456" spans="1:2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s="106" customFormat="1" ht="18.75">
      <c r="A458" s="104"/>
      <c r="B458" s="105"/>
      <c r="C458" s="105"/>
    </row>
    <row r="459" spans="1:21" s="106" customFormat="1">
      <c r="A459" s="105"/>
      <c r="B459" s="107"/>
      <c r="C459" s="108"/>
      <c r="D459" s="105"/>
      <c r="E459" s="109"/>
    </row>
    <row r="460" spans="1:21" s="106" customFormat="1">
      <c r="A460" s="105"/>
      <c r="B460" s="110"/>
      <c r="C460" s="88"/>
      <c r="D460" s="88"/>
      <c r="E460" s="109"/>
    </row>
    <row r="461" spans="1:21" s="106" customFormat="1">
      <c r="A461" s="105"/>
      <c r="B461" s="88"/>
      <c r="C461" s="109"/>
      <c r="D461" s="88"/>
      <c r="E461" s="110"/>
    </row>
    <row r="462" spans="1:21" s="106" customFormat="1">
      <c r="A462" s="111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</row>
    <row r="463" spans="1:21" s="106" customFormat="1">
      <c r="A463" s="80"/>
      <c r="B463" s="105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>
      <c r="A464" s="7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>
      <c r="A465" s="79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>
      <c r="A466" s="7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>
      <c r="A467" s="78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>
      <c r="A468" s="69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>
      <c r="A469" s="80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>
      <c r="A471" s="11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>
      <c r="A473" s="11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>
      <c r="A475" s="8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>
      <c r="A480" s="11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>
      <c r="A481" s="80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>
      <c r="A483" s="80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>
      <c r="A484" s="80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>
      <c r="A485" s="79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>
      <c r="A486" s="79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>
      <c r="A487" s="80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>
      <c r="A488" s="82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</row>
    <row r="489" spans="1:21" s="106" customFormat="1">
      <c r="A489" s="79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ht="13.9" customHeight="1">
      <c r="A490" s="78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16" customFormat="1">
      <c r="A491" s="115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>
      <c r="A492" s="78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>
      <c r="A495" s="79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06" customFormat="1">
      <c r="A496" s="79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>
      <c r="A497" s="80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16" customFormat="1">
      <c r="A498"/>
      <c r="B498"/>
      <c r="C498"/>
      <c r="D498"/>
      <c r="E498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>
      <c r="A499"/>
      <c r="B499"/>
      <c r="C499"/>
      <c r="D499"/>
      <c r="E499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>
      <c r="A500"/>
      <c r="B500"/>
      <c r="C500"/>
      <c r="D500"/>
      <c r="E500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>
      <c r="A501"/>
      <c r="B501"/>
      <c r="C501"/>
      <c r="D501"/>
      <c r="E501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>
      <c r="A502"/>
      <c r="B502"/>
      <c r="C502"/>
      <c r="D502"/>
      <c r="E50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16" customFormat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16" customFormat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06" customFormat="1">
      <c r="A509" s="80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16" customFormat="1">
      <c r="A510" s="117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>
      <c r="A511" s="80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>
      <c r="A512" s="80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06" customFormat="1">
      <c r="A513" s="80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8.75">
      <c r="A517" s="8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>
      <c r="A518" s="5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>
      <c r="A519" s="118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7"/>
      <c r="N519" s="7"/>
      <c r="O519" s="7"/>
      <c r="P519" s="7"/>
      <c r="Q519" s="7"/>
      <c r="R519" s="7"/>
      <c r="S519" s="7"/>
      <c r="T519" s="7"/>
      <c r="U519" s="7"/>
    </row>
    <row r="520" spans="1:2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>
      <c r="A521" s="2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1">
      <c r="A522" s="5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1">
      <c r="A523" s="86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1">
      <c r="A524" s="86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1">
      <c r="A525" s="119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1">
      <c r="A526" s="86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1">
      <c r="A527" s="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1">
      <c r="A528" s="5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1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1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1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1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1">
      <c r="A533" s="86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1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1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1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1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1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1">
      <c r="A539" s="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1">
      <c r="A540" s="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1">
      <c r="A541" s="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1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1">
      <c r="A543" s="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1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1">
      <c r="A545" s="5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1">
      <c r="A546" s="86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collapsed="1">
      <c r="A547" s="5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5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5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5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</sheetData>
  <pageMargins left="0.18" right="0.17" top="0.37" bottom="0.4" header="0.17" footer="0.21"/>
  <pageSetup scale="42" orientation="landscape" r:id="rId1"/>
  <headerFooter alignWithMargins="0">
    <oddHeader>&amp;L&amp;12Enron's Generation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C776"/>
  <sheetViews>
    <sheetView zoomScale="75" zoomScaleNormal="75" workbookViewId="0"/>
  </sheetViews>
  <sheetFormatPr defaultRowHeight="12.75" outlineLevelRow="2" outlineLevelCol="1"/>
  <cols>
    <col min="1" max="1" width="39.42578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103</v>
      </c>
      <c r="B2" s="391"/>
      <c r="C2" s="391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7" t="s">
        <v>65</v>
      </c>
      <c r="B5" s="8">
        <f>Brownsville!$B$5</f>
        <v>2001</v>
      </c>
      <c r="C5" s="8">
        <f>Brownsville!C5</f>
        <v>2002</v>
      </c>
      <c r="D5" s="8">
        <f>Brownsville!D5</f>
        <v>2003</v>
      </c>
      <c r="E5" s="8">
        <f>Brownsville!E5</f>
        <v>2004</v>
      </c>
      <c r="F5" s="8">
        <f>Brownsville!F5</f>
        <v>2005</v>
      </c>
      <c r="G5" s="8">
        <f>Brownsville!G5</f>
        <v>2006</v>
      </c>
      <c r="H5" s="8">
        <f>Brownsville!H5</f>
        <v>2007</v>
      </c>
      <c r="I5" s="8">
        <f>Brownsville!I5</f>
        <v>2008</v>
      </c>
      <c r="J5" s="8">
        <f>Brownsville!J5</f>
        <v>2009</v>
      </c>
      <c r="K5" s="8">
        <f>Brownsville!K5</f>
        <v>2010</v>
      </c>
      <c r="L5" s="8">
        <f>Brownsville!L5</f>
        <v>2011</v>
      </c>
      <c r="M5" s="8">
        <f>Brownsville!M5</f>
        <v>2012</v>
      </c>
      <c r="N5" s="8">
        <f>Brownsville!N5</f>
        <v>2013</v>
      </c>
      <c r="O5" s="8">
        <f>Brownsville!O5</f>
        <v>2014</v>
      </c>
      <c r="P5" s="8">
        <f>Brownsville!P5</f>
        <v>2015</v>
      </c>
      <c r="Q5" s="8">
        <f>Brownsville!Q5</f>
        <v>2016</v>
      </c>
      <c r="R5" s="8">
        <f>Brownsville!R5</f>
        <v>2017</v>
      </c>
      <c r="S5" s="8">
        <f>Brownsville!S5</f>
        <v>2018</v>
      </c>
      <c r="T5" s="8">
        <f>Brownsville!T5</f>
        <v>2019</v>
      </c>
      <c r="U5" s="8">
        <f>Brownsville!U5</f>
        <v>2020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55">
      <c r="A6" s="2"/>
      <c r="B6" s="436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66</v>
      </c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58"/>
      <c r="W7" s="58"/>
      <c r="X7" s="58"/>
      <c r="Y7" s="503">
        <f>SUM(Z7:AS7)-SUM(Z8:AS8)</f>
        <v>0</v>
      </c>
      <c r="Z7" s="504">
        <f>B10+B11</f>
        <v>547.59249599999998</v>
      </c>
      <c r="AA7" s="504">
        <f>C10+C11</f>
        <v>564.02027088</v>
      </c>
      <c r="AB7" s="504">
        <f>D10+D11</f>
        <v>580.94087900640011</v>
      </c>
      <c r="AC7" s="504">
        <f t="shared" ref="AC7:AS7" si="0">E16</f>
        <v>260.71646237659195</v>
      </c>
      <c r="AD7" s="504">
        <f t="shared" si="0"/>
        <v>268.53795624788972</v>
      </c>
      <c r="AE7" s="504">
        <f t="shared" si="0"/>
        <v>276.59409493532644</v>
      </c>
      <c r="AF7" s="504">
        <f t="shared" si="0"/>
        <v>284.89191778338625</v>
      </c>
      <c r="AG7" s="504">
        <f t="shared" si="0"/>
        <v>293.43867531688778</v>
      </c>
      <c r="AH7" s="504">
        <f t="shared" si="0"/>
        <v>302.24183557639446</v>
      </c>
      <c r="AI7" s="504">
        <f t="shared" si="0"/>
        <v>311.30909064368626</v>
      </c>
      <c r="AJ7" s="504">
        <f t="shared" si="0"/>
        <v>320.64836336299686</v>
      </c>
      <c r="AK7" s="504">
        <f t="shared" si="0"/>
        <v>330.26781426388675</v>
      </c>
      <c r="AL7" s="504">
        <f t="shared" si="0"/>
        <v>340.17584869180331</v>
      </c>
      <c r="AM7" s="504">
        <f t="shared" si="0"/>
        <v>350.38112415255745</v>
      </c>
      <c r="AN7" s="504">
        <f t="shared" si="0"/>
        <v>360.89255787713421</v>
      </c>
      <c r="AO7" s="504">
        <f t="shared" si="0"/>
        <v>371.71933461344815</v>
      </c>
      <c r="AP7" s="504">
        <f t="shared" si="0"/>
        <v>382.87091465185159</v>
      </c>
      <c r="AQ7" s="504">
        <f t="shared" si="0"/>
        <v>394.35704209140715</v>
      </c>
      <c r="AR7" s="504">
        <f t="shared" si="0"/>
        <v>406.18775335414938</v>
      </c>
      <c r="AS7" s="504">
        <f t="shared" si="0"/>
        <v>418.37338595477382</v>
      </c>
    </row>
    <row r="8" spans="1:55">
      <c r="A8" s="364" t="s">
        <v>159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503">
        <v>0</v>
      </c>
      <c r="Z8" s="533">
        <f>B24+B25</f>
        <v>547.59249599999998</v>
      </c>
      <c r="AA8" s="533">
        <f>C24+C25</f>
        <v>564.02027088</v>
      </c>
      <c r="AB8" s="533">
        <f>D24+D25</f>
        <v>580.94087900640011</v>
      </c>
      <c r="AC8" s="533">
        <f t="shared" ref="AC8:AS8" si="1">E24+1/3*E25</f>
        <v>260.71646237659201</v>
      </c>
      <c r="AD8" s="533">
        <f t="shared" si="1"/>
        <v>268.53795624788978</v>
      </c>
      <c r="AE8" s="533">
        <f t="shared" si="1"/>
        <v>276.5940949353265</v>
      </c>
      <c r="AF8" s="533">
        <f t="shared" si="1"/>
        <v>284.8919177833863</v>
      </c>
      <c r="AG8" s="533">
        <f t="shared" si="1"/>
        <v>293.4386753168879</v>
      </c>
      <c r="AH8" s="533">
        <f t="shared" si="1"/>
        <v>302.24183557639458</v>
      </c>
      <c r="AI8" s="533">
        <f t="shared" si="1"/>
        <v>311.30909064368637</v>
      </c>
      <c r="AJ8" s="533">
        <f t="shared" si="1"/>
        <v>320.64836336299697</v>
      </c>
      <c r="AK8" s="533">
        <f t="shared" si="1"/>
        <v>330.26781426388686</v>
      </c>
      <c r="AL8" s="533">
        <f t="shared" si="1"/>
        <v>340.17584869180348</v>
      </c>
      <c r="AM8" s="533">
        <f t="shared" si="1"/>
        <v>350.38112415255762</v>
      </c>
      <c r="AN8" s="533">
        <f t="shared" si="1"/>
        <v>360.89255787713432</v>
      </c>
      <c r="AO8" s="533">
        <f t="shared" si="1"/>
        <v>371.71933461344832</v>
      </c>
      <c r="AP8" s="533">
        <f t="shared" si="1"/>
        <v>382.87091465185176</v>
      </c>
      <c r="AQ8" s="533">
        <f t="shared" si="1"/>
        <v>394.35704209140738</v>
      </c>
      <c r="AR8" s="533">
        <f t="shared" si="1"/>
        <v>406.18775335414955</v>
      </c>
      <c r="AS8" s="533">
        <f t="shared" si="1"/>
        <v>418.37338595477405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67</v>
      </c>
      <c r="B9" s="56">
        <f>'Power Price Assumption'!D32*12*Assumptions!$D$9</f>
        <v>22368</v>
      </c>
      <c r="C9" s="56">
        <f>'Power Price Assumption'!E32*12*Assumptions!$D$9</f>
        <v>22368</v>
      </c>
      <c r="D9" s="56">
        <f>'Power Price Assumption'!F32*12*Assumptions!$D$9</f>
        <v>22368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67104</v>
      </c>
      <c r="X9" s="16"/>
      <c r="Y9" s="503"/>
      <c r="Z9" s="505">
        <f>Z7-Z8</f>
        <v>0</v>
      </c>
      <c r="AA9" s="505">
        <f t="shared" ref="AA9:AS9" si="2">AA7-AA8</f>
        <v>0</v>
      </c>
      <c r="AB9" s="505">
        <f t="shared" si="2"/>
        <v>0</v>
      </c>
      <c r="AC9" s="505">
        <f t="shared" si="2"/>
        <v>0</v>
      </c>
      <c r="AD9" s="505">
        <f t="shared" si="2"/>
        <v>0</v>
      </c>
      <c r="AE9" s="505">
        <f t="shared" si="2"/>
        <v>0</v>
      </c>
      <c r="AF9" s="505">
        <f t="shared" si="2"/>
        <v>0</v>
      </c>
      <c r="AG9" s="505">
        <f t="shared" si="2"/>
        <v>0</v>
      </c>
      <c r="AH9" s="505">
        <f t="shared" si="2"/>
        <v>0</v>
      </c>
      <c r="AI9" s="505">
        <f t="shared" si="2"/>
        <v>0</v>
      </c>
      <c r="AJ9" s="505">
        <f t="shared" si="2"/>
        <v>0</v>
      </c>
      <c r="AK9" s="505">
        <f t="shared" si="2"/>
        <v>0</v>
      </c>
      <c r="AL9" s="505">
        <f t="shared" si="2"/>
        <v>0</v>
      </c>
      <c r="AM9" s="505">
        <f t="shared" si="2"/>
        <v>0</v>
      </c>
      <c r="AN9" s="505">
        <f t="shared" si="2"/>
        <v>0</v>
      </c>
      <c r="AO9" s="505">
        <f t="shared" si="2"/>
        <v>0</v>
      </c>
      <c r="AP9" s="505">
        <f t="shared" si="2"/>
        <v>0</v>
      </c>
      <c r="AQ9" s="505">
        <f t="shared" si="2"/>
        <v>0</v>
      </c>
      <c r="AR9" s="505">
        <f t="shared" si="2"/>
        <v>0</v>
      </c>
      <c r="AS9" s="505">
        <f t="shared" si="2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242</v>
      </c>
      <c r="B10" s="56">
        <f>Assumptions!D23*Assumptions!D21/1000*(1+Assumptions!$D$33)</f>
        <v>84.092496000000011</v>
      </c>
      <c r="C10" s="56">
        <f>B10*(1+Assumptions!$D$33)</f>
        <v>86.615270880000011</v>
      </c>
      <c r="D10" s="56">
        <f>C10*(1+Assumptions!$D$33)</f>
        <v>89.213729006400015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259.92149588640001</v>
      </c>
      <c r="X10" s="16"/>
      <c r="Y10" s="503"/>
      <c r="Z10" s="505"/>
      <c r="AA10" s="505"/>
      <c r="AB10" s="505"/>
      <c r="AC10" s="505"/>
      <c r="AD10" s="505"/>
      <c r="AE10" s="505"/>
      <c r="AF10" s="505"/>
      <c r="AG10" s="505"/>
      <c r="AH10" s="505"/>
      <c r="AI10" s="505"/>
      <c r="AJ10" s="505"/>
      <c r="AK10" s="505"/>
      <c r="AL10" s="505"/>
      <c r="AM10" s="505"/>
      <c r="AN10" s="505"/>
      <c r="AO10" s="505"/>
      <c r="AP10" s="505"/>
      <c r="AQ10" s="505"/>
      <c r="AR10" s="505"/>
      <c r="AS10" s="505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171</v>
      </c>
      <c r="B11" s="127">
        <f>Assumptions!$D$22*Assumptions!$D$11*Assumptions!$D$8/1000*(1+Assumptions!$D$33)</f>
        <v>463.5</v>
      </c>
      <c r="C11" s="91">
        <f>B11*(1+Assumptions!$D$33)</f>
        <v>477.40500000000003</v>
      </c>
      <c r="D11" s="91">
        <f>C11*(1+Assumptions!$D$33)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280</v>
      </c>
      <c r="B12" s="127">
        <f>'Contract Amortization'!$C$17*0.9/3</f>
        <v>7528.5316067000667</v>
      </c>
      <c r="C12" s="127">
        <f>'Contract Amortization'!$C$17*0.9/3</f>
        <v>7528.5316067000667</v>
      </c>
      <c r="D12" s="127">
        <f>'Contract Amortization'!$C$17*0.9/3</f>
        <v>7528.5316067000667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22585.594820100199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64" t="s">
        <v>183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67</v>
      </c>
      <c r="B15" s="19">
        <v>0</v>
      </c>
      <c r="C15" s="19">
        <v>0</v>
      </c>
      <c r="D15" s="19">
        <v>0</v>
      </c>
      <c r="E15" s="19">
        <f>'Power Price Assumption'!G32*Assumptions!$D$9*12</f>
        <v>35899.340399575885</v>
      </c>
      <c r="F15" s="19">
        <f>'Power Price Assumption'!H32*Assumptions!$D$9*12</f>
        <v>37679.306973852152</v>
      </c>
      <c r="G15" s="19">
        <f>'Power Price Assumption'!I32*Assumptions!$D$9*12</f>
        <v>38162.465626925434</v>
      </c>
      <c r="H15" s="19">
        <f>'Power Price Assumption'!J32*Assumptions!$D$9*12</f>
        <v>38651.818656713265</v>
      </c>
      <c r="I15" s="19">
        <f>'Power Price Assumption'!K32*Assumptions!$D$9*12</f>
        <v>39147.289408807948</v>
      </c>
      <c r="J15" s="19">
        <f>'Power Price Assumption'!L32*Assumptions!$D$9*12</f>
        <v>39649.494981682699</v>
      </c>
      <c r="K15" s="19">
        <f>'Power Price Assumption'!M32*Assumptions!$D$9*12</f>
        <v>40158.011154928136</v>
      </c>
      <c r="L15" s="19">
        <f>'Power Price Assumption'!N32*Assumptions!$D$9*12</f>
        <v>40917.648277337787</v>
      </c>
      <c r="M15" s="19">
        <f>'Power Price Assumption'!O32*Assumptions!$D$9*12</f>
        <v>41692.188528058105</v>
      </c>
      <c r="N15" s="19">
        <f>'Power Price Assumption'!P32*Assumptions!$D$9*12</f>
        <v>42481.20198837405</v>
      </c>
      <c r="O15" s="19">
        <f>'Power Price Assumption'!Q32*Assumptions!$D$9*12</f>
        <v>43285.004764975754</v>
      </c>
      <c r="P15" s="19">
        <f>'Power Price Assumption'!R32*Assumptions!$D$9*12</f>
        <v>44103.923249076368</v>
      </c>
      <c r="Q15" s="19">
        <f>'Power Price Assumption'!S32*Assumptions!$D$9*12</f>
        <v>44732.599165756576</v>
      </c>
      <c r="R15" s="19">
        <f>'Power Price Assumption'!T32*Assumptions!$D$9*12</f>
        <v>45371.525160895595</v>
      </c>
      <c r="S15" s="19">
        <f>'Power Price Assumption'!U32*Assumptions!$D$9*12</f>
        <v>46018.319401171044</v>
      </c>
      <c r="T15" s="19">
        <f>'Power Price Assumption'!V32*Assumptions!$D$9*12</f>
        <v>46675.093810620099</v>
      </c>
      <c r="U15" s="19">
        <f>'Power Price Assumption'!W32*Assumptions!$D$9*12</f>
        <v>47341.235923677086</v>
      </c>
      <c r="W15" s="91">
        <f t="shared" ref="W15:W20" si="3">SUM(B15:U15)</f>
        <v>711966.46747242799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68</v>
      </c>
      <c r="B16" s="19">
        <v>0</v>
      </c>
      <c r="C16" s="19">
        <v>0</v>
      </c>
      <c r="D16" s="19">
        <v>0</v>
      </c>
      <c r="E16" s="127">
        <f>1/3*Assumptions!$D$22*Assumptions!$D$11*Assumptions!$D$8/1000*(1+Assumptions!$D$33)^(E5-2000)+Assumptions!$D$23*Assumptions!$D$21*(1+Assumptions!$D$33)^(E5-2000)/1000</f>
        <v>260.71646237659195</v>
      </c>
      <c r="F16" s="127">
        <f>1/3*Assumptions!$D$22*Assumptions!$D$11*Assumptions!$D$8/1000*(1+Assumptions!$D$33)^(F5-2000)+Assumptions!$D$23*Assumptions!$D$21*(1+Assumptions!$D$33)^(F5-2000)/1000</f>
        <v>268.53795624788972</v>
      </c>
      <c r="G16" s="127">
        <f>1/3*Assumptions!$D$22*Assumptions!$D$11*Assumptions!$D$8/1000*(1+Assumptions!$D$33)^(G5-2000)+Assumptions!$D$23*Assumptions!$D$21*(1+Assumptions!$D$33)^(G5-2000)/1000</f>
        <v>276.59409493532644</v>
      </c>
      <c r="H16" s="127">
        <f>1/3*Assumptions!$D$22*Assumptions!$D$11*Assumptions!$D$8/1000*(1+Assumptions!$D$33)^(H5-2000)+Assumptions!$D$23*Assumptions!$D$21*(1+Assumptions!$D$33)^(H5-2000)/1000</f>
        <v>284.89191778338625</v>
      </c>
      <c r="I16" s="127">
        <f>1/3*Assumptions!$D$22*Assumptions!$D$11*Assumptions!$D$8/1000*(1+Assumptions!$D$33)^(I5-2000)+Assumptions!$D$23*Assumptions!$D$21*(1+Assumptions!$D$33)^(I5-2000)/1000</f>
        <v>293.43867531688778</v>
      </c>
      <c r="J16" s="127">
        <f>1/3*Assumptions!$D$22*Assumptions!$D$11*Assumptions!$D$8/1000*(1+Assumptions!$D$33)^(J5-2000)+Assumptions!$D$23*Assumptions!$D$21*(1+Assumptions!$D$33)^(J5-2000)/1000</f>
        <v>302.24183557639446</v>
      </c>
      <c r="K16" s="127">
        <f>1/3*Assumptions!$D$22*Assumptions!$D$11*Assumptions!$D$8/1000*(1+Assumptions!$D$33)^(K5-2000)+Assumptions!$D$23*Assumptions!$D$21*(1+Assumptions!$D$33)^(K5-2000)/1000</f>
        <v>311.30909064368626</v>
      </c>
      <c r="L16" s="127">
        <f>1/3*Assumptions!$D$22*Assumptions!$D$11*Assumptions!$D$8/1000*(1+Assumptions!$D$33)^(L5-2000)+Assumptions!$D$23*Assumptions!$D$21*(1+Assumptions!$D$33)^(L5-2000)/1000</f>
        <v>320.64836336299686</v>
      </c>
      <c r="M16" s="127">
        <f>1/3*Assumptions!$D$22*Assumptions!$D$11*Assumptions!$D$8/1000*(1+Assumptions!$D$33)^(M5-2000)+Assumptions!$D$23*Assumptions!$D$21*(1+Assumptions!$D$33)^(M5-2000)/1000</f>
        <v>330.26781426388675</v>
      </c>
      <c r="N16" s="127">
        <f>1/3*Assumptions!$D$22*Assumptions!$D$11*Assumptions!$D$8/1000*(1+Assumptions!$D$33)^(N5-2000)+Assumptions!$D$23*Assumptions!$D$21*(1+Assumptions!$D$33)^(N5-2000)/1000</f>
        <v>340.17584869180331</v>
      </c>
      <c r="O16" s="127">
        <f>1/3*Assumptions!$D$22*Assumptions!$D$11*Assumptions!$D$8/1000*(1+Assumptions!$D$33)^(O5-2000)+Assumptions!$D$23*Assumptions!$D$21*(1+Assumptions!$D$33)^(O5-2000)/1000</f>
        <v>350.38112415255745</v>
      </c>
      <c r="P16" s="127">
        <f>1/3*Assumptions!$D$22*Assumptions!$D$11*Assumptions!$D$8/1000*(1+Assumptions!$D$33)^(P5-2000)+Assumptions!$D$23*Assumptions!$D$21*(1+Assumptions!$D$33)^(P5-2000)/1000</f>
        <v>360.89255787713421</v>
      </c>
      <c r="Q16" s="127">
        <f>1/3*Assumptions!$D$22*Assumptions!$D$11*Assumptions!$D$8/1000*(1+Assumptions!$D$33)^(Q5-2000)+Assumptions!$D$23*Assumptions!$D$21*(1+Assumptions!$D$33)^(Q5-2000)/1000</f>
        <v>371.71933461344815</v>
      </c>
      <c r="R16" s="127">
        <f>1/3*Assumptions!$D$22*Assumptions!$D$11*Assumptions!$D$8/1000*(1+Assumptions!$D$33)^(R5-2000)+Assumptions!$D$23*Assumptions!$D$21*(1+Assumptions!$D$33)^(R5-2000)/1000</f>
        <v>382.87091465185159</v>
      </c>
      <c r="S16" s="127">
        <f>1/3*Assumptions!$D$22*Assumptions!$D$11*Assumptions!$D$8/1000*(1+Assumptions!$D$33)^(S5-2000)+Assumptions!$D$23*Assumptions!$D$21*(1+Assumptions!$D$33)^(S5-2000)/1000</f>
        <v>394.35704209140715</v>
      </c>
      <c r="T16" s="127">
        <f>1/3*Assumptions!$D$22*Assumptions!$D$11*Assumptions!$D$8/1000*(1+Assumptions!$D$33)^(T5-2000)+Assumptions!$D$23*Assumptions!$D$21*(1+Assumptions!$D$33)^(T5-2000)/1000</f>
        <v>406.18775335414938</v>
      </c>
      <c r="U16" s="127">
        <f>1/3*Assumptions!$D$22*Assumptions!$D$11*Assumptions!$D$8/1000*(1+Assumptions!$D$33)^(U5-2000)+Assumptions!$D$23*Assumptions!$D$21*(1+Assumptions!$D$33)^(U5-2000)/1000</f>
        <v>418.37338595477382</v>
      </c>
      <c r="W16" s="91">
        <f t="shared" si="3"/>
        <v>5673.6041718941715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 t="s">
        <v>69</v>
      </c>
      <c r="B17" s="19">
        <v>0</v>
      </c>
      <c r="C17" s="19">
        <v>0</v>
      </c>
      <c r="D17" s="19">
        <v>0</v>
      </c>
      <c r="E17" s="56">
        <f>Assumptions!$D$27*Assumptions!$D$23/1000</f>
        <v>81.643200000000007</v>
      </c>
      <c r="F17" s="56">
        <f>Assumptions!$D$27*Assumptions!$D$23/1000</f>
        <v>81.643200000000007</v>
      </c>
      <c r="G17" s="56">
        <f>Assumptions!$D$27*Assumptions!$D$23/1000</f>
        <v>81.643200000000007</v>
      </c>
      <c r="H17" s="56">
        <f>Assumptions!$D$27*Assumptions!$D$23/1000</f>
        <v>81.643200000000007</v>
      </c>
      <c r="I17" s="56">
        <f>Assumptions!$D$27*Assumptions!$D$23/1000</f>
        <v>81.643200000000007</v>
      </c>
      <c r="J17" s="56">
        <f>Assumptions!$D$27*Assumptions!$D$23/1000</f>
        <v>81.643200000000007</v>
      </c>
      <c r="K17" s="56">
        <f>Assumptions!$D$27*Assumptions!$D$23/1000</f>
        <v>81.643200000000007</v>
      </c>
      <c r="L17" s="56">
        <f>Assumptions!$D$27*Assumptions!$D$23/1000</f>
        <v>81.643200000000007</v>
      </c>
      <c r="M17" s="56">
        <f>Assumptions!$D$27*Assumptions!$D$23/1000</f>
        <v>81.643200000000007</v>
      </c>
      <c r="N17" s="56">
        <f>Assumptions!$D$27*Assumptions!$D$23/1000</f>
        <v>81.643200000000007</v>
      </c>
      <c r="O17" s="56">
        <f>Assumptions!$D$27*Assumptions!$D$23/1000</f>
        <v>81.643200000000007</v>
      </c>
      <c r="P17" s="56">
        <f>Assumptions!$D$27*Assumptions!$D$23/1000</f>
        <v>81.643200000000007</v>
      </c>
      <c r="Q17" s="56">
        <f>Assumptions!$D$27*Assumptions!$D$23/1000</f>
        <v>81.643200000000007</v>
      </c>
      <c r="R17" s="56">
        <f>Assumptions!$D$27*Assumptions!$D$23/1000</f>
        <v>81.643200000000007</v>
      </c>
      <c r="S17" s="56">
        <f>Assumptions!$D$27*Assumptions!$D$23/1000</f>
        <v>81.643200000000007</v>
      </c>
      <c r="T17" s="56">
        <f>Assumptions!$D$27*Assumptions!$D$23/1000</f>
        <v>81.643200000000007</v>
      </c>
      <c r="U17" s="56">
        <f>Assumptions!$D$27*Assumptions!$D$23/1000</f>
        <v>81.643200000000007</v>
      </c>
      <c r="W17" s="91">
        <f t="shared" si="3"/>
        <v>1387.9343999999999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/>
      <c r="W18" s="91">
        <f t="shared" si="3"/>
        <v>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194</v>
      </c>
      <c r="B19" s="201">
        <f>(SUM(B9:B11)-SUM(B23:B29))*'Summary Output'!$B$31/4</f>
        <v>236.13930024378243</v>
      </c>
      <c r="C19" s="201">
        <f>(SUM(C9:C11)-SUM(C23:C29))*'Summary Output'!$B$31/4</f>
        <v>235.38114083660412</v>
      </c>
      <c r="D19" s="201">
        <f>(SUM(D9:D11)-SUM(D23:D29))*'Summary Output'!$B$31/4</f>
        <v>234.59798614566762</v>
      </c>
      <c r="E19" s="201">
        <f>(SUM(E9:E17)-SUM(E23:E29))*'Summary Output'!$B$31/4</f>
        <v>400.03695613342757</v>
      </c>
      <c r="F19" s="201">
        <f>(SUM(F9:F17)-SUM(F23:F29))*'Summary Output'!$B$31/4</f>
        <v>421.6518707948735</v>
      </c>
      <c r="G19" s="201">
        <f>(SUM(G9:G17)-SUM(G23:G29))*'Summary Output'!$B$31/4</f>
        <v>426.98508070343809</v>
      </c>
      <c r="H19" s="201">
        <f>(SUM(H9:H17)-SUM(H23:H29))*'Summary Output'!$B$31/4</f>
        <v>432.39302669082304</v>
      </c>
      <c r="I19" s="201">
        <f>(SUM(I9:I17)-SUM(I23:I29))*'Summary Output'!$B$31/4</f>
        <v>437.83749889511648</v>
      </c>
      <c r="J19" s="201">
        <f>(SUM(J9:J17)-SUM(J23:J29))*'Summary Output'!$B$31/4</f>
        <v>443.45222678081586</v>
      </c>
      <c r="K19" s="201">
        <f>(SUM(K9:K17)-SUM(K23:K29))*'Summary Output'!$B$31/4</f>
        <v>443.9801279164376</v>
      </c>
      <c r="L19" s="201">
        <f>(SUM(L9:L17)-SUM(L23:L29))*'Summary Output'!$B$31/4</f>
        <v>454.69219372078055</v>
      </c>
      <c r="M19" s="201">
        <f>(SUM(M9:M17)-SUM(M23:M29))*'Summary Output'!$B$31/4</f>
        <v>465.77960124943803</v>
      </c>
      <c r="N19" s="201">
        <f>(SUM(N9:N17)-SUM(N23:N29))*'Summary Output'!$B$31/4</f>
        <v>476.09695458593274</v>
      </c>
      <c r="O19" s="201">
        <f>(SUM(O9:O17)-SUM(O23:O29))*'Summary Output'!$B$31/4</f>
        <v>484.96142084669327</v>
      </c>
      <c r="P19" s="201">
        <f>(SUM(P9:P17)-SUM(P23:P29))*'Summary Output'!$B$31/4</f>
        <v>493.97213453243239</v>
      </c>
      <c r="Q19" s="201">
        <f>(SUM(Q9:Q17)-SUM(Q23:Q29))*'Summary Output'!$B$31/4</f>
        <v>500.48935412823653</v>
      </c>
      <c r="R19" s="201">
        <f>(SUM(R9:R17)-SUM(R23:R29))*'Summary Output'!$B$31/4</f>
        <v>507.01880101776607</v>
      </c>
      <c r="S19" s="201">
        <f>(SUM(S9:S17)-SUM(S23:S29))*'Summary Output'!$B$31/4</f>
        <v>513.59919081567182</v>
      </c>
      <c r="T19" s="201">
        <f>(SUM(T9:T17)-SUM(T23:T29))*'Summary Output'!$B$31/4</f>
        <v>520.25548039469095</v>
      </c>
      <c r="U19" s="201">
        <f>(SUM(U9:U17)-SUM(U23:U29))*'Summary Output'!$B$31/4</f>
        <v>526.97852345985268</v>
      </c>
      <c r="W19" s="91">
        <f t="shared" si="3"/>
        <v>8656.2988698924819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3" t="s">
        <v>70</v>
      </c>
      <c r="B20" s="56">
        <f>SUM(B9:B19)</f>
        <v>30680.263402943852</v>
      </c>
      <c r="C20" s="56">
        <f t="shared" ref="C20:U20" si="4">SUM(C9:C19)</f>
        <v>30695.933018416672</v>
      </c>
      <c r="D20" s="56">
        <f t="shared" si="4"/>
        <v>30712.070471852134</v>
      </c>
      <c r="E20" s="56">
        <f t="shared" si="4"/>
        <v>36641.737018085907</v>
      </c>
      <c r="F20" s="56">
        <f t="shared" si="4"/>
        <v>38451.140000894913</v>
      </c>
      <c r="G20" s="56">
        <f t="shared" si="4"/>
        <v>38947.688002564195</v>
      </c>
      <c r="H20" s="56">
        <f t="shared" si="4"/>
        <v>39450.746801187473</v>
      </c>
      <c r="I20" s="56">
        <f t="shared" si="4"/>
        <v>39960.208783019953</v>
      </c>
      <c r="J20" s="56">
        <f t="shared" si="4"/>
        <v>40476.832244039906</v>
      </c>
      <c r="K20" s="56">
        <f t="shared" si="4"/>
        <v>40994.943573488257</v>
      </c>
      <c r="L20" s="56">
        <f t="shared" si="4"/>
        <v>41774.632034421564</v>
      </c>
      <c r="M20" s="56">
        <f t="shared" si="4"/>
        <v>42569.879143571423</v>
      </c>
      <c r="N20" s="56">
        <f t="shared" si="4"/>
        <v>43379.117991651787</v>
      </c>
      <c r="O20" s="56">
        <f t="shared" si="4"/>
        <v>44201.990509975003</v>
      </c>
      <c r="P20" s="56">
        <f t="shared" si="4"/>
        <v>45040.43114148594</v>
      </c>
      <c r="Q20" s="56">
        <f t="shared" si="4"/>
        <v>45686.451054498255</v>
      </c>
      <c r="R20" s="56">
        <f t="shared" si="4"/>
        <v>46343.058076565212</v>
      </c>
      <c r="S20" s="56">
        <f t="shared" si="4"/>
        <v>47007.918834078118</v>
      </c>
      <c r="T20" s="56">
        <f t="shared" si="4"/>
        <v>47683.180244368938</v>
      </c>
      <c r="U20" s="56">
        <f t="shared" si="4"/>
        <v>48368.23103309171</v>
      </c>
      <c r="W20" s="91">
        <f t="shared" si="3"/>
        <v>819066.45338020124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s="62" customFormat="1" ht="12" customHeight="1">
      <c r="A21" s="4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1" t="s">
        <v>71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W22" s="91"/>
    </row>
    <row r="23" spans="1:55">
      <c r="A23" s="3" t="s">
        <v>55</v>
      </c>
      <c r="B23" s="127">
        <f>Assumptions!D36*(1+Assumptions!$D$33)</f>
        <v>1772.9410188000002</v>
      </c>
      <c r="C23" s="127">
        <f>B23*(1+Assumptions!$D$33)</f>
        <v>1826.1292493640003</v>
      </c>
      <c r="D23" s="127">
        <f>C23*(1+Assumptions!$D$33)</f>
        <v>1880.9131268449203</v>
      </c>
      <c r="E23" s="127">
        <f>D23*(1+Assumptions!$D$33)</f>
        <v>1937.340520650268</v>
      </c>
      <c r="F23" s="127">
        <f>E23*(1+Assumptions!$D$33)</f>
        <v>1995.4607362697761</v>
      </c>
      <c r="G23" s="127">
        <f>F23*(1+Assumptions!$D$33)</f>
        <v>2055.3245583578696</v>
      </c>
      <c r="H23" s="127">
        <f>G23*(1+Assumptions!$D$33)</f>
        <v>2116.9842951086057</v>
      </c>
      <c r="I23" s="127">
        <f>H23*(1+Assumptions!$D$33)</f>
        <v>2180.4938239618641</v>
      </c>
      <c r="J23" s="127">
        <f>I23*(1+Assumptions!$D$33)</f>
        <v>2245.9086386807203</v>
      </c>
      <c r="K23" s="127">
        <f>J23*(1+Assumptions!$D$33)</f>
        <v>2313.2858978411418</v>
      </c>
      <c r="L23" s="127">
        <f>K23*(1+Assumptions!$D$33)</f>
        <v>2382.6844747763762</v>
      </c>
      <c r="M23" s="127">
        <f>L23*(1+Assumptions!$D$33)</f>
        <v>2454.1650090196677</v>
      </c>
      <c r="N23" s="127">
        <f>M23*(1+Assumptions!$D$33)</f>
        <v>2527.7899592902577</v>
      </c>
      <c r="O23" s="127">
        <f>N23*(1+Assumptions!$D$33)</f>
        <v>2603.6236580689656</v>
      </c>
      <c r="P23" s="127">
        <f>O23*(1+Assumptions!$D$33)</f>
        <v>2681.7323678110347</v>
      </c>
      <c r="Q23" s="127">
        <f>P23*(1+Assumptions!$D$33)</f>
        <v>2762.1843388453658</v>
      </c>
      <c r="R23" s="127">
        <f>Q23*(1+Assumptions!$D$33)</f>
        <v>2845.049869010727</v>
      </c>
      <c r="S23" s="127">
        <f>R23*(1+Assumptions!$D$33)</f>
        <v>2930.4013650810489</v>
      </c>
      <c r="T23" s="127">
        <f>S23*(1+Assumptions!$D$33)</f>
        <v>3018.3134060334805</v>
      </c>
      <c r="U23" s="127">
        <f>T23*(1+Assumptions!$D$33)</f>
        <v>3108.8628082144851</v>
      </c>
      <c r="W23" s="91">
        <f t="shared" ref="W23:W30" si="5">SUM(B23:U23)</f>
        <v>47639.589122030571</v>
      </c>
    </row>
    <row r="24" spans="1:55">
      <c r="A24" s="3" t="s">
        <v>56</v>
      </c>
      <c r="B24" s="127">
        <f>Assumptions!$D$37*(1+Assumptions!$D$33)</f>
        <v>84.092496000000011</v>
      </c>
      <c r="C24" s="127">
        <f>B24*(1+Assumptions!$D$33)</f>
        <v>86.615270880000011</v>
      </c>
      <c r="D24" s="127">
        <f>C24*(1+Assumptions!$D$33)</f>
        <v>89.213729006400015</v>
      </c>
      <c r="E24" s="127">
        <f>Assumptions!$D$23*Assumptions!$D$31*(1+Assumptions!$D$33)^(E5-2000)/1000</f>
        <v>91.890140876592</v>
      </c>
      <c r="F24" s="127">
        <f>Assumptions!$D$23*Assumptions!$D$31*(1+Assumptions!$D$33)^(F5-2000)/1000</f>
        <v>94.646845102889756</v>
      </c>
      <c r="G24" s="127">
        <f>Assumptions!$D$23*Assumptions!$D$31*(1+Assumptions!$D$33)^(G5-2000)/1000</f>
        <v>97.48625045597646</v>
      </c>
      <c r="H24" s="127">
        <f>Assumptions!$D$23*Assumptions!$D$31*(1+Assumptions!$D$33)^(H5-2000)/1000</f>
        <v>100.41083796965576</v>
      </c>
      <c r="I24" s="127">
        <f>Assumptions!$D$23*Assumptions!$D$31*(1+Assumptions!$D$33)^(I5-2000)/1000</f>
        <v>103.42316310874541</v>
      </c>
      <c r="J24" s="127">
        <f>Assumptions!$D$23*Assumptions!$D$31*(1+Assumptions!$D$33)^(J5-2000)/1000</f>
        <v>106.52585800200778</v>
      </c>
      <c r="K24" s="127">
        <f>Assumptions!$D$23*Assumptions!$D$31*(1+Assumptions!$D$33)^(K5-2000)/1000</f>
        <v>109.72163374206802</v>
      </c>
      <c r="L24" s="127">
        <f>Assumptions!$D$23*Assumptions!$D$31*(1+Assumptions!$D$33)^(L5-2000)/1000</f>
        <v>113.01328275433006</v>
      </c>
      <c r="M24" s="127">
        <f>Assumptions!$D$23*Assumptions!$D$31*(1+Assumptions!$D$33)^(M5-2000)/1000</f>
        <v>116.40368123695995</v>
      </c>
      <c r="N24" s="127">
        <f>Assumptions!$D$23*Assumptions!$D$31*(1+Assumptions!$D$33)^(N5-2000)/1000</f>
        <v>119.89579167406873</v>
      </c>
      <c r="O24" s="127">
        <f>Assumptions!$D$23*Assumptions!$D$31*(1+Assumptions!$D$33)^(O5-2000)/1000</f>
        <v>123.49266542429081</v>
      </c>
      <c r="P24" s="127">
        <f>Assumptions!$D$23*Assumptions!$D$31*(1+Assumptions!$D$33)^(P5-2000)/1000</f>
        <v>127.19744538701954</v>
      </c>
      <c r="Q24" s="127">
        <f>Assumptions!$D$23*Assumptions!$D$31*(1+Assumptions!$D$33)^(Q5-2000)/1000</f>
        <v>131.01336874863011</v>
      </c>
      <c r="R24" s="127">
        <f>Assumptions!$D$23*Assumptions!$D$31*(1+Assumptions!$D$33)^(R5-2000)/1000</f>
        <v>134.943769811089</v>
      </c>
      <c r="S24" s="127">
        <f>Assumptions!$D$23*Assumptions!$D$31*(1+Assumptions!$D$33)^(S5-2000)/1000</f>
        <v>138.99208290542168</v>
      </c>
      <c r="T24" s="127">
        <f>Assumptions!$D$23*Assumptions!$D$31*(1+Assumptions!$D$33)^(T5-2000)/1000</f>
        <v>143.16184539258433</v>
      </c>
      <c r="U24" s="127">
        <f>Assumptions!$D$23*Assumptions!$D$31*(1+Assumptions!$D$33)^(U5-2000)/1000</f>
        <v>147.45670075436186</v>
      </c>
      <c r="W24" s="91">
        <f t="shared" si="5"/>
        <v>2259.5968592330914</v>
      </c>
    </row>
    <row r="25" spans="1:55">
      <c r="A25" s="3" t="s">
        <v>57</v>
      </c>
      <c r="B25" s="127">
        <f>Assumptions!$D$32*Assumptions!$D$11*Assumptions!$D$8/1000*(1+Assumptions!$D$33)</f>
        <v>463.5</v>
      </c>
      <c r="C25" s="91">
        <f>B25*(1+Assumptions!$D$33)</f>
        <v>477.40500000000003</v>
      </c>
      <c r="D25" s="91">
        <f>C25*(1+Assumptions!$D$33)</f>
        <v>491.72715000000005</v>
      </c>
      <c r="E25" s="91">
        <f>D25*(1+Assumptions!$D$33)</f>
        <v>506.47896450000007</v>
      </c>
      <c r="F25" s="91">
        <f>E25*(1+Assumptions!$D$33)</f>
        <v>521.67333343500013</v>
      </c>
      <c r="G25" s="91">
        <f>F25*(1+Assumptions!$D$33)</f>
        <v>537.32353343805016</v>
      </c>
      <c r="H25" s="91">
        <f>G25*(1+Assumptions!$D$33)</f>
        <v>553.44323944119174</v>
      </c>
      <c r="I25" s="91">
        <f>H25*(1+Assumptions!$D$33)</f>
        <v>570.04653662442752</v>
      </c>
      <c r="J25" s="91">
        <f>I25*(1+Assumptions!$D$33)</f>
        <v>587.14793272316035</v>
      </c>
      <c r="K25" s="91">
        <f>J25*(1+Assumptions!$D$33)</f>
        <v>604.76237070485513</v>
      </c>
      <c r="L25" s="91">
        <f>K25*(1+Assumptions!$D$33)</f>
        <v>622.90524182600075</v>
      </c>
      <c r="M25" s="91">
        <f>L25*(1+Assumptions!$D$33)</f>
        <v>641.59239908078075</v>
      </c>
      <c r="N25" s="91">
        <f>M25*(1+Assumptions!$D$33)</f>
        <v>660.84017105320424</v>
      </c>
      <c r="O25" s="91">
        <f>N25*(1+Assumptions!$D$33)</f>
        <v>680.66537618480038</v>
      </c>
      <c r="P25" s="91">
        <f>O25*(1+Assumptions!$D$33)</f>
        <v>701.08533747034437</v>
      </c>
      <c r="Q25" s="91">
        <f>P25*(1+Assumptions!$D$33)</f>
        <v>722.11789759445469</v>
      </c>
      <c r="R25" s="91">
        <f>Q25*(1+Assumptions!$D$33)</f>
        <v>743.78143452228835</v>
      </c>
      <c r="S25" s="91">
        <f>R25*(1+Assumptions!$D$33)</f>
        <v>766.09487755795703</v>
      </c>
      <c r="T25" s="91">
        <f>S25*(1+Assumptions!$D$33)</f>
        <v>789.07772388469573</v>
      </c>
      <c r="U25" s="91">
        <f>T25*(1+Assumptions!$D$33)</f>
        <v>812.75005560123657</v>
      </c>
      <c r="W25" s="91">
        <f t="shared" si="5"/>
        <v>12454.418575642445</v>
      </c>
    </row>
    <row r="26" spans="1:55">
      <c r="A26" s="3" t="s">
        <v>124</v>
      </c>
      <c r="B26" s="127">
        <f>Assumptions!D39*(1+Assumptions!$D$33)</f>
        <v>213.22957000000002</v>
      </c>
      <c r="C26" s="127">
        <f>B26*(1+Assumptions!$D$33)</f>
        <v>219.62645710000004</v>
      </c>
      <c r="D26" s="127">
        <f>C26*(1+Assumptions!$D$33)</f>
        <v>226.21525081300004</v>
      </c>
      <c r="E26" s="127">
        <f>D26*(1+Assumptions!$D$33)</f>
        <v>233.00170833739006</v>
      </c>
      <c r="F26" s="127">
        <f>E26*(1+Assumptions!$D$33)</f>
        <v>239.99175958751175</v>
      </c>
      <c r="G26" s="127">
        <f>F26*(1+Assumptions!$D$33)</f>
        <v>247.19151237513711</v>
      </c>
      <c r="H26" s="127">
        <f>G26*(1+Assumptions!$D$33)</f>
        <v>254.60725774639124</v>
      </c>
      <c r="I26" s="127">
        <f>H26*(1+Assumptions!$D$33)</f>
        <v>262.24547547878296</v>
      </c>
      <c r="J26" s="127">
        <f>I26*(1+Assumptions!$D$33)</f>
        <v>270.11283974314648</v>
      </c>
      <c r="K26" s="127">
        <f>J26*(1+Assumptions!$D$33)</f>
        <v>278.21622493544089</v>
      </c>
      <c r="L26" s="127">
        <f>K26*(1+Assumptions!$D$33)</f>
        <v>286.56271168350412</v>
      </c>
      <c r="M26" s="127">
        <f>L26*(1+Assumptions!$D$33)</f>
        <v>295.15959303400928</v>
      </c>
      <c r="N26" s="127">
        <f>M26*(1+Assumptions!$D$33)</f>
        <v>304.01438082502955</v>
      </c>
      <c r="O26" s="127">
        <f>N26*(1+Assumptions!$D$33)</f>
        <v>313.13481224978045</v>
      </c>
      <c r="P26" s="127">
        <f>O26*(1+Assumptions!$D$33)</f>
        <v>322.5288566172739</v>
      </c>
      <c r="Q26" s="127">
        <f>P26*(1+Assumptions!$D$33)</f>
        <v>332.20472231579214</v>
      </c>
      <c r="R26" s="127">
        <f>Q26*(1+Assumptions!$D$33)</f>
        <v>342.1708639852659</v>
      </c>
      <c r="S26" s="127">
        <f>R26*(1+Assumptions!$D$33)</f>
        <v>352.43598990482388</v>
      </c>
      <c r="T26" s="127">
        <f>S26*(1+Assumptions!$D$33)</f>
        <v>363.00906960196863</v>
      </c>
      <c r="U26" s="127">
        <f>T26*(1+Assumptions!$D$33)</f>
        <v>373.89934169002771</v>
      </c>
      <c r="W26" s="91">
        <f t="shared" si="5"/>
        <v>5729.5583980242764</v>
      </c>
    </row>
    <row r="27" spans="1:55">
      <c r="A27" s="3" t="s">
        <v>125</v>
      </c>
      <c r="B27" s="127">
        <f>Assumptions!D40*(1+Assumptions!$D$33)</f>
        <v>423.2585866666667</v>
      </c>
      <c r="C27" s="127">
        <f>B27*(1+Assumptions!$D$33)</f>
        <v>435.95634426666669</v>
      </c>
      <c r="D27" s="127">
        <f>C27*(1+Assumptions!$D$33)</f>
        <v>449.03503459466668</v>
      </c>
      <c r="E27" s="127">
        <f>D27*(1+Assumptions!$D$33)</f>
        <v>462.50608563250671</v>
      </c>
      <c r="F27" s="127">
        <f>E27*(1+Assumptions!$D$33)</f>
        <v>476.38126820148193</v>
      </c>
      <c r="G27" s="127">
        <f>F27*(1+Assumptions!$D$33)</f>
        <v>490.67270624752638</v>
      </c>
      <c r="H27" s="127">
        <f>G27*(1+Assumptions!$D$33)</f>
        <v>505.39288743495217</v>
      </c>
      <c r="I27" s="127">
        <f>H27*(1+Assumptions!$D$33)</f>
        <v>520.55467405800073</v>
      </c>
      <c r="J27" s="127">
        <f>I27*(1+Assumptions!$D$33)</f>
        <v>536.17131427974073</v>
      </c>
      <c r="K27" s="127">
        <f>J27*(1+Assumptions!$D$33)</f>
        <v>552.25645370813299</v>
      </c>
      <c r="L27" s="127">
        <f>K27*(1+Assumptions!$D$33)</f>
        <v>568.82414731937695</v>
      </c>
      <c r="M27" s="127">
        <f>L27*(1+Assumptions!$D$33)</f>
        <v>585.8888717389583</v>
      </c>
      <c r="N27" s="127">
        <f>M27*(1+Assumptions!$D$33)</f>
        <v>603.46553789112704</v>
      </c>
      <c r="O27" s="127">
        <f>N27*(1+Assumptions!$D$33)</f>
        <v>621.56950402786083</v>
      </c>
      <c r="P27" s="127">
        <f>O27*(1+Assumptions!$D$33)</f>
        <v>640.2165891486967</v>
      </c>
      <c r="Q27" s="127">
        <f>P27*(1+Assumptions!$D$33)</f>
        <v>659.42308682315763</v>
      </c>
      <c r="R27" s="127">
        <f>Q27*(1+Assumptions!$D$33)</f>
        <v>679.20577942785235</v>
      </c>
      <c r="S27" s="127">
        <f>R27*(1+Assumptions!$D$33)</f>
        <v>699.58195281068788</v>
      </c>
      <c r="T27" s="127">
        <f>S27*(1+Assumptions!$D$33)</f>
        <v>720.5694113950085</v>
      </c>
      <c r="U27" s="127">
        <f>T27*(1+Assumptions!$D$33)</f>
        <v>742.18649373685878</v>
      </c>
      <c r="W27" s="91">
        <f t="shared" si="5"/>
        <v>11373.116729409925</v>
      </c>
    </row>
    <row r="28" spans="1:55">
      <c r="A28" s="3" t="s">
        <v>224</v>
      </c>
      <c r="B28" s="486">
        <v>579.4</v>
      </c>
      <c r="C28" s="486">
        <v>573.6</v>
      </c>
      <c r="D28" s="486">
        <v>567.9</v>
      </c>
      <c r="E28" s="486">
        <v>562.20000000000005</v>
      </c>
      <c r="F28" s="486">
        <v>556.6</v>
      </c>
      <c r="G28" s="486">
        <v>551</v>
      </c>
      <c r="H28" s="486">
        <v>534.5</v>
      </c>
      <c r="I28" s="486">
        <v>518.5</v>
      </c>
      <c r="J28" s="486">
        <v>492.6</v>
      </c>
      <c r="K28" s="486">
        <v>877.7</v>
      </c>
      <c r="L28" s="486">
        <v>694.8</v>
      </c>
      <c r="M28" s="486">
        <v>493.7</v>
      </c>
      <c r="N28" s="486">
        <v>365.7</v>
      </c>
      <c r="O28" s="486">
        <v>365.7</v>
      </c>
      <c r="P28" s="486">
        <v>365.7</v>
      </c>
      <c r="Q28" s="486">
        <v>365.7</v>
      </c>
      <c r="R28" s="486">
        <v>365.7</v>
      </c>
      <c r="S28" s="486">
        <v>365.7</v>
      </c>
      <c r="T28" s="486">
        <v>365.7</v>
      </c>
      <c r="U28" s="486">
        <f>T28</f>
        <v>365.7</v>
      </c>
      <c r="W28" s="91">
        <f t="shared" si="5"/>
        <v>9928.100000000004</v>
      </c>
    </row>
    <row r="29" spans="1:55" s="16" customFormat="1">
      <c r="A29" s="3" t="s">
        <v>219</v>
      </c>
      <c r="B29" s="146">
        <f>B83</f>
        <v>488.0268050307414</v>
      </c>
      <c r="C29" s="146">
        <f t="shared" ref="C29:U29" si="6">C83</f>
        <v>482.19668234100084</v>
      </c>
      <c r="D29" s="146">
        <f t="shared" si="6"/>
        <v>476.09769609399808</v>
      </c>
      <c r="E29" s="146">
        <f t="shared" si="6"/>
        <v>445.32615128151724</v>
      </c>
      <c r="F29" s="146">
        <f t="shared" si="6"/>
        <v>412.58452391350465</v>
      </c>
      <c r="G29" s="146">
        <f t="shared" si="6"/>
        <v>382.89790471115367</v>
      </c>
      <c r="H29" s="146">
        <f t="shared" si="6"/>
        <v>361.57312153001362</v>
      </c>
      <c r="I29" s="146">
        <f t="shared" si="6"/>
        <v>340.10769928369655</v>
      </c>
      <c r="J29" s="146">
        <f t="shared" si="6"/>
        <v>318.73529136505255</v>
      </c>
      <c r="K29" s="146">
        <f t="shared" si="6"/>
        <v>296.61063132517603</v>
      </c>
      <c r="L29" s="146">
        <f t="shared" si="6"/>
        <v>275.77448467875269</v>
      </c>
      <c r="M29" s="146">
        <f t="shared" si="6"/>
        <v>254.82188825656664</v>
      </c>
      <c r="N29" s="146">
        <f t="shared" si="6"/>
        <v>233.55882945754783</v>
      </c>
      <c r="O29" s="146">
        <f t="shared" si="6"/>
        <v>211.92940543714823</v>
      </c>
      <c r="P29" s="146">
        <f t="shared" si="6"/>
        <v>190.22764792453992</v>
      </c>
      <c r="Q29" s="146">
        <f t="shared" si="6"/>
        <v>174.16995578370293</v>
      </c>
      <c r="R29" s="146">
        <f t="shared" si="6"/>
        <v>163.68347736893568</v>
      </c>
      <c r="S29" s="146">
        <f t="shared" si="6"/>
        <v>153.17810974876599</v>
      </c>
      <c r="T29" s="146">
        <f t="shared" si="6"/>
        <v>142.65487609123352</v>
      </c>
      <c r="U29" s="146">
        <f t="shared" si="6"/>
        <v>132.11523284667109</v>
      </c>
      <c r="V29" s="91"/>
      <c r="W29" s="91">
        <f t="shared" si="5"/>
        <v>5936.2704144697209</v>
      </c>
    </row>
    <row r="30" spans="1:55">
      <c r="A30" s="3" t="s">
        <v>72</v>
      </c>
      <c r="B30" s="127">
        <f t="shared" ref="B30:U30" si="7">SUM(B23:B29)</f>
        <v>4024.4484764974086</v>
      </c>
      <c r="C30" s="127">
        <f t="shared" si="7"/>
        <v>4101.5290039516685</v>
      </c>
      <c r="D30" s="127">
        <f t="shared" si="7"/>
        <v>4181.1019873529858</v>
      </c>
      <c r="E30" s="127">
        <f t="shared" si="7"/>
        <v>4238.7435712782735</v>
      </c>
      <c r="F30" s="127">
        <f t="shared" si="7"/>
        <v>4297.3384665101639</v>
      </c>
      <c r="G30" s="127">
        <f t="shared" si="7"/>
        <v>4361.8964655857135</v>
      </c>
      <c r="H30" s="127">
        <f t="shared" si="7"/>
        <v>4426.9116392308106</v>
      </c>
      <c r="I30" s="127">
        <f t="shared" si="7"/>
        <v>4495.3713725155176</v>
      </c>
      <c r="J30" s="127">
        <f t="shared" si="7"/>
        <v>4557.2018747938291</v>
      </c>
      <c r="K30" s="127">
        <f t="shared" si="7"/>
        <v>5032.5532122568147</v>
      </c>
      <c r="L30" s="127">
        <f t="shared" si="7"/>
        <v>4944.5643430383407</v>
      </c>
      <c r="M30" s="127">
        <f t="shared" si="7"/>
        <v>4841.7314423669422</v>
      </c>
      <c r="N30" s="127">
        <f t="shared" si="7"/>
        <v>4815.2646701912354</v>
      </c>
      <c r="O30" s="127">
        <f t="shared" si="7"/>
        <v>4920.1154213928457</v>
      </c>
      <c r="P30" s="127">
        <f t="shared" si="7"/>
        <v>5028.6882443589093</v>
      </c>
      <c r="Q30" s="127">
        <f t="shared" si="7"/>
        <v>5146.8133701111028</v>
      </c>
      <c r="R30" s="127">
        <f t="shared" si="7"/>
        <v>5274.5351941261588</v>
      </c>
      <c r="S30" s="127">
        <f t="shared" si="7"/>
        <v>5406.3843780087045</v>
      </c>
      <c r="T30" s="127">
        <f t="shared" si="7"/>
        <v>5542.4863323989712</v>
      </c>
      <c r="U30" s="127">
        <f t="shared" si="7"/>
        <v>5682.9706328436414</v>
      </c>
      <c r="W30" s="91">
        <f t="shared" si="5"/>
        <v>95320.650098810045</v>
      </c>
    </row>
    <row r="31" spans="1:55" s="62" customFormat="1" outlineLevel="1">
      <c r="A31" s="5"/>
      <c r="B31" s="130"/>
      <c r="C31" s="13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W31" s="91"/>
    </row>
    <row r="32" spans="1:55" s="62" customFormat="1" ht="6.75" customHeight="1">
      <c r="A32" s="5"/>
      <c r="B32" s="130"/>
      <c r="C32" s="131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W32" s="91"/>
    </row>
    <row r="33" spans="1:23" s="57" customFormat="1">
      <c r="A33" s="1" t="s">
        <v>73</v>
      </c>
      <c r="B33" s="132">
        <f t="shared" ref="B33:U33" si="8">B20-B30</f>
        <v>26655.814926446445</v>
      </c>
      <c r="C33" s="132">
        <f t="shared" si="8"/>
        <v>26594.404014465003</v>
      </c>
      <c r="D33" s="132">
        <f t="shared" si="8"/>
        <v>26530.96848449915</v>
      </c>
      <c r="E33" s="132">
        <f t="shared" si="8"/>
        <v>32402.993446807632</v>
      </c>
      <c r="F33" s="132">
        <f t="shared" si="8"/>
        <v>34153.801534384751</v>
      </c>
      <c r="G33" s="132">
        <f t="shared" si="8"/>
        <v>34585.791536978482</v>
      </c>
      <c r="H33" s="132">
        <f t="shared" si="8"/>
        <v>35023.83516195666</v>
      </c>
      <c r="I33" s="132">
        <f t="shared" si="8"/>
        <v>35464.837410504435</v>
      </c>
      <c r="J33" s="132">
        <f t="shared" si="8"/>
        <v>35919.630369246079</v>
      </c>
      <c r="K33" s="132">
        <f t="shared" si="8"/>
        <v>35962.390361231446</v>
      </c>
      <c r="L33" s="132">
        <f t="shared" si="8"/>
        <v>36830.067691383221</v>
      </c>
      <c r="M33" s="132">
        <f t="shared" si="8"/>
        <v>37728.147701204478</v>
      </c>
      <c r="N33" s="132">
        <f t="shared" si="8"/>
        <v>38563.853321460549</v>
      </c>
      <c r="O33" s="132">
        <f t="shared" si="8"/>
        <v>39281.875088582157</v>
      </c>
      <c r="P33" s="132">
        <f t="shared" si="8"/>
        <v>40011.742897127027</v>
      </c>
      <c r="Q33" s="132">
        <f t="shared" si="8"/>
        <v>40539.637684387155</v>
      </c>
      <c r="R33" s="132">
        <f t="shared" si="8"/>
        <v>41068.522882439051</v>
      </c>
      <c r="S33" s="132">
        <f t="shared" si="8"/>
        <v>41601.534456069414</v>
      </c>
      <c r="T33" s="132">
        <f t="shared" si="8"/>
        <v>42140.693911969967</v>
      </c>
      <c r="U33" s="132">
        <f t="shared" si="8"/>
        <v>42685.260400248066</v>
      </c>
      <c r="W33" s="91">
        <f>SUM(B33:U33)</f>
        <v>723745.80328139139</v>
      </c>
    </row>
    <row r="34" spans="1:23" s="57" customFormat="1">
      <c r="A34" s="1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1"/>
    </row>
    <row r="35" spans="1:23">
      <c r="A35" s="3" t="s">
        <v>74</v>
      </c>
      <c r="B35" s="127">
        <f>Depreciation!C21</f>
        <v>6577.5933902507677</v>
      </c>
      <c r="C35" s="127">
        <f>Depreciation!D21</f>
        <v>6577.5933902507677</v>
      </c>
      <c r="D35" s="127">
        <f>Depreciation!E21</f>
        <v>6577.5933902507677</v>
      </c>
      <c r="E35" s="127">
        <f>Depreciation!F21</f>
        <v>6577.5933902507677</v>
      </c>
      <c r="F35" s="127">
        <f>Depreciation!G21</f>
        <v>6577.5933902507677</v>
      </c>
      <c r="G35" s="127">
        <f>Depreciation!H21</f>
        <v>6577.5933902507677</v>
      </c>
      <c r="H35" s="127">
        <f>Depreciation!I21</f>
        <v>6577.5933902507677</v>
      </c>
      <c r="I35" s="127">
        <f>Depreciation!J21</f>
        <v>6577.5933902507677</v>
      </c>
      <c r="J35" s="127">
        <f>Depreciation!K21</f>
        <v>6577.5933902507677</v>
      </c>
      <c r="K35" s="127">
        <f>Depreciation!L21</f>
        <v>6577.5933902507677</v>
      </c>
      <c r="L35" s="127">
        <f>Depreciation!M21</f>
        <v>6577.5933902507677</v>
      </c>
      <c r="M35" s="127">
        <f>Depreciation!N21</f>
        <v>6577.5933902507677</v>
      </c>
      <c r="N35" s="127">
        <f>Depreciation!O21</f>
        <v>6577.5933902507677</v>
      </c>
      <c r="O35" s="127">
        <f>Depreciation!P21</f>
        <v>6577.5933902507677</v>
      </c>
      <c r="P35" s="127">
        <f>Depreciation!Q21</f>
        <v>6577.5933902507677</v>
      </c>
      <c r="Q35" s="127">
        <f>Depreciation!R21</f>
        <v>6577.5933902507677</v>
      </c>
      <c r="R35" s="127">
        <f>Depreciation!S21</f>
        <v>6577.5933902507677</v>
      </c>
      <c r="S35" s="127">
        <f>Depreciation!T21</f>
        <v>6577.5933902507677</v>
      </c>
      <c r="T35" s="127">
        <f>Depreciation!U21</f>
        <v>6577.5933902507677</v>
      </c>
      <c r="U35" s="127">
        <f>Depreciation!V21</f>
        <v>6577.5933902507677</v>
      </c>
      <c r="W35" s="91">
        <f>SUM(B35:U35)</f>
        <v>131551.86780501535</v>
      </c>
    </row>
    <row r="36" spans="1:23">
      <c r="A36" s="3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W36" s="91"/>
    </row>
    <row r="37" spans="1:23" s="57" customFormat="1">
      <c r="A37" s="1" t="s">
        <v>75</v>
      </c>
      <c r="B37" s="132">
        <f t="shared" ref="B37:U37" si="9">B33-B35</f>
        <v>20078.221536195677</v>
      </c>
      <c r="C37" s="132">
        <f t="shared" si="9"/>
        <v>20016.810624214235</v>
      </c>
      <c r="D37" s="132">
        <f t="shared" si="9"/>
        <v>19953.375094248382</v>
      </c>
      <c r="E37" s="132">
        <f t="shared" si="9"/>
        <v>25825.400056556864</v>
      </c>
      <c r="F37" s="132">
        <f t="shared" si="9"/>
        <v>27576.208144133983</v>
      </c>
      <c r="G37" s="132">
        <f t="shared" si="9"/>
        <v>28008.198146727715</v>
      </c>
      <c r="H37" s="132">
        <f t="shared" si="9"/>
        <v>28446.241771705892</v>
      </c>
      <c r="I37" s="132">
        <f t="shared" si="9"/>
        <v>28887.244020253667</v>
      </c>
      <c r="J37" s="132">
        <f t="shared" si="9"/>
        <v>29342.036978995311</v>
      </c>
      <c r="K37" s="132">
        <f t="shared" si="9"/>
        <v>29384.796970980678</v>
      </c>
      <c r="L37" s="132">
        <f t="shared" si="9"/>
        <v>30252.474301132454</v>
      </c>
      <c r="M37" s="132">
        <f t="shared" si="9"/>
        <v>31150.55431095371</v>
      </c>
      <c r="N37" s="132">
        <f t="shared" si="9"/>
        <v>31986.259931209781</v>
      </c>
      <c r="O37" s="132">
        <f t="shared" si="9"/>
        <v>32704.28169833139</v>
      </c>
      <c r="P37" s="132">
        <f t="shared" si="9"/>
        <v>33434.14950687626</v>
      </c>
      <c r="Q37" s="132">
        <f t="shared" si="9"/>
        <v>33962.044294136387</v>
      </c>
      <c r="R37" s="132">
        <f t="shared" si="9"/>
        <v>34490.929492188283</v>
      </c>
      <c r="S37" s="132">
        <f t="shared" si="9"/>
        <v>35023.941065818646</v>
      </c>
      <c r="T37" s="132">
        <f t="shared" si="9"/>
        <v>35563.1005217192</v>
      </c>
      <c r="U37" s="132">
        <f t="shared" si="9"/>
        <v>36107.667009997298</v>
      </c>
      <c r="W37" s="91">
        <f>SUM(B37:U37)</f>
        <v>592193.93547637586</v>
      </c>
    </row>
    <row r="38" spans="1:23" s="57" customFormat="1">
      <c r="A38" s="1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W38" s="91"/>
    </row>
    <row r="39" spans="1:23">
      <c r="A39" s="6" t="s">
        <v>76</v>
      </c>
      <c r="B39" s="127">
        <f>IS!B40*Allocation!$E$8</f>
        <v>11675.414609466459</v>
      </c>
      <c r="C39" s="127">
        <f>IS!C40*Allocation!$E$8</f>
        <v>11418.673912199723</v>
      </c>
      <c r="D39" s="127">
        <f>IS!D40*Allocation!$E$8</f>
        <v>11074.335315815932</v>
      </c>
      <c r="E39" s="127">
        <f>IS!E40*Allocation!$E$8</f>
        <v>10827.427416709614</v>
      </c>
      <c r="F39" s="127">
        <f>IS!F40*Allocation!$E$8</f>
        <v>10518.279890658852</v>
      </c>
      <c r="G39" s="127">
        <f>IS!G40*Allocation!$E$8</f>
        <v>10154.932345093779</v>
      </c>
      <c r="H39" s="127">
        <f>IS!H40*Allocation!$E$8</f>
        <v>9746.5786250638921</v>
      </c>
      <c r="I39" s="127">
        <f>IS!I40*Allocation!$E$8</f>
        <v>9321.9577211614578</v>
      </c>
      <c r="J39" s="127">
        <f>IS!J40*Allocation!$E$8</f>
        <v>8788.7005017961419</v>
      </c>
      <c r="K39" s="127">
        <f>IS!K40*Allocation!$E$8</f>
        <v>8200.6839756607387</v>
      </c>
      <c r="L39" s="127">
        <f>IS!L40*Allocation!$E$8</f>
        <v>7543.9177365482583</v>
      </c>
      <c r="M39" s="127">
        <f>IS!M40*Allocation!$E$8</f>
        <v>6776.9823759911569</v>
      </c>
      <c r="N39" s="127">
        <f>IS!N40*Allocation!$E$8</f>
        <v>5971.9317384949563</v>
      </c>
      <c r="O39" s="127">
        <f>IS!O40*Allocation!$E$8</f>
        <v>5185.9387394683063</v>
      </c>
      <c r="P39" s="127">
        <f>IS!P40*Allocation!$E$8</f>
        <v>4390.0400752484429</v>
      </c>
      <c r="Q39" s="127">
        <f>IS!Q40*Allocation!$E$8</f>
        <v>3565.1781073658171</v>
      </c>
      <c r="R39" s="127">
        <f>IS!R40*Allocation!$E$8</f>
        <v>2690.2494621479314</v>
      </c>
      <c r="S39" s="127">
        <f>IS!S40*Allocation!$E$8</f>
        <v>1865.2798239914655</v>
      </c>
      <c r="T39" s="127">
        <f>IS!T40*Allocation!$E$8</f>
        <v>1157.8861248674798</v>
      </c>
      <c r="U39" s="127">
        <f>IS!U40*Allocation!$E$8</f>
        <v>452.21515012492239</v>
      </c>
      <c r="W39" s="91">
        <f>SUM(B39:U39)</f>
        <v>141326.60364787531</v>
      </c>
    </row>
    <row r="40" spans="1:23" ht="6" customHeight="1">
      <c r="B40" s="67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W40" s="91"/>
    </row>
    <row r="41" spans="1:23" s="57" customFormat="1">
      <c r="A41" s="1" t="s">
        <v>77</v>
      </c>
      <c r="B41" s="132">
        <f t="shared" ref="B41:U41" si="10">B37-B39</f>
        <v>8402.8069267292176</v>
      </c>
      <c r="C41" s="132">
        <f t="shared" si="10"/>
        <v>8598.1367120145114</v>
      </c>
      <c r="D41" s="132">
        <f t="shared" si="10"/>
        <v>8879.0397784324505</v>
      </c>
      <c r="E41" s="132">
        <f t="shared" si="10"/>
        <v>14997.97263984725</v>
      </c>
      <c r="F41" s="132">
        <f t="shared" si="10"/>
        <v>17057.928253475133</v>
      </c>
      <c r="G41" s="132">
        <f t="shared" si="10"/>
        <v>17853.265801633934</v>
      </c>
      <c r="H41" s="132">
        <f t="shared" si="10"/>
        <v>18699.663146642</v>
      </c>
      <c r="I41" s="132">
        <f t="shared" si="10"/>
        <v>19565.286299092208</v>
      </c>
      <c r="J41" s="132">
        <f t="shared" si="10"/>
        <v>20553.336477199169</v>
      </c>
      <c r="K41" s="132">
        <f t="shared" si="10"/>
        <v>21184.112995319942</v>
      </c>
      <c r="L41" s="132">
        <f t="shared" si="10"/>
        <v>22708.556564584196</v>
      </c>
      <c r="M41" s="132">
        <f t="shared" si="10"/>
        <v>24373.571934962554</v>
      </c>
      <c r="N41" s="132">
        <f t="shared" si="10"/>
        <v>26014.328192714824</v>
      </c>
      <c r="O41" s="132">
        <f t="shared" si="10"/>
        <v>27518.342958863082</v>
      </c>
      <c r="P41" s="132">
        <f t="shared" si="10"/>
        <v>29044.109431627818</v>
      </c>
      <c r="Q41" s="132">
        <f t="shared" si="10"/>
        <v>30396.86618677057</v>
      </c>
      <c r="R41" s="132">
        <f t="shared" si="10"/>
        <v>31800.680030040352</v>
      </c>
      <c r="S41" s="132">
        <f t="shared" si="10"/>
        <v>33158.661241827183</v>
      </c>
      <c r="T41" s="132">
        <f t="shared" si="10"/>
        <v>34405.214396851719</v>
      </c>
      <c r="U41" s="132">
        <f t="shared" si="10"/>
        <v>35655.451859872373</v>
      </c>
      <c r="W41" s="91">
        <f>SUM(B41:U41)</f>
        <v>450867.33182850049</v>
      </c>
    </row>
    <row r="42" spans="1:23" s="57" customFormat="1">
      <c r="A42" s="1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W42" s="91"/>
    </row>
    <row r="43" spans="1:23">
      <c r="A43" s="3" t="s">
        <v>78</v>
      </c>
      <c r="B43" s="127">
        <f>B41*-Assumptions!$D$47</f>
        <v>-420.14034633646088</v>
      </c>
      <c r="C43" s="127">
        <f>C41*-Assumptions!$D$47</f>
        <v>-429.90683560072557</v>
      </c>
      <c r="D43" s="127">
        <f>D41*-Assumptions!$D$47</f>
        <v>-443.95198892162256</v>
      </c>
      <c r="E43" s="127">
        <f>E41*-Assumptions!$D$47</f>
        <v>-749.89863199236254</v>
      </c>
      <c r="F43" s="127">
        <f>F41*-Assumptions!$D$47</f>
        <v>-852.89641267375669</v>
      </c>
      <c r="G43" s="127">
        <f>G41*-Assumptions!$D$47</f>
        <v>-892.66329008169669</v>
      </c>
      <c r="H43" s="127">
        <f>H41*-Assumptions!$D$47</f>
        <v>-934.98315733210006</v>
      </c>
      <c r="I43" s="127">
        <f>I41*-Assumptions!$D$47</f>
        <v>-978.26431495461043</v>
      </c>
      <c r="J43" s="127">
        <f>J41*-Assumptions!$D$47</f>
        <v>-1027.6668238599584</v>
      </c>
      <c r="K43" s="127">
        <f>K41*-Assumptions!$D$47</f>
        <v>-1059.2056497659971</v>
      </c>
      <c r="L43" s="127">
        <f>L41*-Assumptions!$D$47</f>
        <v>-1135.4278282292098</v>
      </c>
      <c r="M43" s="127">
        <f>M41*-Assumptions!$D$47</f>
        <v>-1218.6785967481278</v>
      </c>
      <c r="N43" s="127">
        <f>N41*-Assumptions!$D$47</f>
        <v>-1300.7164096357412</v>
      </c>
      <c r="O43" s="127">
        <f>O41*-Assumptions!$D$47</f>
        <v>-1375.9171479431543</v>
      </c>
      <c r="P43" s="127">
        <f>P41*-Assumptions!$D$47</f>
        <v>-1452.2054715813911</v>
      </c>
      <c r="Q43" s="127">
        <f>Q41*-Assumptions!$D$47</f>
        <v>-1519.8433093385286</v>
      </c>
      <c r="R43" s="127">
        <f>R41*-Assumptions!$D$47</f>
        <v>-1590.0340015020176</v>
      </c>
      <c r="S43" s="127">
        <f>S41*-Assumptions!$D$47</f>
        <v>-1657.9330620913593</v>
      </c>
      <c r="T43" s="127">
        <f>T41*-Assumptions!$D$47</f>
        <v>-1720.260719842586</v>
      </c>
      <c r="U43" s="127">
        <f>U41*-Assumptions!$D$47</f>
        <v>-1782.7725929936187</v>
      </c>
      <c r="W43" s="91">
        <f>SUM(B43:U43)</f>
        <v>-22543.36659142503</v>
      </c>
    </row>
    <row r="44" spans="1:23">
      <c r="A44" s="3" t="s">
        <v>79</v>
      </c>
      <c r="B44" s="121">
        <f>(B41+B43)*-Assumptions!$D$46</f>
        <v>-2793.9333031374649</v>
      </c>
      <c r="C44" s="121">
        <f>(C41+C43)*-Assumptions!$D$46</f>
        <v>-2858.8804567448251</v>
      </c>
      <c r="D44" s="121">
        <f>(D41+D43)*-Assumptions!$D$46</f>
        <v>-2952.2807263287896</v>
      </c>
      <c r="E44" s="121">
        <f>(E41+E43)*-Assumptions!$D$46</f>
        <v>-4986.8259027492104</v>
      </c>
      <c r="F44" s="121">
        <f>(F41+F43)*-Assumptions!$D$46</f>
        <v>-5671.7611442804809</v>
      </c>
      <c r="G44" s="121">
        <f>(G41+G43)*-Assumptions!$D$46</f>
        <v>-5936.2108790432821</v>
      </c>
      <c r="H44" s="121">
        <f>(H41+H43)*-Assumptions!$D$46</f>
        <v>-6217.6379962584651</v>
      </c>
      <c r="I44" s="121">
        <f>(I41+I43)*-Assumptions!$D$46</f>
        <v>-6505.4576944481587</v>
      </c>
      <c r="J44" s="121">
        <f>(J41+J43)*-Assumptions!$D$46</f>
        <v>-6833.9843786687234</v>
      </c>
      <c r="K44" s="121">
        <f>(K41+K43)*-Assumptions!$D$46</f>
        <v>-7043.7175709438798</v>
      </c>
      <c r="L44" s="121">
        <f>(L41+L43)*-Assumptions!$D$46</f>
        <v>-7550.5950577242447</v>
      </c>
      <c r="M44" s="121">
        <f>(M41+M43)*-Assumptions!$D$46</f>
        <v>-8104.2126683750494</v>
      </c>
      <c r="N44" s="121">
        <f>(N41+N43)*-Assumptions!$D$46</f>
        <v>-8649.7641240776775</v>
      </c>
      <c r="O44" s="121">
        <f>(O41+O43)*-Assumptions!$D$46</f>
        <v>-9149.8490338219744</v>
      </c>
      <c r="P44" s="121">
        <f>(P41+P43)*-Assumptions!$D$46</f>
        <v>-9657.1663860162498</v>
      </c>
      <c r="Q44" s="121">
        <f>(Q41+Q43)*-Assumptions!$D$46</f>
        <v>-10106.958007101213</v>
      </c>
      <c r="R44" s="121">
        <f>(R41+R43)*-Assumptions!$D$46</f>
        <v>-10573.726109988416</v>
      </c>
      <c r="S44" s="121">
        <f>(S41+S43)*-Assumptions!$D$46</f>
        <v>-11025.254862907537</v>
      </c>
      <c r="T44" s="121">
        <f>(T41+T43)*-Assumptions!$D$46</f>
        <v>-11439.733786953197</v>
      </c>
      <c r="U44" s="121">
        <f>(U41+U43)*-Assumptions!$D$46</f>
        <v>-11855.437743407563</v>
      </c>
      <c r="W44" s="91">
        <f>SUM(B44:U44)</f>
        <v>-149913.38783297638</v>
      </c>
    </row>
    <row r="45" spans="1:23" ht="6" customHeight="1"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W45" s="91"/>
    </row>
    <row r="46" spans="1:23" s="64" customFormat="1" ht="15.75">
      <c r="A46" s="45" t="s">
        <v>256</v>
      </c>
      <c r="B46" s="134">
        <f t="shared" ref="B46:U46" si="11">SUM(B41:B44)</f>
        <v>5188.7332772552927</v>
      </c>
      <c r="C46" s="134">
        <f t="shared" si="11"/>
        <v>5309.3494196689608</v>
      </c>
      <c r="D46" s="134">
        <f t="shared" si="11"/>
        <v>5482.8070631820383</v>
      </c>
      <c r="E46" s="134">
        <f t="shared" si="11"/>
        <v>9261.2481051056784</v>
      </c>
      <c r="F46" s="134">
        <f t="shared" si="11"/>
        <v>10533.270696520894</v>
      </c>
      <c r="G46" s="134">
        <f t="shared" si="11"/>
        <v>11024.391632508952</v>
      </c>
      <c r="H46" s="134">
        <f t="shared" si="11"/>
        <v>11547.041993051436</v>
      </c>
      <c r="I46" s="134">
        <f t="shared" si="11"/>
        <v>12081.564289689439</v>
      </c>
      <c r="J46" s="134">
        <f t="shared" si="11"/>
        <v>12691.685274670486</v>
      </c>
      <c r="K46" s="134">
        <f t="shared" si="11"/>
        <v>13081.189774610064</v>
      </c>
      <c r="L46" s="134">
        <f t="shared" si="11"/>
        <v>14022.533678630742</v>
      </c>
      <c r="M46" s="134">
        <f t="shared" si="11"/>
        <v>15050.680669839378</v>
      </c>
      <c r="N46" s="134">
        <f t="shared" si="11"/>
        <v>16063.847659001405</v>
      </c>
      <c r="O46" s="134">
        <f t="shared" si="11"/>
        <v>16992.576777097955</v>
      </c>
      <c r="P46" s="134">
        <f t="shared" si="11"/>
        <v>17934.73757403018</v>
      </c>
      <c r="Q46" s="134">
        <f t="shared" si="11"/>
        <v>18770.064870330829</v>
      </c>
      <c r="R46" s="134">
        <f t="shared" si="11"/>
        <v>19636.919918549916</v>
      </c>
      <c r="S46" s="134">
        <f t="shared" si="11"/>
        <v>20475.473316828284</v>
      </c>
      <c r="T46" s="134">
        <f t="shared" si="11"/>
        <v>21245.219890055938</v>
      </c>
      <c r="U46" s="134">
        <f t="shared" si="11"/>
        <v>22017.241523471188</v>
      </c>
      <c r="W46" s="91">
        <f>SUM(B46:U46)</f>
        <v>278410.57740409905</v>
      </c>
    </row>
    <row r="47" spans="1:23" s="62" customFormat="1" ht="9" outlineLevel="1">
      <c r="A47" s="4"/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 spans="1:23">
      <c r="A48" s="1"/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3"/>
      <c r="B49" s="56"/>
      <c r="C49" s="5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8.75" outlineLevel="1">
      <c r="A50" s="55" t="s">
        <v>203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2.75" customHeight="1" outlineLevel="1">
      <c r="A52" s="1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 spans="1:55" ht="12.75" customHeight="1" outlineLevel="1">
      <c r="A53" s="1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 spans="1:55" ht="13.5" outlineLevel="1" thickBot="1">
      <c r="A54" s="197" t="s">
        <v>65</v>
      </c>
      <c r="B54" s="8">
        <v>2001</v>
      </c>
      <c r="C54" s="8">
        <f t="shared" ref="C54:U54" si="12">B54+1</f>
        <v>2002</v>
      </c>
      <c r="D54" s="8">
        <f t="shared" si="12"/>
        <v>2003</v>
      </c>
      <c r="E54" s="8">
        <f t="shared" si="12"/>
        <v>2004</v>
      </c>
      <c r="F54" s="8">
        <f t="shared" si="12"/>
        <v>2005</v>
      </c>
      <c r="G54" s="8">
        <f t="shared" si="12"/>
        <v>2006</v>
      </c>
      <c r="H54" s="8">
        <f t="shared" si="12"/>
        <v>2007</v>
      </c>
      <c r="I54" s="8">
        <f t="shared" si="12"/>
        <v>2008</v>
      </c>
      <c r="J54" s="8">
        <f t="shared" si="12"/>
        <v>2009</v>
      </c>
      <c r="K54" s="8">
        <f t="shared" si="12"/>
        <v>2010</v>
      </c>
      <c r="L54" s="8">
        <f t="shared" si="12"/>
        <v>2011</v>
      </c>
      <c r="M54" s="8">
        <f t="shared" si="12"/>
        <v>2012</v>
      </c>
      <c r="N54" s="8">
        <f t="shared" si="12"/>
        <v>2013</v>
      </c>
      <c r="O54" s="8">
        <f t="shared" si="12"/>
        <v>2014</v>
      </c>
      <c r="P54" s="8">
        <f t="shared" si="12"/>
        <v>2015</v>
      </c>
      <c r="Q54" s="8">
        <f t="shared" si="12"/>
        <v>2016</v>
      </c>
      <c r="R54" s="8">
        <f t="shared" si="12"/>
        <v>2017</v>
      </c>
      <c r="S54" s="8">
        <f t="shared" si="12"/>
        <v>2018</v>
      </c>
      <c r="T54" s="8">
        <f t="shared" si="12"/>
        <v>2019</v>
      </c>
      <c r="U54" s="8">
        <f t="shared" si="12"/>
        <v>2020</v>
      </c>
      <c r="W54" s="425" t="s">
        <v>181</v>
      </c>
    </row>
    <row r="55" spans="1:55" outlineLevel="1">
      <c r="A55" s="12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W55" s="44"/>
    </row>
    <row r="56" spans="1:55" outlineLevel="1">
      <c r="A56" s="13" t="s">
        <v>293</v>
      </c>
      <c r="B56" s="67">
        <f>B33-B12</f>
        <v>19127.283319746377</v>
      </c>
      <c r="C56" s="67">
        <f>C33-C12</f>
        <v>19065.872407764935</v>
      </c>
      <c r="D56" s="67">
        <f>D33-D12</f>
        <v>19002.436877799082</v>
      </c>
      <c r="E56" s="67">
        <f t="shared" ref="E56:U56" si="13">E33</f>
        <v>32402.993446807632</v>
      </c>
      <c r="F56" s="67">
        <f t="shared" si="13"/>
        <v>34153.801534384751</v>
      </c>
      <c r="G56" s="67">
        <f t="shared" si="13"/>
        <v>34585.791536978482</v>
      </c>
      <c r="H56" s="67">
        <f t="shared" si="13"/>
        <v>35023.83516195666</v>
      </c>
      <c r="I56" s="67">
        <f t="shared" si="13"/>
        <v>35464.837410504435</v>
      </c>
      <c r="J56" s="67">
        <f t="shared" si="13"/>
        <v>35919.630369246079</v>
      </c>
      <c r="K56" s="67">
        <f t="shared" si="13"/>
        <v>35962.390361231446</v>
      </c>
      <c r="L56" s="67">
        <f t="shared" si="13"/>
        <v>36830.067691383221</v>
      </c>
      <c r="M56" s="67">
        <f t="shared" si="13"/>
        <v>37728.147701204478</v>
      </c>
      <c r="N56" s="67">
        <f t="shared" si="13"/>
        <v>38563.853321460549</v>
      </c>
      <c r="O56" s="67">
        <f t="shared" si="13"/>
        <v>39281.875088582157</v>
      </c>
      <c r="P56" s="67">
        <f t="shared" si="13"/>
        <v>40011.742897127027</v>
      </c>
      <c r="Q56" s="67">
        <f t="shared" si="13"/>
        <v>40539.637684387155</v>
      </c>
      <c r="R56" s="67">
        <f t="shared" si="13"/>
        <v>41068.522882439051</v>
      </c>
      <c r="S56" s="67">
        <f t="shared" si="13"/>
        <v>41601.534456069414</v>
      </c>
      <c r="T56" s="67">
        <f t="shared" si="13"/>
        <v>42140.693911969967</v>
      </c>
      <c r="U56" s="67">
        <f t="shared" si="13"/>
        <v>42685.260400248066</v>
      </c>
      <c r="W56" s="426">
        <f>SUM(B56:U56)</f>
        <v>701160.20846129116</v>
      </c>
    </row>
    <row r="57" spans="1:55">
      <c r="A57" s="13" t="s">
        <v>195</v>
      </c>
      <c r="B57" s="67">
        <f>B28</f>
        <v>579.4</v>
      </c>
      <c r="C57" s="67">
        <f t="shared" ref="C57:T57" si="14">C28</f>
        <v>573.6</v>
      </c>
      <c r="D57" s="67">
        <f t="shared" si="14"/>
        <v>567.9</v>
      </c>
      <c r="E57" s="67">
        <f t="shared" si="14"/>
        <v>562.20000000000005</v>
      </c>
      <c r="F57" s="67">
        <f t="shared" si="14"/>
        <v>556.6</v>
      </c>
      <c r="G57" s="67">
        <f t="shared" si="14"/>
        <v>551</v>
      </c>
      <c r="H57" s="67">
        <f t="shared" si="14"/>
        <v>534.5</v>
      </c>
      <c r="I57" s="67">
        <f t="shared" si="14"/>
        <v>518.5</v>
      </c>
      <c r="J57" s="67">
        <f t="shared" si="14"/>
        <v>492.6</v>
      </c>
      <c r="K57" s="67">
        <f t="shared" si="14"/>
        <v>877.7</v>
      </c>
      <c r="L57" s="67">
        <f t="shared" si="14"/>
        <v>694.8</v>
      </c>
      <c r="M57" s="67">
        <f t="shared" si="14"/>
        <v>493.7</v>
      </c>
      <c r="N57" s="67">
        <f t="shared" si="14"/>
        <v>365.7</v>
      </c>
      <c r="O57" s="67">
        <f t="shared" si="14"/>
        <v>365.7</v>
      </c>
      <c r="P57" s="67">
        <f t="shared" si="14"/>
        <v>365.7</v>
      </c>
      <c r="Q57" s="67">
        <f t="shared" si="14"/>
        <v>365.7</v>
      </c>
      <c r="R57" s="67">
        <f t="shared" si="14"/>
        <v>365.7</v>
      </c>
      <c r="S57" s="67">
        <f t="shared" si="14"/>
        <v>365.7</v>
      </c>
      <c r="T57" s="67">
        <f t="shared" si="14"/>
        <v>365.7</v>
      </c>
      <c r="U57" s="67">
        <f>T57</f>
        <v>365.7</v>
      </c>
      <c r="W57" s="426">
        <f>SUM(B57:U57)</f>
        <v>9928.100000000004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</row>
    <row r="58" spans="1:55">
      <c r="A58" s="13" t="s">
        <v>196</v>
      </c>
      <c r="B58" s="495">
        <v>-591.20000000000005</v>
      </c>
      <c r="C58" s="67">
        <f>-B57</f>
        <v>-579.4</v>
      </c>
      <c r="D58" s="67">
        <f t="shared" ref="D58:U58" si="15">-C57</f>
        <v>-573.6</v>
      </c>
      <c r="E58" s="67">
        <f t="shared" si="15"/>
        <v>-567.9</v>
      </c>
      <c r="F58" s="67">
        <f t="shared" si="15"/>
        <v>-562.20000000000005</v>
      </c>
      <c r="G58" s="67">
        <f t="shared" si="15"/>
        <v>-556.6</v>
      </c>
      <c r="H58" s="67">
        <f t="shared" si="15"/>
        <v>-551</v>
      </c>
      <c r="I58" s="67">
        <f t="shared" si="15"/>
        <v>-534.5</v>
      </c>
      <c r="J58" s="67">
        <f t="shared" si="15"/>
        <v>-518.5</v>
      </c>
      <c r="K58" s="67">
        <f t="shared" si="15"/>
        <v>-492.6</v>
      </c>
      <c r="L58" s="67">
        <f t="shared" si="15"/>
        <v>-877.7</v>
      </c>
      <c r="M58" s="67">
        <f t="shared" si="15"/>
        <v>-694.8</v>
      </c>
      <c r="N58" s="67">
        <f t="shared" si="15"/>
        <v>-493.7</v>
      </c>
      <c r="O58" s="67">
        <f t="shared" si="15"/>
        <v>-365.7</v>
      </c>
      <c r="P58" s="67">
        <f t="shared" si="15"/>
        <v>-365.7</v>
      </c>
      <c r="Q58" s="67">
        <f t="shared" si="15"/>
        <v>-365.7</v>
      </c>
      <c r="R58" s="67">
        <f t="shared" si="15"/>
        <v>-365.7</v>
      </c>
      <c r="S58" s="67">
        <f t="shared" si="15"/>
        <v>-365.7</v>
      </c>
      <c r="T58" s="67">
        <f t="shared" si="15"/>
        <v>-365.7</v>
      </c>
      <c r="U58" s="67">
        <f t="shared" si="15"/>
        <v>-365.7</v>
      </c>
      <c r="W58" s="426">
        <f>SUM(B58:U58)</f>
        <v>-10153.600000000004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</row>
    <row r="59" spans="1:55" outlineLevel="1">
      <c r="A59" s="13" t="s">
        <v>81</v>
      </c>
      <c r="B59" s="424">
        <f>-Debt!B77*Allocation!$E$8</f>
        <v>-14819.979432973667</v>
      </c>
      <c r="C59" s="424">
        <f>-Debt!C77*Allocation!$E$8</f>
        <v>-14791.473279348578</v>
      </c>
      <c r="D59" s="424">
        <f>-Debt!D77*Allocation!$E$8</f>
        <v>-14700.728620344404</v>
      </c>
      <c r="E59" s="424">
        <f>-Debt!E77*Allocation!$E$8</f>
        <v>-13148.787305030688</v>
      </c>
      <c r="F59" s="424">
        <f>-Debt!F77*Allocation!$E$8</f>
        <v>-13713.56350164198</v>
      </c>
      <c r="G59" s="424">
        <f>-Debt!G77*Allocation!$E$8</f>
        <v>-13787.177817407934</v>
      </c>
      <c r="H59" s="424">
        <f>-Debt!H77*Allocation!$E$8</f>
        <v>-13706.545493376319</v>
      </c>
      <c r="I59" s="424">
        <f>-Debt!I77*Allocation!$E$8</f>
        <v>-13828.126916137664</v>
      </c>
      <c r="J59" s="424">
        <f>-Debt!J77*Allocation!$E$8</f>
        <v>-13731.831558103377</v>
      </c>
      <c r="K59" s="424">
        <f>-Debt!K77*Allocation!$E$8</f>
        <v>-14006.034419058657</v>
      </c>
      <c r="L59" s="424">
        <f>-Debt!L77*Allocation!$E$8</f>
        <v>-14566.519079368321</v>
      </c>
      <c r="M59" s="424">
        <f>-Debt!M77*Allocation!$E$8</f>
        <v>-13799.58371881122</v>
      </c>
      <c r="N59" s="424">
        <f>-Debt!N77*Allocation!$E$8</f>
        <v>-12994.533081315019</v>
      </c>
      <c r="O59" s="424">
        <f>-Debt!O77*Allocation!$E$8</f>
        <v>-12208.540082288369</v>
      </c>
      <c r="P59" s="424">
        <f>-Debt!P77*Allocation!$E$8</f>
        <v>-11763.771485209511</v>
      </c>
      <c r="Q59" s="424">
        <f>-Debt!Q77*Allocation!$E$8</f>
        <v>-11290.039584467888</v>
      </c>
      <c r="R59" s="424">
        <f>-Debt!R77*Allocation!$E$8</f>
        <v>-10415.11093925</v>
      </c>
      <c r="S59" s="424">
        <f>-Debt!S77*Allocation!$E$8</f>
        <v>-8185.6210325295224</v>
      </c>
      <c r="T59" s="424">
        <f>-Debt!T77*Allocation!$E$8</f>
        <v>-7478.2273334055371</v>
      </c>
      <c r="U59" s="424">
        <f>-Debt!U77*Allocation!$E$8</f>
        <v>-6070.2962243809789</v>
      </c>
      <c r="W59" s="426">
        <f>SUM(B59:U59)</f>
        <v>-249006.49090444969</v>
      </c>
    </row>
    <row r="60" spans="1:55" outlineLevel="1">
      <c r="A60" s="13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W60" s="427"/>
    </row>
    <row r="61" spans="1:55" s="57" customFormat="1" outlineLevel="1">
      <c r="A61" s="12" t="s">
        <v>82</v>
      </c>
      <c r="B61" s="136">
        <f t="shared" ref="B61:U61" si="16">SUM(B56:B59)</f>
        <v>4295.5038867727108</v>
      </c>
      <c r="C61" s="136">
        <f t="shared" si="16"/>
        <v>4268.5991284163538</v>
      </c>
      <c r="D61" s="136">
        <f t="shared" si="16"/>
        <v>4296.0082574546814</v>
      </c>
      <c r="E61" s="136">
        <f t="shared" si="16"/>
        <v>19248.506141776939</v>
      </c>
      <c r="F61" s="136">
        <f t="shared" si="16"/>
        <v>20434.638032742772</v>
      </c>
      <c r="G61" s="136">
        <f t="shared" si="16"/>
        <v>20793.01371957055</v>
      </c>
      <c r="H61" s="136">
        <f t="shared" si="16"/>
        <v>21300.789668580343</v>
      </c>
      <c r="I61" s="136">
        <f t="shared" si="16"/>
        <v>21620.710494366773</v>
      </c>
      <c r="J61" s="136">
        <f t="shared" si="16"/>
        <v>22161.898811142702</v>
      </c>
      <c r="K61" s="136">
        <f t="shared" si="16"/>
        <v>22341.45594217279</v>
      </c>
      <c r="L61" s="136">
        <f t="shared" si="16"/>
        <v>22080.648612014906</v>
      </c>
      <c r="M61" s="136">
        <f t="shared" si="16"/>
        <v>23727.463982393252</v>
      </c>
      <c r="N61" s="136">
        <f t="shared" si="16"/>
        <v>25441.320240145527</v>
      </c>
      <c r="O61" s="136">
        <f t="shared" si="16"/>
        <v>27073.33500629379</v>
      </c>
      <c r="P61" s="136">
        <f t="shared" si="16"/>
        <v>28247.971411917519</v>
      </c>
      <c r="Q61" s="136">
        <f t="shared" si="16"/>
        <v>29249.598099919269</v>
      </c>
      <c r="R61" s="136">
        <f t="shared" si="16"/>
        <v>30653.41194318905</v>
      </c>
      <c r="S61" s="136">
        <f t="shared" si="16"/>
        <v>33415.913423539889</v>
      </c>
      <c r="T61" s="136">
        <f t="shared" si="16"/>
        <v>34662.466578564432</v>
      </c>
      <c r="U61" s="136">
        <f t="shared" si="16"/>
        <v>36614.964175867084</v>
      </c>
      <c r="W61" s="426">
        <f>SUM(B61:U61)</f>
        <v>451928.21755684132</v>
      </c>
    </row>
    <row r="62" spans="1:55" outlineLevel="1">
      <c r="A62" s="12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W62" s="427"/>
    </row>
    <row r="63" spans="1:55" outlineLevel="1">
      <c r="A63" s="13" t="s">
        <v>109</v>
      </c>
      <c r="B63" s="121">
        <f>-B102</f>
        <v>0</v>
      </c>
      <c r="C63" s="121">
        <f t="shared" ref="C63:U63" si="17">-C102</f>
        <v>0</v>
      </c>
      <c r="D63" s="121">
        <f t="shared" si="17"/>
        <v>0</v>
      </c>
      <c r="E63" s="121">
        <f t="shared" si="17"/>
        <v>0</v>
      </c>
      <c r="F63" s="121">
        <f t="shared" si="17"/>
        <v>0</v>
      </c>
      <c r="G63" s="121">
        <f t="shared" si="17"/>
        <v>-370.71672366199221</v>
      </c>
      <c r="H63" s="121">
        <f t="shared" si="17"/>
        <v>-691.09670426919706</v>
      </c>
      <c r="I63" s="121">
        <f t="shared" si="17"/>
        <v>-733.40707185344399</v>
      </c>
      <c r="J63" s="121">
        <f t="shared" si="17"/>
        <v>-783.78037079705553</v>
      </c>
      <c r="K63" s="121">
        <f t="shared" si="17"/>
        <v>-814.34840666483069</v>
      </c>
      <c r="L63" s="121">
        <f t="shared" si="17"/>
        <v>-891.54137516630692</v>
      </c>
      <c r="M63" s="121">
        <f t="shared" si="17"/>
        <v>-973.82135364696114</v>
      </c>
      <c r="N63" s="121">
        <f t="shared" si="17"/>
        <v>-1056.8299565728382</v>
      </c>
      <c r="O63" s="121">
        <f t="shared" si="17"/>
        <v>-1131.0599048419879</v>
      </c>
      <c r="P63" s="121">
        <f t="shared" si="17"/>
        <v>-1208.3190185184878</v>
      </c>
      <c r="Q63" s="121">
        <f t="shared" si="17"/>
        <v>-1562.339917563346</v>
      </c>
      <c r="R63" s="121">
        <f t="shared" si="17"/>
        <v>-1918.9136710145563</v>
      </c>
      <c r="S63" s="121">
        <f t="shared" si="17"/>
        <v>-1986.8127316038976</v>
      </c>
      <c r="T63" s="121">
        <f t="shared" si="17"/>
        <v>-2049.1403893551246</v>
      </c>
      <c r="U63" s="121">
        <f t="shared" si="17"/>
        <v>-2111.6522625061571</v>
      </c>
      <c r="W63" s="426">
        <f>SUM(B63:U63)</f>
        <v>-18283.779858036185</v>
      </c>
    </row>
    <row r="64" spans="1:55" outlineLevel="1">
      <c r="A64" s="13" t="s">
        <v>110</v>
      </c>
      <c r="B64" s="128">
        <f>-Allocation!$E$8*Tax!B24</f>
        <v>0</v>
      </c>
      <c r="C64" s="128">
        <f>-Allocation!$E$8*Tax!C24</f>
        <v>0</v>
      </c>
      <c r="D64" s="128">
        <f>-Allocation!$E$8*Tax!D24</f>
        <v>0</v>
      </c>
      <c r="E64" s="128">
        <f>-Allocation!$E$8*Tax!E24</f>
        <v>0</v>
      </c>
      <c r="F64" s="128">
        <f>-Allocation!$E$8*Tax!F24</f>
        <v>0</v>
      </c>
      <c r="G64" s="128">
        <f>-Allocation!$E$8*Tax!G24</f>
        <v>-1155.5031547733477</v>
      </c>
      <c r="H64" s="128">
        <f>-Allocation!$E$8*Tax!H24</f>
        <v>-4492.7045671161277</v>
      </c>
      <c r="I64" s="128">
        <f>-Allocation!$E$8*Tax!I24</f>
        <v>-4725.7394292732688</v>
      </c>
      <c r="J64" s="128">
        <f>-Allocation!$E$8*Tax!J24</f>
        <v>-5080.6010545247927</v>
      </c>
      <c r="K64" s="128">
        <f>-Allocation!$E$8*Tax!K24</f>
        <v>-5401.4041883452101</v>
      </c>
      <c r="L64" s="128">
        <f>-Allocation!$E$8*Tax!L24</f>
        <v>-5854.7162424685812</v>
      </c>
      <c r="M64" s="128">
        <f>-Allocation!$E$8*Tax!M24</f>
        <v>-6344.5247328525511</v>
      </c>
      <c r="N64" s="128">
        <f>-Allocation!$E$8*Tax!N24</f>
        <v>-6838.0204477838406</v>
      </c>
      <c r="O64" s="128">
        <f>-Allocation!$E$8*Tax!O24</f>
        <v>-7320.530059014055</v>
      </c>
      <c r="P64" s="128">
        <f>-Allocation!$E$8*Tax!P24</f>
        <v>-7797.9432242866087</v>
      </c>
      <c r="Q64" s="128">
        <f>-Allocation!$E$8*Tax!Q24</f>
        <v>-10218.97793279237</v>
      </c>
      <c r="R64" s="128">
        <f>-Allocation!$E$8*Tax!R24</f>
        <v>-12627.84846481975</v>
      </c>
      <c r="S64" s="128">
        <f>-Allocation!$E$8*Tax!S24</f>
        <v>-13071.821535577888</v>
      </c>
      <c r="T64" s="128">
        <f>-Allocation!$E$8*Tax!T24</f>
        <v>-13479.154044678444</v>
      </c>
      <c r="U64" s="128">
        <f>-Allocation!$E$8*Tax!U24</f>
        <v>-13888.294166321022</v>
      </c>
      <c r="W64" s="426">
        <f>SUM(B64:U64)</f>
        <v>-118297.78324462786</v>
      </c>
    </row>
    <row r="65" spans="1:44" outlineLevel="1">
      <c r="A65" s="13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W65" s="427"/>
    </row>
    <row r="66" spans="1:44" s="64" customFormat="1" ht="15.75" outlineLevel="1">
      <c r="A66" s="46" t="s">
        <v>83</v>
      </c>
      <c r="B66" s="137">
        <f t="shared" ref="B66:U66" si="18">B61+B64+B63</f>
        <v>4295.5038867727108</v>
      </c>
      <c r="C66" s="137">
        <f t="shared" si="18"/>
        <v>4268.5991284163538</v>
      </c>
      <c r="D66" s="137">
        <f t="shared" si="18"/>
        <v>4296.0082574546814</v>
      </c>
      <c r="E66" s="137">
        <f t="shared" si="18"/>
        <v>19248.506141776939</v>
      </c>
      <c r="F66" s="137">
        <f t="shared" si="18"/>
        <v>20434.638032742772</v>
      </c>
      <c r="G66" s="137">
        <f t="shared" si="18"/>
        <v>19266.793841135208</v>
      </c>
      <c r="H66" s="137">
        <f t="shared" si="18"/>
        <v>16116.988397195017</v>
      </c>
      <c r="I66" s="137">
        <f t="shared" si="18"/>
        <v>16161.563993240061</v>
      </c>
      <c r="J66" s="137">
        <f t="shared" si="18"/>
        <v>16297.517385820855</v>
      </c>
      <c r="K66" s="137">
        <f t="shared" si="18"/>
        <v>16125.703347162751</v>
      </c>
      <c r="L66" s="137">
        <f t="shared" si="18"/>
        <v>15334.390994380017</v>
      </c>
      <c r="M66" s="137">
        <f t="shared" si="18"/>
        <v>16409.117895893738</v>
      </c>
      <c r="N66" s="137">
        <f t="shared" si="18"/>
        <v>17546.469835788848</v>
      </c>
      <c r="O66" s="137">
        <f t="shared" si="18"/>
        <v>18621.745042437749</v>
      </c>
      <c r="P66" s="137">
        <f t="shared" si="18"/>
        <v>19241.709169112422</v>
      </c>
      <c r="Q66" s="137">
        <f t="shared" si="18"/>
        <v>17468.280249563555</v>
      </c>
      <c r="R66" s="137">
        <f t="shared" si="18"/>
        <v>16106.649807354746</v>
      </c>
      <c r="S66" s="137">
        <f t="shared" si="18"/>
        <v>18357.279156358101</v>
      </c>
      <c r="T66" s="137">
        <f t="shared" si="18"/>
        <v>19134.172144530865</v>
      </c>
      <c r="U66" s="137">
        <f t="shared" si="18"/>
        <v>20615.017747039907</v>
      </c>
      <c r="W66" s="426">
        <f>SUM(B66:U66)</f>
        <v>315346.65445417736</v>
      </c>
    </row>
    <row r="67" spans="1:44" outlineLevel="1">
      <c r="A67" s="68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44" outlineLevel="1">
      <c r="A68" s="68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</row>
    <row r="69" spans="1:44" outlineLevel="1">
      <c r="A69" s="6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</row>
    <row r="70" spans="1:44" ht="18.75" outlineLevel="1">
      <c r="A70" s="55" t="s">
        <v>220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44" outlineLevel="1">
      <c r="A71" s="57"/>
      <c r="B71" s="18"/>
      <c r="C71" s="18"/>
      <c r="D71" s="18"/>
      <c r="E71" s="18"/>
      <c r="F71" s="18"/>
      <c r="G71" s="138"/>
      <c r="H71" s="18"/>
      <c r="I71" s="18"/>
      <c r="J71" s="18"/>
      <c r="K71" s="18"/>
      <c r="L71" s="18"/>
      <c r="M71" s="138"/>
      <c r="N71" s="18"/>
      <c r="O71" s="18"/>
      <c r="P71" s="18"/>
      <c r="Q71" s="18"/>
      <c r="R71" s="18"/>
      <c r="S71" s="138"/>
      <c r="T71" s="18"/>
      <c r="U71" s="18"/>
    </row>
    <row r="72" spans="1:44" outlineLevel="1">
      <c r="A72" s="230"/>
      <c r="B72" s="248">
        <v>3</v>
      </c>
      <c r="C72" s="248">
        <v>4</v>
      </c>
      <c r="D72" s="248">
        <v>5</v>
      </c>
      <c r="E72" s="249">
        <v>6</v>
      </c>
      <c r="F72" s="248">
        <v>7</v>
      </c>
      <c r="G72" s="248">
        <v>8</v>
      </c>
      <c r="H72" s="248">
        <v>9</v>
      </c>
      <c r="I72" s="248">
        <v>10</v>
      </c>
      <c r="J72" s="248">
        <v>11</v>
      </c>
      <c r="K72" s="249">
        <v>12</v>
      </c>
      <c r="L72" s="248">
        <v>13</v>
      </c>
      <c r="M72" s="248">
        <v>14</v>
      </c>
      <c r="N72" s="248">
        <v>15</v>
      </c>
      <c r="O72" s="248">
        <v>16</v>
      </c>
      <c r="P72" s="248">
        <v>17</v>
      </c>
      <c r="Q72" s="249">
        <v>18</v>
      </c>
      <c r="R72" s="248">
        <v>19</v>
      </c>
      <c r="S72" s="248">
        <v>20</v>
      </c>
      <c r="T72" s="248">
        <v>21</v>
      </c>
      <c r="U72" s="248">
        <v>22</v>
      </c>
    </row>
    <row r="73" spans="1:44" ht="13.5" outlineLevel="1" thickBot="1">
      <c r="A73" s="197" t="s">
        <v>65</v>
      </c>
      <c r="B73" s="8">
        <v>2001</v>
      </c>
      <c r="C73" s="8">
        <v>2002</v>
      </c>
      <c r="D73" s="8">
        <v>2003</v>
      </c>
      <c r="E73" s="8">
        <v>2004</v>
      </c>
      <c r="F73" s="8">
        <v>2005</v>
      </c>
      <c r="G73" s="8">
        <v>2006</v>
      </c>
      <c r="H73" s="8">
        <v>2007</v>
      </c>
      <c r="I73" s="8">
        <v>2008</v>
      </c>
      <c r="J73" s="8">
        <v>2009</v>
      </c>
      <c r="K73" s="8">
        <v>2010</v>
      </c>
      <c r="L73" s="8">
        <v>2011</v>
      </c>
      <c r="M73" s="8">
        <v>2012</v>
      </c>
      <c r="N73" s="8">
        <v>2013</v>
      </c>
      <c r="O73" s="8">
        <v>2014</v>
      </c>
      <c r="P73" s="8">
        <v>2015</v>
      </c>
      <c r="Q73" s="8">
        <v>2016</v>
      </c>
      <c r="R73" s="8">
        <v>2017</v>
      </c>
      <c r="S73" s="8">
        <v>2018</v>
      </c>
      <c r="T73" s="8">
        <v>2019</v>
      </c>
      <c r="U73" s="8">
        <v>2020</v>
      </c>
    </row>
    <row r="74" spans="1:44" outlineLevel="1">
      <c r="A74" s="230"/>
      <c r="B74" s="255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30"/>
      <c r="B75" s="25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44" outlineLevel="1">
      <c r="A76" s="231" t="s">
        <v>216</v>
      </c>
      <c r="B76" s="255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44" outlineLevel="1">
      <c r="A77" s="230"/>
      <c r="B77" s="255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44" outlineLevel="1">
      <c r="A78" s="7" t="s">
        <v>214</v>
      </c>
      <c r="B78" s="469">
        <f>Depreciation!$B$20*'Summary Output'!$B$8</f>
        <v>89782.170188746895</v>
      </c>
      <c r="C78" s="469">
        <f>Depreciation!$B$20*'Summary Output'!$B$8</f>
        <v>89782.170188746895</v>
      </c>
      <c r="D78" s="469">
        <f>Depreciation!$B$20*'Summary Output'!$B$8</f>
        <v>89782.170188746895</v>
      </c>
      <c r="E78" s="469">
        <f>Depreciation!$B$20*'Summary Output'!$B$8</f>
        <v>89782.170188746895</v>
      </c>
      <c r="F78" s="469">
        <f>Depreciation!$B$20*'Summary Output'!$B$8</f>
        <v>89782.170188746895</v>
      </c>
      <c r="G78" s="469">
        <f>Depreciation!$B$20*'Summary Output'!$B$8</f>
        <v>89782.170188746895</v>
      </c>
      <c r="H78" s="469">
        <f>Depreciation!$B$20*'Summary Output'!$B$8</f>
        <v>89782.170188746895</v>
      </c>
      <c r="I78" s="469">
        <f>Depreciation!$B$20*'Summary Output'!$B$8</f>
        <v>89782.170188746895</v>
      </c>
      <c r="J78" s="469">
        <f>Depreciation!$B$20*'Summary Output'!$B$8</f>
        <v>89782.170188746895</v>
      </c>
      <c r="K78" s="469">
        <f>Depreciation!$B$20*'Summary Output'!$B$8</f>
        <v>89782.170188746895</v>
      </c>
      <c r="L78" s="469">
        <f>Depreciation!$B$20*'Summary Output'!$B$8</f>
        <v>89782.170188746895</v>
      </c>
      <c r="M78" s="469">
        <f>Depreciation!$B$20*'Summary Output'!$B$8</f>
        <v>89782.170188746895</v>
      </c>
      <c r="N78" s="469">
        <f>Depreciation!$B$20*'Summary Output'!$B$8</f>
        <v>89782.170188746895</v>
      </c>
      <c r="O78" s="469">
        <f>Depreciation!$B$20*'Summary Output'!$B$8</f>
        <v>89782.170188746895</v>
      </c>
      <c r="P78" s="469">
        <f>Depreciation!$B$20*'Summary Output'!$B$8</f>
        <v>89782.170188746895</v>
      </c>
      <c r="Q78" s="469">
        <f>Depreciation!$B$20*'Summary Output'!$B$8</f>
        <v>89782.170188746895</v>
      </c>
      <c r="R78" s="469">
        <f>Depreciation!$B$20*'Summary Output'!$B$8</f>
        <v>89782.170188746895</v>
      </c>
      <c r="S78" s="469">
        <f>Depreciation!$B$20*'Summary Output'!$B$8</f>
        <v>89782.170188746895</v>
      </c>
      <c r="T78" s="469">
        <f>Depreciation!$B$20*'Summary Output'!$B$8</f>
        <v>89782.170188746895</v>
      </c>
      <c r="U78" s="469">
        <f>Depreciation!$B$20*'Summary Output'!$B$8</f>
        <v>89782.170188746895</v>
      </c>
    </row>
    <row r="79" spans="1:44" outlineLevel="1">
      <c r="A79" s="473" t="s">
        <v>221</v>
      </c>
      <c r="B79" s="470">
        <f>B46-B66</f>
        <v>893.22939048258195</v>
      </c>
      <c r="C79" s="470">
        <f t="shared" ref="C79:U79" si="19">C46-C66+B79</f>
        <v>1933.9796817351889</v>
      </c>
      <c r="D79" s="470">
        <f t="shared" si="19"/>
        <v>3120.7784874625459</v>
      </c>
      <c r="E79" s="470">
        <f t="shared" si="19"/>
        <v>-6866.4795492087151</v>
      </c>
      <c r="F79" s="470">
        <f t="shared" si="19"/>
        <v>-16767.846885430594</v>
      </c>
      <c r="G79" s="470">
        <f t="shared" si="19"/>
        <v>-25010.24909405685</v>
      </c>
      <c r="H79" s="470">
        <f t="shared" si="19"/>
        <v>-29580.195498200432</v>
      </c>
      <c r="I79" s="470">
        <f t="shared" si="19"/>
        <v>-33660.195201751056</v>
      </c>
      <c r="J79" s="470">
        <f t="shared" si="19"/>
        <v>-37266.027312901424</v>
      </c>
      <c r="K79" s="470">
        <f t="shared" si="19"/>
        <v>-40310.540885454109</v>
      </c>
      <c r="L79" s="470">
        <f t="shared" si="19"/>
        <v>-41622.398201203381</v>
      </c>
      <c r="M79" s="470">
        <f t="shared" si="19"/>
        <v>-42980.835427257742</v>
      </c>
      <c r="N79" s="470">
        <f t="shared" si="19"/>
        <v>-44463.457604045187</v>
      </c>
      <c r="O79" s="470">
        <f t="shared" si="19"/>
        <v>-46092.625869384981</v>
      </c>
      <c r="P79" s="470">
        <f t="shared" si="19"/>
        <v>-47399.597464467224</v>
      </c>
      <c r="Q79" s="470">
        <f t="shared" si="19"/>
        <v>-46097.812843699954</v>
      </c>
      <c r="R79" s="470">
        <f t="shared" si="19"/>
        <v>-42567.542732504786</v>
      </c>
      <c r="S79" s="470">
        <f t="shared" si="19"/>
        <v>-40449.348572034607</v>
      </c>
      <c r="T79" s="470">
        <f t="shared" si="19"/>
        <v>-38338.300826509534</v>
      </c>
      <c r="U79" s="470">
        <f t="shared" si="19"/>
        <v>-36936.077050078253</v>
      </c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M79" s="470"/>
      <c r="AN79" s="470"/>
      <c r="AO79" s="470"/>
      <c r="AP79" s="470"/>
      <c r="AQ79" s="470"/>
      <c r="AR79" s="470"/>
    </row>
    <row r="80" spans="1:44" outlineLevel="1">
      <c r="A80" s="473" t="s">
        <v>222</v>
      </c>
      <c r="B80" s="471">
        <f>Debt!B73*Allocation!$E$8</f>
        <v>104535.32243306709</v>
      </c>
      <c r="C80" s="471">
        <f>Debt!C73*Allocation!$E$8</f>
        <v>101162.52306591824</v>
      </c>
      <c r="D80" s="471">
        <f>Debt!D73*Allocation!$E$8</f>
        <v>97536.129761389777</v>
      </c>
      <c r="E80" s="471">
        <f>Debt!E73*Allocation!$E$8</f>
        <v>95214.769873068697</v>
      </c>
      <c r="F80" s="471">
        <f>Debt!F73*Allocation!$E$8</f>
        <v>92019.486262085571</v>
      </c>
      <c r="G80" s="471">
        <f>Debt!G73*Allocation!$E$8</f>
        <v>88387.240789771415</v>
      </c>
      <c r="H80" s="471">
        <f>Debt!H73*Allocation!$E$8</f>
        <v>84427.273921458982</v>
      </c>
      <c r="I80" s="471">
        <f>Debt!I73*Allocation!$E$8</f>
        <v>79921.104726482779</v>
      </c>
      <c r="J80" s="471">
        <f>Debt!J73*Allocation!$E$8</f>
        <v>74977.973670175546</v>
      </c>
      <c r="K80" s="471">
        <f>Debt!K73*Allocation!$E$8</f>
        <v>69172.623226777621</v>
      </c>
      <c r="L80" s="471">
        <f>Debt!L73*Allocation!$E$8</f>
        <v>62150.021883957561</v>
      </c>
      <c r="M80" s="471">
        <f>Debt!M73*Allocation!$E$8</f>
        <v>55127.420541137501</v>
      </c>
      <c r="N80" s="471">
        <f>Debt!N73*Allocation!$E$8</f>
        <v>48104.819198317433</v>
      </c>
      <c r="O80" s="471">
        <f>Debt!O73*Allocation!$E$8</f>
        <v>41082.217855497373</v>
      </c>
      <c r="P80" s="471">
        <f>Debt!P73*Allocation!$E$8</f>
        <v>33708.486445536306</v>
      </c>
      <c r="Q80" s="471">
        <f>Debt!Q73*Allocation!$E$8</f>
        <v>25983.624968434237</v>
      </c>
      <c r="R80" s="471">
        <f>Debt!R73*Allocation!$E$8</f>
        <v>18258.763491332164</v>
      </c>
      <c r="S80" s="471">
        <f>Debt!S73*Allocation!$E$8</f>
        <v>11938.422282794108</v>
      </c>
      <c r="T80" s="471">
        <f>Debt!T73*Allocation!$E$8</f>
        <v>5618.0810742560507</v>
      </c>
      <c r="U80" s="471">
        <f>Debt!U73*Allocation!$E$8</f>
        <v>-5.9612174663610788E-12</v>
      </c>
    </row>
    <row r="81" spans="1:44" outlineLevel="1">
      <c r="A81" s="230" t="s">
        <v>223</v>
      </c>
      <c r="B81" s="472">
        <f>SUM(B78:B80)</f>
        <v>195210.72201229655</v>
      </c>
      <c r="C81" s="472">
        <f t="shared" ref="C81:U81" si="20">SUM(C78:C80)</f>
        <v>192878.67293640034</v>
      </c>
      <c r="D81" s="472">
        <f t="shared" si="20"/>
        <v>190439.07843759924</v>
      </c>
      <c r="E81" s="472">
        <f t="shared" si="20"/>
        <v>178130.46051260689</v>
      </c>
      <c r="F81" s="472">
        <f t="shared" si="20"/>
        <v>165033.80956540187</v>
      </c>
      <c r="G81" s="472">
        <f t="shared" si="20"/>
        <v>153159.16188446147</v>
      </c>
      <c r="H81" s="472">
        <f t="shared" si="20"/>
        <v>144629.24861200544</v>
      </c>
      <c r="I81" s="472">
        <f t="shared" si="20"/>
        <v>136043.07971347863</v>
      </c>
      <c r="J81" s="472">
        <f t="shared" si="20"/>
        <v>127494.11654602102</v>
      </c>
      <c r="K81" s="472">
        <f t="shared" si="20"/>
        <v>118644.2525300704</v>
      </c>
      <c r="L81" s="472">
        <f t="shared" si="20"/>
        <v>110309.79387150108</v>
      </c>
      <c r="M81" s="472">
        <f t="shared" si="20"/>
        <v>101928.75530262665</v>
      </c>
      <c r="N81" s="472">
        <f t="shared" si="20"/>
        <v>93423.531783019134</v>
      </c>
      <c r="O81" s="472">
        <f t="shared" si="20"/>
        <v>84771.762174859294</v>
      </c>
      <c r="P81" s="472">
        <f t="shared" si="20"/>
        <v>76091.05916981597</v>
      </c>
      <c r="Q81" s="472">
        <f t="shared" si="20"/>
        <v>69667.982313481174</v>
      </c>
      <c r="R81" s="472">
        <f t="shared" si="20"/>
        <v>65473.390947574269</v>
      </c>
      <c r="S81" s="472">
        <f t="shared" si="20"/>
        <v>61271.2438995064</v>
      </c>
      <c r="T81" s="472">
        <f t="shared" si="20"/>
        <v>57061.950436493411</v>
      </c>
      <c r="U81" s="472">
        <f t="shared" si="20"/>
        <v>52846.093138668635</v>
      </c>
    </row>
    <row r="82" spans="1:44" outlineLevel="1">
      <c r="A82" s="473" t="s">
        <v>217</v>
      </c>
      <c r="B82" s="475">
        <f>Assumptions!$D$50</f>
        <v>2.5000000000000001E-3</v>
      </c>
      <c r="C82" s="475">
        <f>Assumptions!$D$51</f>
        <v>2.5000000000000001E-3</v>
      </c>
      <c r="D82" s="475">
        <f>Assumptions!$D$51</f>
        <v>2.5000000000000001E-3</v>
      </c>
      <c r="E82" s="475">
        <f>Assumptions!$D$51</f>
        <v>2.5000000000000001E-3</v>
      </c>
      <c r="F82" s="475">
        <f>Assumptions!$D$51</f>
        <v>2.5000000000000001E-3</v>
      </c>
      <c r="G82" s="475">
        <f>Assumptions!$D$51</f>
        <v>2.5000000000000001E-3</v>
      </c>
      <c r="H82" s="475">
        <f>Assumptions!$D$51</f>
        <v>2.5000000000000001E-3</v>
      </c>
      <c r="I82" s="475">
        <f>Assumptions!$D$51</f>
        <v>2.5000000000000001E-3</v>
      </c>
      <c r="J82" s="475">
        <f>Assumptions!$D$51</f>
        <v>2.5000000000000001E-3</v>
      </c>
      <c r="K82" s="475">
        <f>Assumptions!$D$51</f>
        <v>2.5000000000000001E-3</v>
      </c>
      <c r="L82" s="475">
        <f>Assumptions!$D$51</f>
        <v>2.5000000000000001E-3</v>
      </c>
      <c r="M82" s="475">
        <f>Assumptions!$D$51</f>
        <v>2.5000000000000001E-3</v>
      </c>
      <c r="N82" s="475">
        <f>Assumptions!$D$51</f>
        <v>2.5000000000000001E-3</v>
      </c>
      <c r="O82" s="475">
        <f>Assumptions!$D$51</f>
        <v>2.5000000000000001E-3</v>
      </c>
      <c r="P82" s="475">
        <f>Assumptions!$D$51</f>
        <v>2.5000000000000001E-3</v>
      </c>
      <c r="Q82" s="475">
        <f>Assumptions!$D$51</f>
        <v>2.5000000000000001E-3</v>
      </c>
      <c r="R82" s="475">
        <f>Assumptions!$D$51</f>
        <v>2.5000000000000001E-3</v>
      </c>
      <c r="S82" s="475">
        <f>Assumptions!$D$51</f>
        <v>2.5000000000000001E-3</v>
      </c>
      <c r="T82" s="475">
        <f>Assumptions!$D$51</f>
        <v>2.5000000000000001E-3</v>
      </c>
      <c r="U82" s="475">
        <f>Assumptions!$D$51</f>
        <v>2.5000000000000001E-3</v>
      </c>
    </row>
    <row r="83" spans="1:44" outlineLevel="1">
      <c r="A83" s="230" t="s">
        <v>218</v>
      </c>
      <c r="B83" s="494">
        <v>488.0268050307414</v>
      </c>
      <c r="C83" s="494">
        <v>482.19668234100084</v>
      </c>
      <c r="D83" s="494">
        <v>476.09769609399808</v>
      </c>
      <c r="E83" s="494">
        <v>445.32615128151724</v>
      </c>
      <c r="F83" s="494">
        <v>412.58452391350465</v>
      </c>
      <c r="G83" s="494">
        <v>382.89790471115367</v>
      </c>
      <c r="H83" s="494">
        <v>361.57312153001362</v>
      </c>
      <c r="I83" s="494">
        <v>340.10769928369655</v>
      </c>
      <c r="J83" s="494">
        <v>318.73529136505255</v>
      </c>
      <c r="K83" s="494">
        <v>296.61063132517603</v>
      </c>
      <c r="L83" s="494">
        <v>275.77448467875269</v>
      </c>
      <c r="M83" s="494">
        <v>254.82188825656664</v>
      </c>
      <c r="N83" s="494">
        <v>233.55882945754783</v>
      </c>
      <c r="O83" s="494">
        <v>211.92940543714823</v>
      </c>
      <c r="P83" s="494">
        <v>190.22764792453992</v>
      </c>
      <c r="Q83" s="494">
        <v>174.16995578370293</v>
      </c>
      <c r="R83" s="494">
        <v>163.68347736893568</v>
      </c>
      <c r="S83" s="494">
        <v>153.17810974876599</v>
      </c>
      <c r="T83" s="494">
        <v>142.65487609123352</v>
      </c>
      <c r="U83" s="494">
        <v>132.11523284667109</v>
      </c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outlineLevel="1">
      <c r="A84" s="473"/>
      <c r="B84" s="474"/>
      <c r="C84" s="474"/>
      <c r="D84" s="474"/>
      <c r="E84" s="474"/>
      <c r="F84" s="474"/>
      <c r="G84" s="474"/>
      <c r="H84" s="474"/>
      <c r="I84" s="474"/>
      <c r="J84" s="474"/>
      <c r="K84" s="474"/>
      <c r="L84" s="474"/>
      <c r="M84" s="474"/>
      <c r="N84" s="474"/>
      <c r="O84" s="474"/>
      <c r="P84" s="474"/>
      <c r="Q84" s="474"/>
      <c r="R84" s="474"/>
      <c r="S84" s="474"/>
      <c r="T84" s="474"/>
      <c r="U84" s="474"/>
    </row>
    <row r="85" spans="1:44" outlineLevel="1">
      <c r="A85" s="230"/>
      <c r="B85" s="255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44" outlineLevel="1">
      <c r="A86" s="231" t="s">
        <v>93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</row>
    <row r="87" spans="1:44">
      <c r="A87" s="231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44" outlineLevel="1">
      <c r="A88" s="21" t="s">
        <v>294</v>
      </c>
      <c r="B88" s="20">
        <f>B41-B12</f>
        <v>874.27532002915086</v>
      </c>
      <c r="C88" s="20">
        <f>C41-C12</f>
        <v>1069.6051053144447</v>
      </c>
      <c r="D88" s="20">
        <f>D41-D12</f>
        <v>1350.5081717323837</v>
      </c>
      <c r="E88" s="20">
        <f t="shared" ref="E88:U88" si="21">E41</f>
        <v>14997.97263984725</v>
      </c>
      <c r="F88" s="20">
        <f t="shared" si="21"/>
        <v>17057.928253475133</v>
      </c>
      <c r="G88" s="20">
        <f t="shared" si="21"/>
        <v>17853.265801633934</v>
      </c>
      <c r="H88" s="20">
        <f t="shared" si="21"/>
        <v>18699.663146642</v>
      </c>
      <c r="I88" s="20">
        <f t="shared" si="21"/>
        <v>19565.286299092208</v>
      </c>
      <c r="J88" s="20">
        <f t="shared" si="21"/>
        <v>20553.336477199169</v>
      </c>
      <c r="K88" s="20">
        <f t="shared" si="21"/>
        <v>21184.112995319942</v>
      </c>
      <c r="L88" s="20">
        <f t="shared" si="21"/>
        <v>22708.556564584196</v>
      </c>
      <c r="M88" s="20">
        <f t="shared" si="21"/>
        <v>24373.571934962554</v>
      </c>
      <c r="N88" s="20">
        <f t="shared" si="21"/>
        <v>26014.328192714824</v>
      </c>
      <c r="O88" s="20">
        <f t="shared" si="21"/>
        <v>27518.342958863082</v>
      </c>
      <c r="P88" s="20">
        <f t="shared" si="21"/>
        <v>29044.109431627818</v>
      </c>
      <c r="Q88" s="20">
        <f t="shared" si="21"/>
        <v>30396.86618677057</v>
      </c>
      <c r="R88" s="20">
        <f t="shared" si="21"/>
        <v>31800.680030040352</v>
      </c>
      <c r="S88" s="20">
        <f t="shared" si="21"/>
        <v>33158.661241827183</v>
      </c>
      <c r="T88" s="20">
        <f t="shared" si="21"/>
        <v>34405.214396851719</v>
      </c>
      <c r="U88" s="20">
        <f t="shared" si="21"/>
        <v>35655.451859872373</v>
      </c>
      <c r="W88" s="446">
        <f>SUM(B88:U88)</f>
        <v>428281.73700840026</v>
      </c>
    </row>
    <row r="89" spans="1:44" outlineLevel="1">
      <c r="A89" s="21" t="s">
        <v>146</v>
      </c>
      <c r="B89" s="20">
        <f>B35</f>
        <v>6577.5933902507677</v>
      </c>
      <c r="C89" s="20">
        <f t="shared" ref="C89:U89" si="22">C35</f>
        <v>6577.5933902507677</v>
      </c>
      <c r="D89" s="20">
        <f t="shared" si="22"/>
        <v>6577.5933902507677</v>
      </c>
      <c r="E89" s="20">
        <f t="shared" si="22"/>
        <v>6577.5933902507677</v>
      </c>
      <c r="F89" s="20">
        <f t="shared" si="22"/>
        <v>6577.5933902507677</v>
      </c>
      <c r="G89" s="20">
        <f t="shared" si="22"/>
        <v>6577.5933902507677</v>
      </c>
      <c r="H89" s="20">
        <f t="shared" si="22"/>
        <v>6577.5933902507677</v>
      </c>
      <c r="I89" s="20">
        <f t="shared" si="22"/>
        <v>6577.5933902507677</v>
      </c>
      <c r="J89" s="20">
        <f t="shared" si="22"/>
        <v>6577.5933902507677</v>
      </c>
      <c r="K89" s="20">
        <f t="shared" si="22"/>
        <v>6577.5933902507677</v>
      </c>
      <c r="L89" s="20">
        <f t="shared" si="22"/>
        <v>6577.5933902507677</v>
      </c>
      <c r="M89" s="20">
        <f t="shared" si="22"/>
        <v>6577.5933902507677</v>
      </c>
      <c r="N89" s="20">
        <f t="shared" si="22"/>
        <v>6577.5933902507677</v>
      </c>
      <c r="O89" s="20">
        <f t="shared" si="22"/>
        <v>6577.5933902507677</v>
      </c>
      <c r="P89" s="20">
        <f t="shared" si="22"/>
        <v>6577.5933902507677</v>
      </c>
      <c r="Q89" s="20">
        <f t="shared" si="22"/>
        <v>6577.5933902507677</v>
      </c>
      <c r="R89" s="20">
        <f t="shared" si="22"/>
        <v>6577.5933902507677</v>
      </c>
      <c r="S89" s="20">
        <f t="shared" si="22"/>
        <v>6577.5933902507677</v>
      </c>
      <c r="T89" s="20">
        <f t="shared" si="22"/>
        <v>6577.5933902507677</v>
      </c>
      <c r="U89" s="20">
        <f t="shared" si="22"/>
        <v>6577.5933902507677</v>
      </c>
      <c r="W89" s="446">
        <f>SUM(B89:U89)</f>
        <v>131551.86780501535</v>
      </c>
    </row>
    <row r="90" spans="1:44" ht="15" outlineLevel="1">
      <c r="A90" s="21" t="s">
        <v>237</v>
      </c>
      <c r="B90" s="234">
        <f>-Depreciation!C75-Depreciation!C112*Allocation!$E$8</f>
        <v>-9707.9003826345997</v>
      </c>
      <c r="C90" s="234">
        <f>-Depreciation!D75-Depreciation!D112*Allocation!$E$8</f>
        <v>-18445.010727005742</v>
      </c>
      <c r="D90" s="234">
        <f>-Depreciation!E75-Depreciation!E112*Allocation!$E$8</f>
        <v>-16600.509654305166</v>
      </c>
      <c r="E90" s="234">
        <f>-Depreciation!F75-Depreciation!F112*Allocation!$E$8</f>
        <v>-14950.166589257284</v>
      </c>
      <c r="F90" s="234">
        <f>-Depreciation!G75-Depreciation!G112*Allocation!$E$8</f>
        <v>-13455.149930331556</v>
      </c>
      <c r="G90" s="234">
        <f>-Depreciation!H75-Depreciation!H112*Allocation!$E$8</f>
        <v>-12096.043876762711</v>
      </c>
      <c r="H90" s="234">
        <f>-Depreciation!I75-Depreciation!I112*Allocation!$E$8</f>
        <v>-11455.322451508828</v>
      </c>
      <c r="I90" s="234">
        <f>-Depreciation!J75-Depreciation!J112*Allocation!$E$8</f>
        <v>-11474.738252274097</v>
      </c>
      <c r="J90" s="234">
        <f>-Depreciation!K75-Depreciation!K112*Allocation!$E$8</f>
        <v>-11455.322451508828</v>
      </c>
      <c r="K90" s="234">
        <f>-Depreciation!L75-Depreciation!L112*Allocation!$E$8</f>
        <v>-11474.738252274097</v>
      </c>
      <c r="L90" s="234">
        <f>-Depreciation!M75-Depreciation!M112*Allocation!$E$8</f>
        <v>-11455.322451508828</v>
      </c>
      <c r="M90" s="234">
        <f>-Depreciation!N75-Depreciation!N112*Allocation!$E$8</f>
        <v>-11474.738252274097</v>
      </c>
      <c r="N90" s="234">
        <f>-Depreciation!O75-Depreciation!O112*Allocation!$E$8</f>
        <v>-11455.322451508828</v>
      </c>
      <c r="O90" s="234">
        <f>-Depreciation!P75-Depreciation!P112*Allocation!$E$8</f>
        <v>-11474.738252274097</v>
      </c>
      <c r="P90" s="234">
        <f>-Depreciation!Q75-Depreciation!Q112*Allocation!$E$8</f>
        <v>-11455.322451508828</v>
      </c>
      <c r="Q90" s="234">
        <f>-Depreciation!R75-Depreciation!R112*Allocation!$E$8</f>
        <v>-5727.6612257544139</v>
      </c>
      <c r="R90" s="234">
        <f>-Depreciation!S75-Depreciation!S112*Allocation!$E$8</f>
        <v>0</v>
      </c>
      <c r="S90" s="234">
        <f>-Depreciation!T75-Depreciation!T112*Allocation!$E$8</f>
        <v>0</v>
      </c>
      <c r="T90" s="234">
        <f>-Depreciation!U75-Depreciation!U112*Allocation!$E$8</f>
        <v>0</v>
      </c>
      <c r="U90" s="234">
        <f>-Depreciation!V75-Depreciation!V112*Allocation!$E$8</f>
        <v>0</v>
      </c>
      <c r="W90" s="447">
        <f>SUM(B90:U90)</f>
        <v>-194158.00765269206</v>
      </c>
    </row>
    <row r="91" spans="1:44" outlineLevel="1">
      <c r="A91" s="233" t="s">
        <v>145</v>
      </c>
      <c r="B91" s="22">
        <f t="shared" ref="B91:U91" si="23">SUM(B88:B90)</f>
        <v>-2256.0316723546812</v>
      </c>
      <c r="C91" s="22">
        <f t="shared" si="23"/>
        <v>-10797.81223144053</v>
      </c>
      <c r="D91" s="22">
        <f t="shared" si="23"/>
        <v>-8672.4080923220135</v>
      </c>
      <c r="E91" s="22">
        <f t="shared" si="23"/>
        <v>6625.3994408407325</v>
      </c>
      <c r="F91" s="22">
        <f t="shared" si="23"/>
        <v>10180.371713394345</v>
      </c>
      <c r="G91" s="22">
        <f t="shared" si="23"/>
        <v>12334.81531512199</v>
      </c>
      <c r="H91" s="22">
        <f t="shared" si="23"/>
        <v>13821.93408538394</v>
      </c>
      <c r="I91" s="22">
        <f t="shared" si="23"/>
        <v>14668.141437068878</v>
      </c>
      <c r="J91" s="22">
        <f t="shared" si="23"/>
        <v>15675.607415941109</v>
      </c>
      <c r="K91" s="22">
        <f t="shared" si="23"/>
        <v>16286.968133296612</v>
      </c>
      <c r="L91" s="22">
        <f t="shared" si="23"/>
        <v>17830.827503326138</v>
      </c>
      <c r="M91" s="22">
        <f t="shared" si="23"/>
        <v>19476.427072939223</v>
      </c>
      <c r="N91" s="22">
        <f t="shared" si="23"/>
        <v>21136.599131456765</v>
      </c>
      <c r="O91" s="22">
        <f t="shared" si="23"/>
        <v>22621.198096839755</v>
      </c>
      <c r="P91" s="22">
        <f t="shared" si="23"/>
        <v>24166.380370369756</v>
      </c>
      <c r="Q91" s="22">
        <f t="shared" si="23"/>
        <v>31246.79835126692</v>
      </c>
      <c r="R91" s="22">
        <f t="shared" si="23"/>
        <v>38378.273420291123</v>
      </c>
      <c r="S91" s="22">
        <f t="shared" si="23"/>
        <v>39736.254632077951</v>
      </c>
      <c r="T91" s="22">
        <f t="shared" si="23"/>
        <v>40982.807787102487</v>
      </c>
      <c r="U91" s="22">
        <f t="shared" si="23"/>
        <v>42233.045250123141</v>
      </c>
      <c r="W91" s="446">
        <f>SUM(B91:U91)</f>
        <v>365675.59716072358</v>
      </c>
    </row>
    <row r="92" spans="1:44" outlineLevel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</row>
    <row r="93" spans="1:44" outlineLevel="1">
      <c r="A93" s="21" t="s">
        <v>46</v>
      </c>
      <c r="B93" s="444">
        <f>Assumptions!$D$47</f>
        <v>0.05</v>
      </c>
      <c r="C93" s="444">
        <f>Assumptions!$D$47</f>
        <v>0.05</v>
      </c>
      <c r="D93" s="444">
        <f>Assumptions!$D$47</f>
        <v>0.05</v>
      </c>
      <c r="E93" s="444">
        <f>Assumptions!$D$47</f>
        <v>0.05</v>
      </c>
      <c r="F93" s="444">
        <f>Assumptions!$D$47</f>
        <v>0.05</v>
      </c>
      <c r="G93" s="444">
        <f>Assumptions!$D$47</f>
        <v>0.05</v>
      </c>
      <c r="H93" s="444">
        <f>Assumptions!$D$47</f>
        <v>0.05</v>
      </c>
      <c r="I93" s="444">
        <f>Assumptions!$D$47</f>
        <v>0.05</v>
      </c>
      <c r="J93" s="444">
        <f>Assumptions!$D$47</f>
        <v>0.05</v>
      </c>
      <c r="K93" s="444">
        <f>Assumptions!$D$47</f>
        <v>0.05</v>
      </c>
      <c r="L93" s="444">
        <f>Assumptions!$D$47</f>
        <v>0.05</v>
      </c>
      <c r="M93" s="444">
        <f>Assumptions!$D$47</f>
        <v>0.05</v>
      </c>
      <c r="N93" s="444">
        <f>Assumptions!$D$47</f>
        <v>0.05</v>
      </c>
      <c r="O93" s="444">
        <f>Assumptions!$D$47</f>
        <v>0.05</v>
      </c>
      <c r="P93" s="444">
        <f>Assumptions!$D$47</f>
        <v>0.05</v>
      </c>
      <c r="Q93" s="444">
        <f>Assumptions!$D$47</f>
        <v>0.05</v>
      </c>
      <c r="R93" s="444">
        <f>Assumptions!$D$47</f>
        <v>0.05</v>
      </c>
      <c r="S93" s="444">
        <f>Assumptions!$D$47</f>
        <v>0.05</v>
      </c>
      <c r="T93" s="444">
        <f>Assumptions!$D$47</f>
        <v>0.05</v>
      </c>
      <c r="U93" s="444">
        <f>Assumptions!$D$47</f>
        <v>0.05</v>
      </c>
    </row>
    <row r="94" spans="1:44" outlineLevel="1">
      <c r="A94" s="21" t="s">
        <v>147</v>
      </c>
      <c r="B94" s="20">
        <f>B91*B93</f>
        <v>-112.80158361773407</v>
      </c>
      <c r="C94" s="20">
        <f t="shared" ref="C94:U94" si="24">C91*C93</f>
        <v>-539.8906115720265</v>
      </c>
      <c r="D94" s="20">
        <f t="shared" si="24"/>
        <v>-433.6204046161007</v>
      </c>
      <c r="E94" s="20">
        <f t="shared" si="24"/>
        <v>331.26997204203667</v>
      </c>
      <c r="F94" s="20">
        <f t="shared" si="24"/>
        <v>509.01858566971725</v>
      </c>
      <c r="G94" s="20">
        <f t="shared" si="24"/>
        <v>616.74076575609956</v>
      </c>
      <c r="H94" s="20">
        <f t="shared" si="24"/>
        <v>691.09670426919706</v>
      </c>
      <c r="I94" s="20">
        <f t="shared" si="24"/>
        <v>733.40707185344399</v>
      </c>
      <c r="J94" s="20">
        <f t="shared" si="24"/>
        <v>783.78037079705553</v>
      </c>
      <c r="K94" s="20">
        <f t="shared" si="24"/>
        <v>814.34840666483069</v>
      </c>
      <c r="L94" s="20">
        <f t="shared" si="24"/>
        <v>891.54137516630692</v>
      </c>
      <c r="M94" s="20">
        <f t="shared" si="24"/>
        <v>973.82135364696114</v>
      </c>
      <c r="N94" s="20">
        <f t="shared" si="24"/>
        <v>1056.8299565728382</v>
      </c>
      <c r="O94" s="20">
        <f t="shared" si="24"/>
        <v>1131.0599048419879</v>
      </c>
      <c r="P94" s="20">
        <f t="shared" si="24"/>
        <v>1208.3190185184878</v>
      </c>
      <c r="Q94" s="20">
        <f t="shared" si="24"/>
        <v>1562.339917563346</v>
      </c>
      <c r="R94" s="20">
        <f t="shared" si="24"/>
        <v>1918.9136710145563</v>
      </c>
      <c r="S94" s="20">
        <f t="shared" si="24"/>
        <v>1986.8127316038976</v>
      </c>
      <c r="T94" s="20">
        <f t="shared" si="24"/>
        <v>2049.1403893551246</v>
      </c>
      <c r="U94" s="20">
        <f t="shared" si="24"/>
        <v>2111.6522625061571</v>
      </c>
    </row>
    <row r="95" spans="1:44" outlineLevel="1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spans="1:44" outlineLevel="1">
      <c r="A96" s="21" t="s">
        <v>148</v>
      </c>
      <c r="B96" s="20">
        <v>0</v>
      </c>
      <c r="C96" s="20">
        <f t="shared" ref="C96:U96" si="25">B100</f>
        <v>112.80158361773407</v>
      </c>
      <c r="D96" s="20">
        <f t="shared" si="25"/>
        <v>652.69219518976058</v>
      </c>
      <c r="E96" s="20">
        <f t="shared" si="25"/>
        <v>1086.3125998058613</v>
      </c>
      <c r="F96" s="20">
        <f t="shared" si="25"/>
        <v>755.04262776382461</v>
      </c>
      <c r="G96" s="20">
        <f t="shared" si="25"/>
        <v>246.02404209410736</v>
      </c>
      <c r="H96" s="20">
        <f t="shared" si="25"/>
        <v>0</v>
      </c>
      <c r="I96" s="20">
        <f t="shared" si="25"/>
        <v>0</v>
      </c>
      <c r="J96" s="20">
        <f t="shared" si="25"/>
        <v>0</v>
      </c>
      <c r="K96" s="20">
        <f t="shared" si="25"/>
        <v>0</v>
      </c>
      <c r="L96" s="20">
        <f t="shared" si="25"/>
        <v>0</v>
      </c>
      <c r="M96" s="20">
        <f t="shared" si="25"/>
        <v>0</v>
      </c>
      <c r="N96" s="20">
        <f>M100</f>
        <v>0</v>
      </c>
      <c r="O96" s="20">
        <f t="shared" si="25"/>
        <v>0</v>
      </c>
      <c r="P96" s="20">
        <f t="shared" si="25"/>
        <v>0</v>
      </c>
      <c r="Q96" s="20">
        <f t="shared" si="25"/>
        <v>0</v>
      </c>
      <c r="R96" s="20">
        <v>0</v>
      </c>
      <c r="S96" s="20">
        <f t="shared" si="25"/>
        <v>0</v>
      </c>
      <c r="T96" s="20">
        <f t="shared" si="25"/>
        <v>0</v>
      </c>
      <c r="U96" s="20">
        <f t="shared" si="25"/>
        <v>0</v>
      </c>
    </row>
    <row r="97" spans="1:23" outlineLevel="1">
      <c r="A97" s="21" t="s">
        <v>149</v>
      </c>
      <c r="B97" s="247">
        <f t="shared" ref="B97:U97" si="26">IF(B70&gt;2020,0,IF(B94&lt;0,-B94,0))</f>
        <v>112.80158361773407</v>
      </c>
      <c r="C97" s="247">
        <f t="shared" si="26"/>
        <v>539.8906115720265</v>
      </c>
      <c r="D97" s="247">
        <f t="shared" si="26"/>
        <v>433.6204046161007</v>
      </c>
      <c r="E97" s="247">
        <f t="shared" si="26"/>
        <v>0</v>
      </c>
      <c r="F97" s="247">
        <f t="shared" si="26"/>
        <v>0</v>
      </c>
      <c r="G97" s="247">
        <f t="shared" si="26"/>
        <v>0</v>
      </c>
      <c r="H97" s="247">
        <f t="shared" si="26"/>
        <v>0</v>
      </c>
      <c r="I97" s="247">
        <f t="shared" si="26"/>
        <v>0</v>
      </c>
      <c r="J97" s="247">
        <f t="shared" si="26"/>
        <v>0</v>
      </c>
      <c r="K97" s="247">
        <f t="shared" si="26"/>
        <v>0</v>
      </c>
      <c r="L97" s="247">
        <f t="shared" si="26"/>
        <v>0</v>
      </c>
      <c r="M97" s="247">
        <f t="shared" si="26"/>
        <v>0</v>
      </c>
      <c r="N97" s="247">
        <f t="shared" si="26"/>
        <v>0</v>
      </c>
      <c r="O97" s="247">
        <f t="shared" si="26"/>
        <v>0</v>
      </c>
      <c r="P97" s="247">
        <f t="shared" si="26"/>
        <v>0</v>
      </c>
      <c r="Q97" s="247">
        <f t="shared" si="26"/>
        <v>0</v>
      </c>
      <c r="R97" s="247">
        <f t="shared" si="26"/>
        <v>0</v>
      </c>
      <c r="S97" s="247">
        <f t="shared" si="26"/>
        <v>0</v>
      </c>
      <c r="T97" s="247">
        <f t="shared" si="26"/>
        <v>0</v>
      </c>
      <c r="U97" s="247">
        <f t="shared" si="26"/>
        <v>0</v>
      </c>
    </row>
    <row r="98" spans="1:23" outlineLevel="1">
      <c r="A98" s="21" t="s">
        <v>150</v>
      </c>
      <c r="B98" s="235">
        <v>0</v>
      </c>
      <c r="C98" s="235">
        <v>0</v>
      </c>
      <c r="D98" s="235">
        <v>0</v>
      </c>
      <c r="E98" s="235">
        <v>0</v>
      </c>
      <c r="F98" s="235">
        <v>0</v>
      </c>
      <c r="G98" s="235">
        <v>0</v>
      </c>
      <c r="H98" s="235">
        <v>0</v>
      </c>
      <c r="I98" s="235">
        <v>0</v>
      </c>
      <c r="J98" s="235">
        <v>0</v>
      </c>
      <c r="K98" s="235">
        <v>0</v>
      </c>
      <c r="L98" s="235">
        <v>0</v>
      </c>
      <c r="M98" s="235">
        <v>0</v>
      </c>
      <c r="N98" s="235">
        <v>0</v>
      </c>
      <c r="O98" s="235">
        <v>0</v>
      </c>
      <c r="P98" s="235">
        <v>0</v>
      </c>
      <c r="Q98" s="235">
        <v>0</v>
      </c>
      <c r="R98" s="235">
        <v>0</v>
      </c>
      <c r="S98" s="235">
        <v>0</v>
      </c>
      <c r="T98" s="20">
        <f>IF(L97&gt;(SUM(M99:S99)+SUM(L98:S98))*-1,L97-(SUM(L99:S99)+SUM(L98:S98))*-1,0)</f>
        <v>0</v>
      </c>
      <c r="U98" s="20">
        <f>IF(M97&gt;(SUM(N99:T99)+SUM(M98:T98))*-1,M97-(SUM(M99:T99)+SUM(M98:T98))*-1,0)</f>
        <v>0</v>
      </c>
    </row>
    <row r="99" spans="1:23" outlineLevel="1">
      <c r="A99" s="17" t="s">
        <v>151</v>
      </c>
      <c r="B99" s="236">
        <f t="shared" ref="B99:T99" si="27">IF(B94&lt;0,0,IF(B96&gt;B94,-B94,-B96))</f>
        <v>0</v>
      </c>
      <c r="C99" s="236">
        <f t="shared" si="27"/>
        <v>0</v>
      </c>
      <c r="D99" s="236">
        <f t="shared" si="27"/>
        <v>0</v>
      </c>
      <c r="E99" s="236">
        <f t="shared" si="27"/>
        <v>-331.26997204203667</v>
      </c>
      <c r="F99" s="236">
        <f t="shared" si="27"/>
        <v>-509.01858566971725</v>
      </c>
      <c r="G99" s="236">
        <f t="shared" si="27"/>
        <v>-246.02404209410736</v>
      </c>
      <c r="H99" s="236">
        <f t="shared" si="27"/>
        <v>0</v>
      </c>
      <c r="I99" s="236">
        <f t="shared" si="27"/>
        <v>0</v>
      </c>
      <c r="J99" s="236">
        <f t="shared" si="27"/>
        <v>0</v>
      </c>
      <c r="K99" s="236">
        <f t="shared" si="27"/>
        <v>0</v>
      </c>
      <c r="L99" s="236">
        <f t="shared" si="27"/>
        <v>0</v>
      </c>
      <c r="M99" s="236">
        <f t="shared" si="27"/>
        <v>0</v>
      </c>
      <c r="N99" s="236">
        <f t="shared" si="27"/>
        <v>0</v>
      </c>
      <c r="O99" s="236">
        <f t="shared" si="27"/>
        <v>0</v>
      </c>
      <c r="P99" s="236">
        <f t="shared" si="27"/>
        <v>0</v>
      </c>
      <c r="Q99" s="236">
        <f t="shared" si="27"/>
        <v>0</v>
      </c>
      <c r="R99" s="236">
        <f t="shared" si="27"/>
        <v>0</v>
      </c>
      <c r="S99" s="236">
        <f t="shared" si="27"/>
        <v>0</v>
      </c>
      <c r="T99" s="236">
        <f t="shared" si="27"/>
        <v>0</v>
      </c>
      <c r="U99" s="236">
        <f>IF(U94&lt;0,0,IF(U96&gt;U94,-U94,-U96))</f>
        <v>0</v>
      </c>
    </row>
    <row r="100" spans="1:23" outlineLevel="1">
      <c r="A100" s="17" t="s">
        <v>152</v>
      </c>
      <c r="B100" s="236">
        <f t="shared" ref="B100:U100" si="28">SUM(B96:B99)</f>
        <v>112.80158361773407</v>
      </c>
      <c r="C100" s="236">
        <f t="shared" si="28"/>
        <v>652.69219518976058</v>
      </c>
      <c r="D100" s="236">
        <f t="shared" si="28"/>
        <v>1086.3125998058613</v>
      </c>
      <c r="E100" s="236">
        <f t="shared" si="28"/>
        <v>755.04262776382461</v>
      </c>
      <c r="F100" s="236">
        <f t="shared" si="28"/>
        <v>246.02404209410736</v>
      </c>
      <c r="G100" s="236">
        <f t="shared" si="28"/>
        <v>0</v>
      </c>
      <c r="H100" s="236">
        <f t="shared" si="28"/>
        <v>0</v>
      </c>
      <c r="I100" s="236">
        <f t="shared" si="28"/>
        <v>0</v>
      </c>
      <c r="J100" s="236">
        <f t="shared" si="28"/>
        <v>0</v>
      </c>
      <c r="K100" s="236">
        <f t="shared" si="28"/>
        <v>0</v>
      </c>
      <c r="L100" s="236">
        <f t="shared" si="28"/>
        <v>0</v>
      </c>
      <c r="M100" s="236">
        <f t="shared" si="28"/>
        <v>0</v>
      </c>
      <c r="N100" s="236">
        <f t="shared" si="28"/>
        <v>0</v>
      </c>
      <c r="O100" s="236">
        <f t="shared" si="28"/>
        <v>0</v>
      </c>
      <c r="P100" s="236">
        <f t="shared" si="28"/>
        <v>0</v>
      </c>
      <c r="Q100" s="236">
        <f t="shared" si="28"/>
        <v>0</v>
      </c>
      <c r="R100" s="236">
        <f t="shared" si="28"/>
        <v>0</v>
      </c>
      <c r="S100" s="236">
        <f t="shared" si="28"/>
        <v>0</v>
      </c>
      <c r="T100" s="236">
        <f t="shared" si="28"/>
        <v>0</v>
      </c>
      <c r="U100" s="236">
        <f t="shared" si="28"/>
        <v>0</v>
      </c>
    </row>
    <row r="101" spans="1:23" outlineLevel="1">
      <c r="A101" s="17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</row>
    <row r="102" spans="1:23" ht="13.5" outlineLevel="1" thickBot="1">
      <c r="A102" s="32" t="s">
        <v>144</v>
      </c>
      <c r="B102" s="347">
        <f t="shared" ref="B102:U102" si="29">IF(B94&lt;0,0,B94+B99)</f>
        <v>0</v>
      </c>
      <c r="C102" s="347">
        <f t="shared" si="29"/>
        <v>0</v>
      </c>
      <c r="D102" s="347">
        <f t="shared" si="29"/>
        <v>0</v>
      </c>
      <c r="E102" s="347">
        <f t="shared" si="29"/>
        <v>0</v>
      </c>
      <c r="F102" s="347">
        <f t="shared" si="29"/>
        <v>0</v>
      </c>
      <c r="G102" s="347">
        <f t="shared" si="29"/>
        <v>370.71672366199221</v>
      </c>
      <c r="H102" s="347">
        <f t="shared" si="29"/>
        <v>691.09670426919706</v>
      </c>
      <c r="I102" s="347">
        <f t="shared" si="29"/>
        <v>733.40707185344399</v>
      </c>
      <c r="J102" s="347">
        <f t="shared" si="29"/>
        <v>783.78037079705553</v>
      </c>
      <c r="K102" s="347">
        <f t="shared" si="29"/>
        <v>814.34840666483069</v>
      </c>
      <c r="L102" s="347">
        <f t="shared" si="29"/>
        <v>891.54137516630692</v>
      </c>
      <c r="M102" s="347">
        <f t="shared" si="29"/>
        <v>973.82135364696114</v>
      </c>
      <c r="N102" s="347">
        <f t="shared" si="29"/>
        <v>1056.8299565728382</v>
      </c>
      <c r="O102" s="347">
        <f t="shared" si="29"/>
        <v>1131.0599048419879</v>
      </c>
      <c r="P102" s="347">
        <f t="shared" si="29"/>
        <v>1208.3190185184878</v>
      </c>
      <c r="Q102" s="347">
        <f t="shared" si="29"/>
        <v>1562.339917563346</v>
      </c>
      <c r="R102" s="347">
        <f t="shared" si="29"/>
        <v>1918.9136710145563</v>
      </c>
      <c r="S102" s="347">
        <f t="shared" si="29"/>
        <v>1986.8127316038976</v>
      </c>
      <c r="T102" s="347">
        <f t="shared" si="29"/>
        <v>2049.1403893551246</v>
      </c>
      <c r="U102" s="347">
        <f t="shared" si="29"/>
        <v>2111.6522625061571</v>
      </c>
      <c r="W102" s="446">
        <f>SUM(B102:U102)</f>
        <v>18283.779858036185</v>
      </c>
    </row>
    <row r="103" spans="1:23" outlineLevel="1">
      <c r="A103" s="7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ht="15.75" outlineLevel="1">
      <c r="A104" s="72"/>
      <c r="B104" s="7"/>
      <c r="C104" s="73"/>
      <c r="D104" s="7"/>
      <c r="E104" s="7"/>
      <c r="F104" s="7"/>
      <c r="G104" s="7"/>
      <c r="H104" s="7"/>
      <c r="I104" s="7"/>
      <c r="J104" s="7"/>
      <c r="K104" s="7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57"/>
      <c r="B105" s="73"/>
      <c r="C105" s="76"/>
      <c r="D105" s="77"/>
      <c r="E105" s="77"/>
      <c r="F105" s="77"/>
      <c r="G105" s="77"/>
      <c r="H105" s="77"/>
      <c r="I105" s="77"/>
      <c r="J105" s="77"/>
      <c r="K105" s="77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7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7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7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7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57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5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ht="14.25" outlineLevel="1">
      <c r="A115" s="75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8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1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7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7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82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82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7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2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7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8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ht="14.25" customHeight="1" outlineLevel="1">
      <c r="A141" s="80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80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80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83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83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outlineLevel="1">
      <c r="A149" s="7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ht="18.75" outlineLevel="1">
      <c r="A151" s="84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5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5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7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1:21" outlineLevel="1">
      <c r="A155" s="7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1:21" outlineLevel="1">
      <c r="A156" s="2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7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78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6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80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79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6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79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80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82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8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79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79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1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79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82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82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9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79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78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80"/>
      <c r="B197" s="69"/>
      <c r="C197" s="6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</row>
    <row r="198" spans="1:21" outlineLevel="1">
      <c r="A198" s="80"/>
      <c r="B198" s="69"/>
      <c r="C198" s="6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</row>
    <row r="199" spans="1:21" outlineLevel="1">
      <c r="A199" s="7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outlineLevel="1">
      <c r="A200" s="7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</row>
    <row r="201" spans="1:21" outlineLevel="1">
      <c r="A201" s="7"/>
      <c r="B201" s="7"/>
      <c r="C201" s="7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</row>
    <row r="202" spans="1:21" ht="18.75" outlineLevel="1">
      <c r="A202" s="8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5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5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2"/>
      <c r="B206" s="9"/>
      <c r="C206" s="9"/>
      <c r="D206" s="9"/>
      <c r="E206" s="9"/>
      <c r="F206" s="9"/>
      <c r="G206" s="9"/>
      <c r="H206" s="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5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7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7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86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7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6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6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5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5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7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86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7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86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86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5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57"/>
      <c r="B247" s="87"/>
      <c r="C247" s="87"/>
      <c r="D247" s="87"/>
      <c r="E247" s="87"/>
      <c r="F247" s="87"/>
      <c r="G247" s="87"/>
      <c r="H247" s="87"/>
      <c r="I247" s="7"/>
      <c r="J247" s="8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87"/>
      <c r="C248" s="87"/>
      <c r="D248" s="87"/>
      <c r="E248" s="87"/>
      <c r="F248" s="87"/>
      <c r="G248" s="87"/>
      <c r="H248" s="87"/>
      <c r="I248" s="7"/>
      <c r="J248" s="8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7"/>
      <c r="B252" s="7"/>
      <c r="C252" s="59"/>
      <c r="D252" s="59"/>
      <c r="E252" s="59"/>
      <c r="F252" s="59"/>
      <c r="G252" s="59"/>
      <c r="H252" s="59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57"/>
      <c r="B253" s="7"/>
      <c r="C253" s="59"/>
      <c r="D253" s="59"/>
      <c r="E253" s="59"/>
      <c r="F253" s="59"/>
      <c r="G253" s="59"/>
      <c r="H253" s="5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8.75" outlineLevel="1">
      <c r="A255" s="8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5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s="90" customFormat="1" outlineLevel="1">
      <c r="A259" s="89"/>
    </row>
    <row r="260" spans="1:21" outlineLevel="1">
      <c r="A260" s="5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7"/>
      <c r="B261" s="7"/>
      <c r="C261" s="91"/>
      <c r="D261" s="91"/>
      <c r="E261" s="91"/>
      <c r="F261" s="91"/>
      <c r="G261" s="91"/>
      <c r="H261" s="91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91"/>
      <c r="D262" s="91"/>
      <c r="E262" s="91"/>
      <c r="F262" s="91"/>
      <c r="G262" s="91"/>
      <c r="H262" s="91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93"/>
      <c r="D263" s="93"/>
      <c r="E263" s="93"/>
      <c r="F263" s="93"/>
      <c r="G263" s="93"/>
      <c r="H263" s="93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8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59"/>
      <c r="D268" s="59"/>
      <c r="E268" s="59"/>
      <c r="F268" s="59"/>
      <c r="G268" s="59"/>
      <c r="H268" s="5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94"/>
      <c r="B269" s="7"/>
      <c r="C269" s="59"/>
      <c r="D269" s="59"/>
      <c r="E269" s="59"/>
      <c r="F269" s="59"/>
      <c r="G269" s="59"/>
      <c r="H269" s="5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1"/>
      <c r="D270" s="91"/>
      <c r="E270" s="91"/>
      <c r="F270" s="91"/>
      <c r="G270" s="91"/>
      <c r="H270" s="91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57"/>
      <c r="B271" s="7"/>
      <c r="C271" s="95"/>
      <c r="D271" s="95"/>
      <c r="E271" s="95"/>
      <c r="F271" s="95"/>
      <c r="G271" s="95"/>
      <c r="H271" s="95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6"/>
      <c r="D274" s="96"/>
      <c r="E274" s="96"/>
      <c r="F274" s="96"/>
      <c r="G274" s="96"/>
      <c r="H274" s="96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94"/>
      <c r="B275" s="7"/>
      <c r="C275" s="96"/>
      <c r="D275" s="96"/>
      <c r="E275" s="96"/>
      <c r="F275" s="96"/>
      <c r="G275" s="96"/>
      <c r="H275" s="96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94"/>
      <c r="B276" s="7"/>
      <c r="C276" s="95"/>
      <c r="D276" s="95"/>
      <c r="E276" s="95"/>
      <c r="F276" s="95"/>
      <c r="G276" s="95"/>
      <c r="H276" s="95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5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59"/>
      <c r="D280" s="59"/>
      <c r="E280" s="59"/>
      <c r="F280" s="59"/>
      <c r="G280" s="59"/>
      <c r="H280" s="59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7"/>
      <c r="B281" s="97"/>
      <c r="C281" s="59"/>
      <c r="D281" s="59"/>
      <c r="E281" s="59"/>
      <c r="F281" s="59"/>
      <c r="G281" s="59"/>
      <c r="H281" s="59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5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7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94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94"/>
      <c r="B287" s="9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91"/>
      <c r="D292" s="91"/>
      <c r="E292" s="91"/>
      <c r="F292" s="91"/>
      <c r="G292" s="91"/>
      <c r="H292" s="91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91"/>
      <c r="D293" s="91"/>
      <c r="E293" s="91"/>
      <c r="F293" s="91"/>
      <c r="G293" s="91"/>
      <c r="H293" s="91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9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57"/>
      <c r="B297" s="98"/>
      <c r="C297" s="98"/>
      <c r="D297" s="98"/>
      <c r="E297" s="98"/>
      <c r="F297" s="98"/>
      <c r="G297" s="98"/>
      <c r="H297" s="9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98"/>
      <c r="D298" s="98"/>
      <c r="E298" s="98"/>
      <c r="F298" s="98"/>
      <c r="G298" s="98"/>
      <c r="H298" s="98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5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5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87"/>
      <c r="D303" s="87"/>
      <c r="E303" s="87"/>
      <c r="F303" s="87"/>
      <c r="G303" s="87"/>
      <c r="H303" s="8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98"/>
      <c r="D304" s="98"/>
      <c r="E304" s="98"/>
      <c r="F304" s="98"/>
      <c r="G304" s="98"/>
      <c r="H304" s="98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7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7" outlineLevel="1">
      <c r="A306" s="7"/>
      <c r="B306" s="7"/>
      <c r="C306" s="87"/>
      <c r="D306" s="87"/>
      <c r="E306" s="87"/>
      <c r="F306" s="87"/>
      <c r="G306" s="87"/>
      <c r="H306" s="8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7" outlineLevel="1">
      <c r="A307" s="7"/>
      <c r="B307" s="7"/>
      <c r="C307" s="99"/>
      <c r="D307" s="99"/>
      <c r="E307" s="99"/>
      <c r="F307" s="99"/>
      <c r="G307" s="99"/>
      <c r="H307" s="99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7" outlineLevel="1">
      <c r="A308" s="7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7" outlineLevel="1">
      <c r="A309" s="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7" ht="18.75" hidden="1" outlineLevel="2">
      <c r="A310" s="84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7" hidden="1" outlineLevel="2">
      <c r="A311" s="57"/>
      <c r="B311" s="7"/>
      <c r="C311" s="100"/>
      <c r="D311" s="100"/>
      <c r="E311" s="100"/>
      <c r="F311" s="100"/>
      <c r="G311" s="100"/>
      <c r="H311" s="100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7" hidden="1" outlineLevel="2">
      <c r="A312" s="7"/>
      <c r="B312" s="7"/>
      <c r="C312" s="100"/>
      <c r="D312" s="100"/>
      <c r="E312" s="100"/>
      <c r="F312" s="100"/>
      <c r="G312" s="100"/>
      <c r="H312" s="100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7" hidden="1" outlineLevel="2">
      <c r="A313" s="57"/>
      <c r="B313" s="11"/>
      <c r="C313" s="11"/>
      <c r="D313" s="10"/>
      <c r="E313" s="10"/>
      <c r="F313" s="11"/>
      <c r="G313" s="11"/>
      <c r="H313" s="10"/>
      <c r="I313" s="11"/>
      <c r="J313" s="11"/>
      <c r="K313" s="11"/>
      <c r="L313" s="10"/>
      <c r="M313" s="11"/>
      <c r="N313" s="11"/>
      <c r="O313" s="7"/>
      <c r="P313" s="7"/>
      <c r="Q313" s="7"/>
      <c r="R313" s="7"/>
      <c r="S313" s="7"/>
      <c r="T313" s="11"/>
      <c r="U313" s="7"/>
    </row>
    <row r="314" spans="1:27" hidden="1" outlineLevel="2">
      <c r="A314" s="5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7" hidden="1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7" hidden="1" outlineLevel="2">
      <c r="A316" s="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7" hidden="1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7" hidden="1" outlineLevel="2">
      <c r="A318" s="7"/>
      <c r="B318" s="98"/>
      <c r="C318" s="98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7"/>
    </row>
    <row r="319" spans="1:27" hidden="1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7" hidden="1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87"/>
      <c r="V320" s="87"/>
      <c r="W320" s="87"/>
      <c r="X320" s="87"/>
      <c r="Y320" s="87"/>
      <c r="Z320" s="87"/>
      <c r="AA320" s="87"/>
    </row>
    <row r="321" spans="1:21" hidden="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idden="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7"/>
    </row>
    <row r="323" spans="1:21" hidden="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idden="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1" hidden="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idden="1" outlineLevel="2">
      <c r="A326" s="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7"/>
      <c r="P326" s="7"/>
      <c r="Q326" s="7"/>
      <c r="R326" s="7"/>
      <c r="S326" s="7"/>
      <c r="T326" s="87"/>
      <c r="U326" s="87"/>
    </row>
    <row r="327" spans="1:21" hidden="1" outlineLevel="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outlineLevel="1" collapsed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outlineLevel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outlineLevel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8.75" outlineLevel="1">
      <c r="A331" s="8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outlineLevel="1">
      <c r="A332" s="5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outlineLevel="1">
      <c r="A333" s="5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outlineLevel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outlineLevel="1">
      <c r="A335" s="2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1:21" outlineLevel="1">
      <c r="A336" s="5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2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</row>
    <row r="338" spans="1:22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</row>
    <row r="339" spans="1:22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</row>
    <row r="340" spans="1:22" outlineLevel="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</row>
    <row r="341" spans="1:22" outlineLevel="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</row>
    <row r="342" spans="1:22" outlineLevel="1">
      <c r="A342" s="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</row>
    <row r="343" spans="1:22" outlineLevel="1">
      <c r="A343" s="5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</row>
    <row r="344" spans="1:22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</row>
    <row r="345" spans="1:22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</row>
    <row r="346" spans="1:22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</row>
    <row r="347" spans="1:22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</row>
    <row r="348" spans="1:22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</row>
    <row r="349" spans="1:22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</row>
    <row r="350" spans="1:22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</row>
    <row r="351" spans="1:22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</row>
    <row r="352" spans="1:22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</row>
    <row r="353" spans="1:22" outlineLevel="1">
      <c r="A353" s="86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</row>
    <row r="354" spans="1:22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</row>
    <row r="355" spans="1:22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</row>
    <row r="356" spans="1:22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</row>
    <row r="357" spans="1:22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</row>
    <row r="358" spans="1:22" outlineLevel="1">
      <c r="A358" s="86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</row>
    <row r="359" spans="1:22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</row>
    <row r="360" spans="1:22" outlineLevel="1">
      <c r="A360" s="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</row>
    <row r="361" spans="1:22" outlineLevel="1">
      <c r="A361" s="5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</row>
    <row r="362" spans="1:22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</row>
    <row r="363" spans="1:22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</row>
    <row r="364" spans="1:22" outlineLevel="1">
      <c r="A364" s="86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</row>
    <row r="365" spans="1:22" outlineLevel="1">
      <c r="A365" s="86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</row>
    <row r="366" spans="1:22" outlineLevel="1">
      <c r="A366" s="5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</row>
    <row r="367" spans="1:22" outlineLevel="1">
      <c r="A367" s="5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</row>
    <row r="368" spans="1:22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</row>
    <row r="369" spans="1:22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</row>
    <row r="370" spans="1:22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</row>
    <row r="371" spans="1:22" outlineLevel="1">
      <c r="A371" s="86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</row>
    <row r="372" spans="1:22" outlineLevel="1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</row>
    <row r="373" spans="1:22" outlineLevel="1">
      <c r="A373" s="2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</row>
    <row r="374" spans="1:22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</row>
    <row r="375" spans="1:22" outlineLevel="1">
      <c r="A375" s="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</row>
    <row r="376" spans="1:22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</row>
    <row r="377" spans="1:22" outlineLevel="1">
      <c r="A377" s="5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</row>
    <row r="378" spans="1:22" outlineLevel="1">
      <c r="A378" s="5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</row>
    <row r="379" spans="1:22" outlineLevel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2" outlineLevel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2" ht="18.75" outlineLevel="1">
      <c r="A381" s="8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2" outlineLevel="1">
      <c r="A382" s="5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2" outlineLevel="1">
      <c r="A383" s="5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2" outlineLevel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2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7"/>
      <c r="P385" s="7"/>
      <c r="Q385" s="7"/>
      <c r="R385" s="7"/>
      <c r="S385" s="7"/>
      <c r="T385" s="7"/>
      <c r="U385" s="7"/>
    </row>
    <row r="386" spans="1:21" outlineLevel="1">
      <c r="A386" s="5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86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86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86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57"/>
      <c r="B417" s="101"/>
      <c r="C417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7"/>
      <c r="P417" s="7"/>
      <c r="Q417" s="7"/>
      <c r="R417" s="7"/>
      <c r="S417" s="7"/>
      <c r="T417" s="7"/>
      <c r="U417" s="7"/>
    </row>
    <row r="418" spans="1:21" outlineLevel="1">
      <c r="A418" s="57"/>
      <c r="B418" s="101"/>
      <c r="C418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7"/>
      <c r="P418" s="7"/>
      <c r="Q418" s="7"/>
      <c r="R418" s="7"/>
      <c r="S418" s="7"/>
      <c r="T418" s="7"/>
      <c r="U418" s="7"/>
    </row>
    <row r="419" spans="1:21" outlineLevel="1">
      <c r="A419" s="7"/>
      <c r="B419" s="101"/>
      <c r="C419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/>
      <c r="D422"/>
      <c r="E422"/>
      <c r="F422"/>
      <c r="G422"/>
      <c r="H422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7"/>
      <c r="B423" s="101"/>
      <c r="C423"/>
      <c r="D423"/>
      <c r="E423"/>
      <c r="F423"/>
      <c r="G423"/>
      <c r="H423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5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5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5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</row>
    <row r="436" spans="1:21" outlineLevel="1">
      <c r="A436" s="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</row>
    <row r="437" spans="1:21" outlineLevel="1">
      <c r="A437" s="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7"/>
      <c r="P440" s="7"/>
      <c r="Q440" s="7"/>
      <c r="R440" s="7"/>
      <c r="S440" s="7"/>
      <c r="T440" s="7"/>
      <c r="U440" s="7"/>
    </row>
    <row r="441" spans="1:21" outlineLevel="1">
      <c r="A441" s="57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7"/>
      <c r="P441" s="7"/>
      <c r="Q441" s="7"/>
      <c r="R441" s="7"/>
      <c r="S441" s="7"/>
      <c r="T441" s="7"/>
      <c r="U441" s="7"/>
    </row>
    <row r="442" spans="1:21" outlineLevel="1">
      <c r="A442" s="57"/>
      <c r="B442" s="102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7"/>
      <c r="P442" s="7"/>
      <c r="Q442" s="7"/>
      <c r="R442" s="7"/>
      <c r="S442" s="7"/>
      <c r="T442" s="7"/>
      <c r="U442" s="7"/>
    </row>
    <row r="443" spans="1:21" outlineLevel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8.75" outlineLevel="1">
      <c r="A444" s="8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5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outlineLevel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2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 spans="1:21" outlineLevel="1">
      <c r="A449" s="7"/>
      <c r="B449" s="7"/>
      <c r="C449" s="73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outlineLevel="1">
      <c r="A450" s="5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7"/>
      <c r="P452" s="7"/>
      <c r="Q452" s="7"/>
      <c r="R452" s="7"/>
      <c r="S452" s="7"/>
      <c r="T452" s="7"/>
      <c r="U452" s="7"/>
    </row>
    <row r="453" spans="1:21" outlineLevel="1">
      <c r="A453" s="7"/>
      <c r="B453" s="7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"/>
      <c r="P453" s="7"/>
      <c r="Q453" s="7"/>
      <c r="R453" s="7"/>
      <c r="S453" s="7"/>
      <c r="T453" s="7"/>
      <c r="U453" s="7"/>
    </row>
    <row r="454" spans="1:21" outlineLevel="1">
      <c r="A454" s="7"/>
      <c r="B454" s="7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"/>
      <c r="P454" s="7"/>
      <c r="Q454" s="7"/>
      <c r="R454" s="7"/>
      <c r="S454" s="7"/>
      <c r="T454" s="7"/>
      <c r="U454" s="7"/>
    </row>
    <row r="455" spans="1:21" outlineLevel="1">
      <c r="A455" s="94"/>
      <c r="B455" s="7"/>
      <c r="C455" s="73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7"/>
      <c r="P455" s="7"/>
      <c r="Q455" s="7"/>
      <c r="R455" s="7"/>
      <c r="S455" s="7"/>
      <c r="T455" s="7"/>
      <c r="U455" s="7"/>
    </row>
    <row r="456" spans="1:21" outlineLevel="1">
      <c r="A456" s="94"/>
      <c r="B456" s="7"/>
      <c r="C456" s="73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7"/>
      <c r="P456" s="7"/>
      <c r="Q456" s="7"/>
      <c r="R456" s="7"/>
      <c r="S456" s="7"/>
      <c r="T456" s="7"/>
      <c r="U456" s="7"/>
    </row>
    <row r="457" spans="1:21" outlineLevel="1">
      <c r="A457" s="5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7"/>
      <c r="B458" s="102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3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7"/>
      <c r="P461" s="7"/>
      <c r="Q461" s="7"/>
      <c r="R461" s="7"/>
      <c r="S461" s="7"/>
      <c r="T461" s="7"/>
      <c r="U461" s="7"/>
    </row>
    <row r="462" spans="1:21" outlineLevel="1">
      <c r="A462" s="57"/>
      <c r="B462" s="7"/>
      <c r="C462" s="73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7"/>
      <c r="P462" s="7"/>
      <c r="Q462" s="7"/>
      <c r="R462" s="7"/>
      <c r="S462" s="7"/>
      <c r="T462" s="7"/>
      <c r="U462" s="7"/>
    </row>
    <row r="463" spans="1:21" outlineLevel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outlineLevel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s="106" customFormat="1" ht="18.75" outlineLevel="1">
      <c r="A465" s="104"/>
      <c r="B465" s="105"/>
      <c r="C465" s="105"/>
    </row>
    <row r="466" spans="1:21" s="106" customFormat="1" outlineLevel="1">
      <c r="A466" s="105"/>
      <c r="B466" s="107"/>
      <c r="C466" s="108"/>
      <c r="D466" s="105"/>
      <c r="E466" s="109"/>
    </row>
    <row r="467" spans="1:21" s="106" customFormat="1" outlineLevel="1">
      <c r="A467" s="105"/>
      <c r="B467" s="110"/>
      <c r="C467" s="88"/>
      <c r="D467" s="88"/>
      <c r="E467" s="109"/>
    </row>
    <row r="468" spans="1:21" s="106" customFormat="1" outlineLevel="1">
      <c r="A468" s="105"/>
      <c r="B468" s="88"/>
      <c r="C468" s="109"/>
      <c r="D468" s="88"/>
      <c r="E468" s="110"/>
    </row>
    <row r="469" spans="1:21" s="106" customFormat="1" outlineLevel="1">
      <c r="A469" s="111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</row>
    <row r="470" spans="1:21" s="106" customFormat="1" outlineLevel="1">
      <c r="A470" s="80"/>
      <c r="B470" s="105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9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7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78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69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80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11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113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113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80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80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79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 outlineLevel="1">
      <c r="A494" s="80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outlineLevel="1">
      <c r="A495" s="82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</row>
    <row r="496" spans="1:21" s="106" customFormat="1" outlineLevel="1">
      <c r="A496" s="79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ht="13.9" customHeigh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16" customFormat="1" outlineLevel="1">
      <c r="A498" s="115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8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79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 outlineLevel="1">
      <c r="A503" s="79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 s="80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1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0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1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0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/>
      <c r="B514"/>
      <c r="C514"/>
      <c r="D514"/>
      <c r="E514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/>
      <c r="B515"/>
      <c r="C515"/>
      <c r="D515"/>
      <c r="E515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/>
      <c r="B516"/>
      <c r="C516"/>
      <c r="D516"/>
      <c r="E516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16" customFormat="1" outlineLevel="1">
      <c r="A517"/>
      <c r="B517"/>
      <c r="C517"/>
      <c r="D517"/>
      <c r="E517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s="106" customFormat="1" outlineLevel="1">
      <c r="A519" s="80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</row>
    <row r="520" spans="1:21" s="106" customFormat="1" outlineLevel="1">
      <c r="A520" s="80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8.75" outlineLevel="1">
      <c r="A524" s="8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5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118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1">
      <c r="A528" s="2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5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119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86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5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2">
      <c r="A544" s="86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2">
      <c r="A545" s="86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idden="1" outlineLevel="2">
      <c r="A547" s="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idden="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idden="1" outlineLevel="2">
      <c r="A549" s="86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idden="1" outlineLevel="2">
      <c r="A550" s="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idden="1" outlineLevel="2">
      <c r="A551" s="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idden="1" outlineLevel="2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idden="1" outlineLevel="2">
      <c r="A553" s="86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 collapsed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5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5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outlineLevel="1">
      <c r="A561" s="5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outlineLevel="1">
      <c r="A562" s="5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87"/>
      <c r="E563" s="87"/>
      <c r="F563" s="87"/>
      <c r="G563" s="87"/>
      <c r="H563" s="87"/>
      <c r="I563" s="87"/>
      <c r="J563" s="87"/>
      <c r="K563" s="87"/>
      <c r="L563" s="8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87"/>
      <c r="E564" s="87"/>
      <c r="F564" s="87"/>
      <c r="G564" s="87"/>
      <c r="H564" s="87"/>
      <c r="I564" s="87"/>
      <c r="J564" s="87"/>
      <c r="K564" s="87"/>
      <c r="L564" s="8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87"/>
      <c r="E565" s="87"/>
      <c r="F565" s="87"/>
      <c r="G565" s="87"/>
      <c r="H565" s="87"/>
      <c r="I565" s="87"/>
      <c r="J565" s="87"/>
      <c r="K565" s="87"/>
      <c r="L565" s="8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87"/>
      <c r="E566" s="87"/>
      <c r="F566" s="87"/>
      <c r="G566" s="87"/>
      <c r="H566" s="87"/>
      <c r="I566" s="87"/>
      <c r="J566" s="87"/>
      <c r="K566" s="87"/>
      <c r="L566" s="8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87"/>
      <c r="E567" s="87"/>
      <c r="F567" s="87"/>
      <c r="G567" s="87"/>
      <c r="H567" s="87"/>
      <c r="I567" s="87"/>
      <c r="J567" s="87"/>
      <c r="K567" s="87"/>
      <c r="L567" s="8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</sheetData>
  <pageMargins left="0.18" right="0.17" top="0.37" bottom="0.4" header="0.17" footer="0.21"/>
  <pageSetup scale="43" orientation="landscape" r:id="rId1"/>
  <headerFooter alignWithMargins="0">
    <oddHeader>&amp;L&amp;12Enron's Generation</oddHeader>
    <oddFooter>&amp;L&amp;T, &amp;D&amp;C&amp;F&amp;RPage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C776"/>
  <sheetViews>
    <sheetView zoomScale="75" zoomScaleNormal="75" workbookViewId="0"/>
  </sheetViews>
  <sheetFormatPr defaultRowHeight="12.75" outlineLevelRow="2" outlineLevelCol="1"/>
  <cols>
    <col min="1" max="1" width="40.42578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0.57031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104</v>
      </c>
      <c r="B2" s="391"/>
      <c r="C2" s="391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7" t="s">
        <v>65</v>
      </c>
      <c r="B5" s="8">
        <f>Brownsville!B5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36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66</v>
      </c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58"/>
      <c r="W7" s="58"/>
      <c r="X7" s="58"/>
      <c r="Y7" s="503">
        <f>SUM(Z7:AS7)-SUM(Z8:AS8)</f>
        <v>0</v>
      </c>
      <c r="Z7" s="504">
        <f>B10+B11</f>
        <v>530.44917599999997</v>
      </c>
      <c r="AA7" s="504">
        <f>C10+C11</f>
        <v>546.36265128000002</v>
      </c>
      <c r="AB7" s="504">
        <f>D10+D11</f>
        <v>562.75353081840012</v>
      </c>
      <c r="AC7" s="504">
        <f t="shared" ref="AC7:AS7" si="1">E16</f>
        <v>241.98349374295196</v>
      </c>
      <c r="AD7" s="504">
        <f t="shared" si="1"/>
        <v>249.24299855524052</v>
      </c>
      <c r="AE7" s="504">
        <f t="shared" si="1"/>
        <v>256.72028851189776</v>
      </c>
      <c r="AF7" s="504">
        <f t="shared" si="1"/>
        <v>264.42189716725471</v>
      </c>
      <c r="AG7" s="504">
        <f t="shared" si="1"/>
        <v>272.35455408227233</v>
      </c>
      <c r="AH7" s="504">
        <f t="shared" si="1"/>
        <v>280.52519070474051</v>
      </c>
      <c r="AI7" s="504">
        <f t="shared" si="1"/>
        <v>288.94094642588271</v>
      </c>
      <c r="AJ7" s="504">
        <f t="shared" si="1"/>
        <v>297.6091748186592</v>
      </c>
      <c r="AK7" s="504">
        <f t="shared" si="1"/>
        <v>306.5374500632189</v>
      </c>
      <c r="AL7" s="504">
        <f t="shared" si="1"/>
        <v>315.73357356511548</v>
      </c>
      <c r="AM7" s="504">
        <f t="shared" si="1"/>
        <v>325.20558077206897</v>
      </c>
      <c r="AN7" s="504">
        <f t="shared" si="1"/>
        <v>334.96174819523105</v>
      </c>
      <c r="AO7" s="504">
        <f t="shared" si="1"/>
        <v>345.01060064108799</v>
      </c>
      <c r="AP7" s="504">
        <f t="shared" si="1"/>
        <v>355.36091866032058</v>
      </c>
      <c r="AQ7" s="504">
        <f t="shared" si="1"/>
        <v>366.02174622013024</v>
      </c>
      <c r="AR7" s="504">
        <f t="shared" si="1"/>
        <v>377.00239860673412</v>
      </c>
      <c r="AS7" s="504">
        <f t="shared" si="1"/>
        <v>388.31247056493612</v>
      </c>
    </row>
    <row r="8" spans="1:55">
      <c r="A8" s="364" t="s">
        <v>159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503">
        <v>0</v>
      </c>
      <c r="Z8" s="533">
        <f>B24+B25</f>
        <v>530.44917599999997</v>
      </c>
      <c r="AA8" s="533">
        <f>C24+C25</f>
        <v>546.36265128000002</v>
      </c>
      <c r="AB8" s="533">
        <f>D24+D25</f>
        <v>562.75353081840012</v>
      </c>
      <c r="AC8" s="533">
        <f t="shared" ref="AC8:AS8" si="2">E24+1/3*E25</f>
        <v>241.98349374295202</v>
      </c>
      <c r="AD8" s="533">
        <f t="shared" si="2"/>
        <v>249.24299855524058</v>
      </c>
      <c r="AE8" s="533">
        <f t="shared" si="2"/>
        <v>256.72028851189782</v>
      </c>
      <c r="AF8" s="533">
        <f t="shared" si="2"/>
        <v>264.42189716725477</v>
      </c>
      <c r="AG8" s="533">
        <f t="shared" si="2"/>
        <v>272.35455408227244</v>
      </c>
      <c r="AH8" s="533">
        <f t="shared" si="2"/>
        <v>280.52519070474062</v>
      </c>
      <c r="AI8" s="533">
        <f t="shared" si="2"/>
        <v>288.94094642588283</v>
      </c>
      <c r="AJ8" s="533">
        <f t="shared" si="2"/>
        <v>297.60917481865931</v>
      </c>
      <c r="AK8" s="533">
        <f t="shared" si="2"/>
        <v>306.53745006321901</v>
      </c>
      <c r="AL8" s="533">
        <f t="shared" si="2"/>
        <v>315.73357356511565</v>
      </c>
      <c r="AM8" s="533">
        <f t="shared" si="2"/>
        <v>325.20558077206914</v>
      </c>
      <c r="AN8" s="533">
        <f t="shared" si="2"/>
        <v>334.96174819523117</v>
      </c>
      <c r="AO8" s="533">
        <f t="shared" si="2"/>
        <v>345.0106006410881</v>
      </c>
      <c r="AP8" s="533">
        <f t="shared" si="2"/>
        <v>355.36091866032075</v>
      </c>
      <c r="AQ8" s="533">
        <f t="shared" si="2"/>
        <v>366.02174622013041</v>
      </c>
      <c r="AR8" s="533">
        <f t="shared" si="2"/>
        <v>377.00239860673429</v>
      </c>
      <c r="AS8" s="533">
        <f t="shared" si="2"/>
        <v>388.31247056493635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67</v>
      </c>
      <c r="B9" s="56">
        <f>'Power Price Assumption'!D32*12*Assumptions!$E$9</f>
        <v>17808</v>
      </c>
      <c r="C9" s="56">
        <f>'Power Price Assumption'!E32*12*Assumptions!$E$9</f>
        <v>17808</v>
      </c>
      <c r="D9" s="56">
        <f>'Power Price Assumption'!F32*12*Assumptions!$E$9</f>
        <v>17808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53424</v>
      </c>
      <c r="X9" s="16"/>
      <c r="Y9" s="503"/>
      <c r="Z9" s="505">
        <f>Z7-Z8</f>
        <v>0</v>
      </c>
      <c r="AA9" s="505">
        <f t="shared" ref="AA9:AS9" si="3">AA7-AA8</f>
        <v>0</v>
      </c>
      <c r="AB9" s="505">
        <f t="shared" si="3"/>
        <v>0</v>
      </c>
      <c r="AC9" s="505">
        <f t="shared" si="3"/>
        <v>0</v>
      </c>
      <c r="AD9" s="505">
        <f t="shared" si="3"/>
        <v>0</v>
      </c>
      <c r="AE9" s="505">
        <f t="shared" si="3"/>
        <v>0</v>
      </c>
      <c r="AF9" s="505">
        <f t="shared" si="3"/>
        <v>0</v>
      </c>
      <c r="AG9" s="505">
        <f t="shared" si="3"/>
        <v>0</v>
      </c>
      <c r="AH9" s="505">
        <f t="shared" si="3"/>
        <v>0</v>
      </c>
      <c r="AI9" s="505">
        <f t="shared" si="3"/>
        <v>0</v>
      </c>
      <c r="AJ9" s="505">
        <f t="shared" si="3"/>
        <v>0</v>
      </c>
      <c r="AK9" s="505">
        <f t="shared" si="3"/>
        <v>0</v>
      </c>
      <c r="AL9" s="505">
        <f t="shared" si="3"/>
        <v>0</v>
      </c>
      <c r="AM9" s="505">
        <f t="shared" si="3"/>
        <v>0</v>
      </c>
      <c r="AN9" s="505">
        <f t="shared" si="3"/>
        <v>0</v>
      </c>
      <c r="AO9" s="505">
        <f t="shared" si="3"/>
        <v>0</v>
      </c>
      <c r="AP9" s="505">
        <f t="shared" si="3"/>
        <v>0</v>
      </c>
      <c r="AQ9" s="505">
        <f t="shared" si="3"/>
        <v>0</v>
      </c>
      <c r="AR9" s="505">
        <f t="shared" si="3"/>
        <v>0</v>
      </c>
      <c r="AS9" s="505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242</v>
      </c>
      <c r="B10" s="56">
        <f>Assumptions!E23*Assumptions!E21/1000*(1+Assumptions!$E$33)</f>
        <v>66.949176000000008</v>
      </c>
      <c r="C10" s="56">
        <f>B10*(1+Assumptions!$E$33)</f>
        <v>68.957651280000007</v>
      </c>
      <c r="D10" s="56">
        <f>C10*(1+Assumptions!$E$33)</f>
        <v>71.026380818400014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206.93320809840003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171</v>
      </c>
      <c r="B11" s="127">
        <f>Assumptions!$E$22*Assumptions!$E$11*Assumptions!$E$8/1000*(1+Assumptions!$E$33)</f>
        <v>463.5</v>
      </c>
      <c r="C11" s="91">
        <f>B11*(1+Assumptions!$E$33)</f>
        <v>477.40500000000003</v>
      </c>
      <c r="D11" s="91">
        <f>C11*(1+Assumptions!$E$33)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280</v>
      </c>
      <c r="B12" s="127">
        <f>'Contract Amortization'!$C$23*0.9/3</f>
        <v>5993.7451203556329</v>
      </c>
      <c r="C12" s="127">
        <f>'Contract Amortization'!$C$23*0.9/3</f>
        <v>5993.7451203556329</v>
      </c>
      <c r="D12" s="127">
        <f>'Contract Amortization'!$C$23*0.9/3</f>
        <v>5993.7451203556329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17981.235361066898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64" t="s">
        <v>183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67</v>
      </c>
      <c r="B15" s="19">
        <v>0</v>
      </c>
      <c r="C15" s="19">
        <v>0</v>
      </c>
      <c r="D15" s="19">
        <v>0</v>
      </c>
      <c r="E15" s="19">
        <f>'Power Price Assumption'!G32*Assumptions!$E$9*12</f>
        <v>28580.805339576506</v>
      </c>
      <c r="F15" s="19">
        <f>'Power Price Assumption'!H32*Assumptions!$E$9*12</f>
        <v>29997.90319162907</v>
      </c>
      <c r="G15" s="19">
        <f>'Power Price Assumption'!I32*Assumptions!$E$9*12</f>
        <v>30382.563836028625</v>
      </c>
      <c r="H15" s="19">
        <f>'Power Price Assumption'!J32*Assumptions!$E$9*12</f>
        <v>30772.156055022791</v>
      </c>
      <c r="I15" s="19">
        <f>'Power Price Assumption'!K32*Assumptions!$E$9*12</f>
        <v>31166.618821175427</v>
      </c>
      <c r="J15" s="19">
        <f>'Power Price Assumption'!L32*Assumptions!$E$9*12</f>
        <v>31566.443429622919</v>
      </c>
      <c r="K15" s="19">
        <f>'Power Price Assumption'!M32*Assumptions!$E$9*12</f>
        <v>31971.292142657378</v>
      </c>
      <c r="L15" s="19">
        <f>'Power Price Assumption'!N32*Assumptions!$E$9*12</f>
        <v>32576.067619940601</v>
      </c>
      <c r="M15" s="19">
        <f>'Power Price Assumption'!O32*Assumptions!$E$9*12</f>
        <v>33192.708034140676</v>
      </c>
      <c r="N15" s="19">
        <f>'Power Price Assumption'!P32*Assumptions!$E$9*12</f>
        <v>33820.871110915818</v>
      </c>
      <c r="O15" s="19">
        <f>'Power Price Assumption'!Q32*Assumptions!$E$9*12</f>
        <v>34460.80851460516</v>
      </c>
      <c r="P15" s="19">
        <f>'Power Price Assumption'!R32*Assumptions!$E$9*12</f>
        <v>35112.780097440627</v>
      </c>
      <c r="Q15" s="19">
        <f>'Power Price Assumption'!S32*Assumptions!$E$9*12</f>
        <v>35613.292468874875</v>
      </c>
      <c r="R15" s="19">
        <f>'Power Price Assumption'!T32*Assumptions!$E$9*12</f>
        <v>36121.965310498417</v>
      </c>
      <c r="S15" s="19">
        <f>'Power Price Assumption'!U32*Assumptions!$E$9*12</f>
        <v>36636.902355867933</v>
      </c>
      <c r="T15" s="19">
        <f>'Power Price Assumption'!V32*Assumptions!$E$9*12</f>
        <v>37159.784986566643</v>
      </c>
      <c r="U15" s="19">
        <f>'Power Price Assumption'!W32*Assumptions!$E$9*12</f>
        <v>37690.125595888836</v>
      </c>
      <c r="W15" s="91">
        <f t="shared" ref="W15:W20" si="4">SUM(B15:U15)</f>
        <v>566823.08891045232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68</v>
      </c>
      <c r="B16" s="19">
        <v>0</v>
      </c>
      <c r="C16" s="19">
        <v>0</v>
      </c>
      <c r="D16" s="19">
        <v>0</v>
      </c>
      <c r="E16" s="127">
        <f>1/3*Assumptions!$E$22*Assumptions!$E$11*Assumptions!$E$8/1000*(1+Assumptions!$E$33)^(E5-2000)+Assumptions!$E$23*Assumptions!$E$21*(1+Assumptions!$E$33)^(E5-2000)/1000</f>
        <v>241.98349374295196</v>
      </c>
      <c r="F16" s="127">
        <f>1/3*Assumptions!$E$22*Assumptions!$E$11*Assumptions!$E$8/1000*(1+Assumptions!$E$33)^(F5-2000)+Assumptions!$E$23*Assumptions!$E$21*(1+Assumptions!$E$33)^(F5-2000)/1000</f>
        <v>249.24299855524052</v>
      </c>
      <c r="G16" s="127">
        <f>1/3*Assumptions!$E$22*Assumptions!$E$11*Assumptions!$E$8/1000*(1+Assumptions!$E$33)^(G5-2000)+Assumptions!$E$23*Assumptions!$E$21*(1+Assumptions!$E$33)^(G5-2000)/1000</f>
        <v>256.72028851189776</v>
      </c>
      <c r="H16" s="127">
        <f>1/3*Assumptions!$E$22*Assumptions!$E$11*Assumptions!$E$8/1000*(1+Assumptions!$E$33)^(H5-2000)+Assumptions!$E$23*Assumptions!$E$21*(1+Assumptions!$E$33)^(H5-2000)/1000</f>
        <v>264.42189716725471</v>
      </c>
      <c r="I16" s="127">
        <f>1/3*Assumptions!$E$22*Assumptions!$E$11*Assumptions!$E$8/1000*(1+Assumptions!$E$33)^(I5-2000)+Assumptions!$E$23*Assumptions!$E$21*(1+Assumptions!$E$33)^(I5-2000)/1000</f>
        <v>272.35455408227233</v>
      </c>
      <c r="J16" s="127">
        <f>1/3*Assumptions!$E$22*Assumptions!$E$11*Assumptions!$E$8/1000*(1+Assumptions!$E$33)^(J5-2000)+Assumptions!$E$23*Assumptions!$E$21*(1+Assumptions!$E$33)^(J5-2000)/1000</f>
        <v>280.52519070474051</v>
      </c>
      <c r="K16" s="127">
        <f>1/3*Assumptions!$E$22*Assumptions!$E$11*Assumptions!$E$8/1000*(1+Assumptions!$E$33)^(K5-2000)+Assumptions!$E$23*Assumptions!$E$21*(1+Assumptions!$E$33)^(K5-2000)/1000</f>
        <v>288.94094642588271</v>
      </c>
      <c r="L16" s="127">
        <f>1/3*Assumptions!$E$22*Assumptions!$E$11*Assumptions!$E$8/1000*(1+Assumptions!$E$33)^(L5-2000)+Assumptions!$E$23*Assumptions!$E$21*(1+Assumptions!$E$33)^(L5-2000)/1000</f>
        <v>297.6091748186592</v>
      </c>
      <c r="M16" s="127">
        <f>1/3*Assumptions!$E$22*Assumptions!$E$11*Assumptions!$E$8/1000*(1+Assumptions!$E$33)^(M5-2000)+Assumptions!$E$23*Assumptions!$E$21*(1+Assumptions!$E$33)^(M5-2000)/1000</f>
        <v>306.5374500632189</v>
      </c>
      <c r="N16" s="127">
        <f>1/3*Assumptions!$E$22*Assumptions!$E$11*Assumptions!$E$8/1000*(1+Assumptions!$E$33)^(N5-2000)+Assumptions!$E$23*Assumptions!$E$21*(1+Assumptions!$E$33)^(N5-2000)/1000</f>
        <v>315.73357356511548</v>
      </c>
      <c r="O16" s="127">
        <f>1/3*Assumptions!$E$22*Assumptions!$E$11*Assumptions!$E$8/1000*(1+Assumptions!$E$33)^(O5-2000)+Assumptions!$E$23*Assumptions!$E$21*(1+Assumptions!$E$33)^(O5-2000)/1000</f>
        <v>325.20558077206897</v>
      </c>
      <c r="P16" s="127">
        <f>1/3*Assumptions!$E$22*Assumptions!$E$11*Assumptions!$E$8/1000*(1+Assumptions!$E$33)^(P5-2000)+Assumptions!$E$23*Assumptions!$E$21*(1+Assumptions!$E$33)^(P5-2000)/1000</f>
        <v>334.96174819523105</v>
      </c>
      <c r="Q16" s="127">
        <f>1/3*Assumptions!$E$22*Assumptions!$E$11*Assumptions!$E$8/1000*(1+Assumptions!$E$33)^(Q5-2000)+Assumptions!$E$23*Assumptions!$E$21*(1+Assumptions!$E$33)^(Q5-2000)/1000</f>
        <v>345.01060064108799</v>
      </c>
      <c r="R16" s="127">
        <f>1/3*Assumptions!$E$22*Assumptions!$E$11*Assumptions!$E$8/1000*(1+Assumptions!$E$33)^(R5-2000)+Assumptions!$E$23*Assumptions!$E$21*(1+Assumptions!$E$33)^(R5-2000)/1000</f>
        <v>355.36091866032058</v>
      </c>
      <c r="S16" s="127">
        <f>1/3*Assumptions!$E$22*Assumptions!$E$11*Assumptions!$E$8/1000*(1+Assumptions!$E$33)^(S5-2000)+Assumptions!$E$23*Assumptions!$E$21*(1+Assumptions!$E$33)^(S5-2000)/1000</f>
        <v>366.02174622013024</v>
      </c>
      <c r="T16" s="127">
        <f>1/3*Assumptions!$E$22*Assumptions!$E$11*Assumptions!$E$8/1000*(1+Assumptions!$E$33)^(T5-2000)+Assumptions!$E$23*Assumptions!$E$21*(1+Assumptions!$E$33)^(T5-2000)/1000</f>
        <v>377.00239860673412</v>
      </c>
      <c r="U16" s="127">
        <f>1/3*Assumptions!$E$22*Assumptions!$E$11*Assumptions!$E$8/1000*(1+Assumptions!$E$33)^(U5-2000)+Assumptions!$E$23*Assumptions!$E$21*(1+Assumptions!$E$33)^(U5-2000)/1000</f>
        <v>388.31247056493612</v>
      </c>
      <c r="W16" s="91">
        <f t="shared" si="4"/>
        <v>5265.9450312977424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 t="s">
        <v>69</v>
      </c>
      <c r="B17" s="19">
        <v>0</v>
      </c>
      <c r="C17" s="19">
        <v>0</v>
      </c>
      <c r="D17" s="19">
        <v>0</v>
      </c>
      <c r="E17" s="56">
        <f>Assumptions!$E$27*Assumptions!$E$23/1000</f>
        <v>64.999200000000002</v>
      </c>
      <c r="F17" s="56">
        <f>Assumptions!$E$27*Assumptions!$E$23/1000</f>
        <v>64.999200000000002</v>
      </c>
      <c r="G17" s="56">
        <f>Assumptions!$E$27*Assumptions!$E$23/1000</f>
        <v>64.999200000000002</v>
      </c>
      <c r="H17" s="56">
        <f>Assumptions!$E$27*Assumptions!$E$23/1000</f>
        <v>64.999200000000002</v>
      </c>
      <c r="I17" s="56">
        <f>Assumptions!$E$27*Assumptions!$E$23/1000</f>
        <v>64.999200000000002</v>
      </c>
      <c r="J17" s="56">
        <f>Assumptions!$E$27*Assumptions!$E$23/1000</f>
        <v>64.999200000000002</v>
      </c>
      <c r="K17" s="56">
        <f>Assumptions!$E$27*Assumptions!$E$23/1000</f>
        <v>64.999200000000002</v>
      </c>
      <c r="L17" s="56">
        <f>Assumptions!$E$27*Assumptions!$E$23/1000</f>
        <v>64.999200000000002</v>
      </c>
      <c r="M17" s="56">
        <f>Assumptions!$E$27*Assumptions!$E$23/1000</f>
        <v>64.999200000000002</v>
      </c>
      <c r="N17" s="56">
        <f>Assumptions!$E$27*Assumptions!$E$23/1000</f>
        <v>64.999200000000002</v>
      </c>
      <c r="O17" s="56">
        <f>Assumptions!$E$27*Assumptions!$E$23/1000</f>
        <v>64.999200000000002</v>
      </c>
      <c r="P17" s="56">
        <f>Assumptions!$E$27*Assumptions!$E$23/1000</f>
        <v>64.999200000000002</v>
      </c>
      <c r="Q17" s="56">
        <f>Assumptions!$E$27*Assumptions!$E$23/1000</f>
        <v>64.999200000000002</v>
      </c>
      <c r="R17" s="56">
        <f>Assumptions!$E$27*Assumptions!$E$23/1000</f>
        <v>64.999200000000002</v>
      </c>
      <c r="S17" s="56">
        <f>Assumptions!$E$27*Assumptions!$E$23/1000</f>
        <v>64.999200000000002</v>
      </c>
      <c r="T17" s="56">
        <f>Assumptions!$E$27*Assumptions!$E$23/1000</f>
        <v>64.999200000000002</v>
      </c>
      <c r="U17" s="56">
        <f>Assumptions!$E$27*Assumptions!$E$23/1000</f>
        <v>64.999200000000002</v>
      </c>
      <c r="W17" s="91">
        <f t="shared" si="4"/>
        <v>1104.9863999999998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/>
      <c r="W18" s="91">
        <f t="shared" si="4"/>
        <v>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194</v>
      </c>
      <c r="B19" s="201">
        <f>(SUM(B9:B11)-SUM(B23:B29))*'Summary Output'!$B$31/4</f>
        <v>179.8066755768734</v>
      </c>
      <c r="C19" s="201">
        <f>(SUM(C9:C11)-SUM(C23:C29))*'Summary Output'!$B$31/4</f>
        <v>179.04859446314381</v>
      </c>
      <c r="D19" s="201">
        <f>(SUM(D9:D11)-SUM(D23:D29))*'Summary Output'!$B$31/4</f>
        <v>178.25377685405704</v>
      </c>
      <c r="E19" s="201">
        <f>(SUM(E9:E17)-SUM(E23:E29))*'Summary Output'!$B$31/4</f>
        <v>308.87459356809615</v>
      </c>
      <c r="F19" s="201">
        <f>(SUM(F9:F17)-SUM(F23:F29))*'Summary Output'!$B$31/4</f>
        <v>325.80354786860858</v>
      </c>
      <c r="G19" s="201">
        <f>(SUM(G9:G17)-SUM(G23:G29))*'Summary Output'!$B$31/4</f>
        <v>329.8689757635575</v>
      </c>
      <c r="H19" s="201">
        <f>(SUM(H9:H17)-SUM(H23:H29))*'Summary Output'!$B$31/4</f>
        <v>334.04991186015161</v>
      </c>
      <c r="I19" s="201">
        <f>(SUM(I9:I17)-SUM(I23:I29))*'Summary Output'!$B$31/4</f>
        <v>338.26999674222276</v>
      </c>
      <c r="J19" s="201">
        <f>(SUM(J9:J17)-SUM(J23:J29))*'Summary Output'!$B$31/4</f>
        <v>342.69859933146671</v>
      </c>
      <c r="K19" s="201">
        <f>(SUM(K9:K17)-SUM(K23:K29))*'Summary Output'!$B$31/4</f>
        <v>340.21316377759081</v>
      </c>
      <c r="L19" s="201">
        <f>(SUM(L9:L17)-SUM(L23:L29))*'Summary Output'!$B$31/4</f>
        <v>348.90255376008395</v>
      </c>
      <c r="M19" s="201">
        <f>(SUM(M9:M17)-SUM(M23:M29))*'Summary Output'!$B$31/4</f>
        <v>357.92890382675574</v>
      </c>
      <c r="N19" s="201">
        <f>(SUM(N9:N17)-SUM(N23:N29))*'Summary Output'!$B$31/4</f>
        <v>366.14526999408093</v>
      </c>
      <c r="O19" s="201">
        <f>(SUM(O9:O17)-SUM(O23:O29))*'Summary Output'!$B$31/4</f>
        <v>372.86789583338606</v>
      </c>
      <c r="P19" s="201">
        <f>(SUM(P9:P17)-SUM(P23:P29))*'Summary Output'!$B$31/4</f>
        <v>379.69618193134187</v>
      </c>
      <c r="Q19" s="201">
        <f>(SUM(Q9:Q17)-SUM(Q23:Q29))*'Summary Output'!$B$31/4</f>
        <v>384.52807117931633</v>
      </c>
      <c r="R19" s="201">
        <f>(SUM(R9:R17)-SUM(R23:R29))*'Summary Output'!$B$31/4</f>
        <v>389.35809448800484</v>
      </c>
      <c r="S19" s="201">
        <f>(SUM(S9:S17)-SUM(S23:S29))*'Summary Output'!$B$31/4</f>
        <v>394.21684858749063</v>
      </c>
      <c r="T19" s="201">
        <f>(SUM(T9:T17)-SUM(T23:T29))*'Summary Output'!$B$31/4</f>
        <v>399.12384450645237</v>
      </c>
      <c r="U19" s="201">
        <f>(SUM(U9:U17)-SUM(U23:U29))*'Summary Output'!$B$31/4</f>
        <v>404.0714315824232</v>
      </c>
      <c r="W19" s="91">
        <f t="shared" si="4"/>
        <v>6653.7269314951054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3" t="s">
        <v>70</v>
      </c>
      <c r="B20" s="56">
        <f>SUM(B9:B19)</f>
        <v>24512.000971932506</v>
      </c>
      <c r="C20" s="56">
        <f t="shared" ref="C20:U20" si="5">SUM(C9:C19)</f>
        <v>24527.156366098778</v>
      </c>
      <c r="D20" s="56">
        <f t="shared" si="5"/>
        <v>24542.752428028089</v>
      </c>
      <c r="E20" s="56">
        <f t="shared" si="5"/>
        <v>29196.662626887552</v>
      </c>
      <c r="F20" s="56">
        <f t="shared" si="5"/>
        <v>30637.948938052916</v>
      </c>
      <c r="G20" s="56">
        <f t="shared" si="5"/>
        <v>31034.152300304078</v>
      </c>
      <c r="H20" s="56">
        <f t="shared" si="5"/>
        <v>31435.627064050197</v>
      </c>
      <c r="I20" s="56">
        <f t="shared" si="5"/>
        <v>31842.242571999919</v>
      </c>
      <c r="J20" s="56">
        <f t="shared" si="5"/>
        <v>32254.666419659126</v>
      </c>
      <c r="K20" s="56">
        <f t="shared" si="5"/>
        <v>32665.445452860848</v>
      </c>
      <c r="L20" s="56">
        <f t="shared" si="5"/>
        <v>33287.578548519341</v>
      </c>
      <c r="M20" s="56">
        <f t="shared" si="5"/>
        <v>33922.173588030644</v>
      </c>
      <c r="N20" s="56">
        <f t="shared" si="5"/>
        <v>34567.749154475008</v>
      </c>
      <c r="O20" s="56">
        <f t="shared" si="5"/>
        <v>35223.88119121061</v>
      </c>
      <c r="P20" s="56">
        <f t="shared" si="5"/>
        <v>35892.437227567199</v>
      </c>
      <c r="Q20" s="56">
        <f t="shared" si="5"/>
        <v>36407.830340695276</v>
      </c>
      <c r="R20" s="56">
        <f t="shared" si="5"/>
        <v>36931.683523646738</v>
      </c>
      <c r="S20" s="56">
        <f t="shared" si="5"/>
        <v>37462.140150675557</v>
      </c>
      <c r="T20" s="56">
        <f t="shared" si="5"/>
        <v>38000.910429679825</v>
      </c>
      <c r="U20" s="56">
        <f t="shared" si="5"/>
        <v>38547.508698036196</v>
      </c>
      <c r="W20" s="91">
        <f t="shared" si="4"/>
        <v>652892.54799241037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s="62" customFormat="1">
      <c r="A21" s="4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1" t="s">
        <v>71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W22" s="91"/>
    </row>
    <row r="23" spans="1:55">
      <c r="A23" s="3" t="s">
        <v>55</v>
      </c>
      <c r="B23" s="127">
        <f>Assumptions!E36*(1+Assumptions!$E$33)</f>
        <v>1934.4085877000002</v>
      </c>
      <c r="C23" s="127">
        <f>B23*(1+Assumptions!$E$33)</f>
        <v>1992.4408453310002</v>
      </c>
      <c r="D23" s="127">
        <f>C23*(1+Assumptions!$E$33)</f>
        <v>2052.2140706909304</v>
      </c>
      <c r="E23" s="127">
        <f>D23*(1+Assumptions!$E$33)</f>
        <v>2113.7804928116584</v>
      </c>
      <c r="F23" s="127">
        <f>E23*(1+Assumptions!$E$33)</f>
        <v>2177.1939075960081</v>
      </c>
      <c r="G23" s="127">
        <f>F23*(1+Assumptions!$E$33)</f>
        <v>2242.5097248238885</v>
      </c>
      <c r="H23" s="127">
        <f>G23*(1+Assumptions!$E$33)</f>
        <v>2309.7850165686054</v>
      </c>
      <c r="I23" s="127">
        <f>H23*(1+Assumptions!$E$33)</f>
        <v>2379.0785670656637</v>
      </c>
      <c r="J23" s="127">
        <f>I23*(1+Assumptions!$E$33)</f>
        <v>2450.4509240776338</v>
      </c>
      <c r="K23" s="127">
        <f>J23*(1+Assumptions!$E$33)</f>
        <v>2523.9644517999627</v>
      </c>
      <c r="L23" s="127">
        <f>K23*(1+Assumptions!$E$33)</f>
        <v>2599.6833853539615</v>
      </c>
      <c r="M23" s="127">
        <f>L23*(1+Assumptions!$E$33)</f>
        <v>2677.6738869145806</v>
      </c>
      <c r="N23" s="127">
        <f>M23*(1+Assumptions!$E$33)</f>
        <v>2758.0041035220183</v>
      </c>
      <c r="O23" s="127">
        <f>N23*(1+Assumptions!$E$33)</f>
        <v>2840.7442266276789</v>
      </c>
      <c r="P23" s="127">
        <f>O23*(1+Assumptions!$E$33)</f>
        <v>2925.9665534265096</v>
      </c>
      <c r="Q23" s="127">
        <f>P23*(1+Assumptions!$E$33)</f>
        <v>3013.7455500293049</v>
      </c>
      <c r="R23" s="127">
        <f>Q23*(1+Assumptions!$E$33)</f>
        <v>3104.1579165301841</v>
      </c>
      <c r="S23" s="127">
        <f>R23*(1+Assumptions!$E$33)</f>
        <v>3197.2826540260899</v>
      </c>
      <c r="T23" s="127">
        <f>S23*(1+Assumptions!$E$33)</f>
        <v>3293.2011336468727</v>
      </c>
      <c r="U23" s="127">
        <f>T23*(1+Assumptions!$E$33)</f>
        <v>3391.9971676562791</v>
      </c>
      <c r="W23" s="91">
        <f t="shared" ref="W23:W30" si="6">SUM(B23:U23)</f>
        <v>51978.283166198824</v>
      </c>
    </row>
    <row r="24" spans="1:55">
      <c r="A24" s="3" t="s">
        <v>56</v>
      </c>
      <c r="B24" s="127">
        <f>Assumptions!$E$37*(1+Assumptions!$E$33)</f>
        <v>66.949176000000008</v>
      </c>
      <c r="C24" s="127">
        <f>B24*(1+Assumptions!$E$33)</f>
        <v>68.957651280000007</v>
      </c>
      <c r="D24" s="127">
        <f>C24*(1+Assumptions!$E$33)</f>
        <v>71.026380818400014</v>
      </c>
      <c r="E24" s="127">
        <f>Assumptions!$E$23*Assumptions!$E$31*(1+Assumptions!$E$33)^(E5-2000)/1000</f>
        <v>73.157172242952001</v>
      </c>
      <c r="F24" s="127">
        <f>Assumptions!$E$23*Assumptions!$E$31*(1+Assumptions!$E$33)^(F5-2000)/1000</f>
        <v>75.35188741024055</v>
      </c>
      <c r="G24" s="127">
        <f>Assumptions!$E$23*Assumptions!$E$31*(1+Assumptions!$E$33)^(G5-2000)/1000</f>
        <v>77.612444032547771</v>
      </c>
      <c r="H24" s="127">
        <f>Assumptions!$E$23*Assumptions!$E$31*(1+Assumptions!$E$33)^(H5-2000)/1000</f>
        <v>79.94081735352421</v>
      </c>
      <c r="I24" s="127">
        <f>Assumptions!$E$23*Assumptions!$E$31*(1+Assumptions!$E$33)^(I5-2000)/1000</f>
        <v>82.339041874129933</v>
      </c>
      <c r="J24" s="127">
        <f>Assumptions!$E$23*Assumptions!$E$31*(1+Assumptions!$E$33)^(J5-2000)/1000</f>
        <v>84.809213130353839</v>
      </c>
      <c r="K24" s="127">
        <f>Assumptions!$E$23*Assumptions!$E$31*(1+Assumptions!$E$33)^(K5-2000)/1000</f>
        <v>87.353489524264447</v>
      </c>
      <c r="L24" s="127">
        <f>Assumptions!$E$23*Assumptions!$E$31*(1+Assumptions!$E$33)^(L5-2000)/1000</f>
        <v>89.974094209992387</v>
      </c>
      <c r="M24" s="127">
        <f>Assumptions!$E$23*Assumptions!$E$31*(1+Assumptions!$E$33)^(M5-2000)/1000</f>
        <v>92.673317036292133</v>
      </c>
      <c r="N24" s="127">
        <f>Assumptions!$E$23*Assumptions!$E$31*(1+Assumptions!$E$33)^(N5-2000)/1000</f>
        <v>95.4535165473809</v>
      </c>
      <c r="O24" s="127">
        <f>Assumptions!$E$23*Assumptions!$E$31*(1+Assumptions!$E$33)^(O5-2000)/1000</f>
        <v>98.317122043802343</v>
      </c>
      <c r="P24" s="127">
        <f>Assumptions!$E$23*Assumptions!$E$31*(1+Assumptions!$E$33)^(P5-2000)/1000</f>
        <v>101.26663570511641</v>
      </c>
      <c r="Q24" s="127">
        <f>Assumptions!$E$23*Assumptions!$E$31*(1+Assumptions!$E$33)^(Q5-2000)/1000</f>
        <v>104.30463477626989</v>
      </c>
      <c r="R24" s="127">
        <f>Assumptions!$E$23*Assumptions!$E$31*(1+Assumptions!$E$33)^(R5-2000)/1000</f>
        <v>107.43377381955798</v>
      </c>
      <c r="S24" s="127">
        <f>Assumptions!$E$23*Assumptions!$E$31*(1+Assumptions!$E$33)^(S5-2000)/1000</f>
        <v>110.65678703414473</v>
      </c>
      <c r="T24" s="127">
        <f>Assumptions!$E$23*Assumptions!$E$31*(1+Assumptions!$E$33)^(T5-2000)/1000</f>
        <v>113.97649064516906</v>
      </c>
      <c r="U24" s="127">
        <f>Assumptions!$E$23*Assumptions!$E$31*(1+Assumptions!$E$33)^(U5-2000)/1000</f>
        <v>117.39578536452414</v>
      </c>
      <c r="W24" s="91">
        <f t="shared" si="6"/>
        <v>1798.9494308486626</v>
      </c>
    </row>
    <row r="25" spans="1:55">
      <c r="A25" s="3" t="s">
        <v>57</v>
      </c>
      <c r="B25" s="127">
        <f>Assumptions!$E$32*Assumptions!$E$11*Assumptions!$E$8/1000*(1+Assumptions!$E$33)</f>
        <v>463.5</v>
      </c>
      <c r="C25" s="91">
        <f>B25*(1+Assumptions!$E$33)</f>
        <v>477.40500000000003</v>
      </c>
      <c r="D25" s="91">
        <f>C25*(1+Assumptions!$E$33)</f>
        <v>491.72715000000005</v>
      </c>
      <c r="E25" s="91">
        <f>D25*(1+Assumptions!$E$33)</f>
        <v>506.47896450000007</v>
      </c>
      <c r="F25" s="91">
        <f>E25*(1+Assumptions!$E$33)</f>
        <v>521.67333343500013</v>
      </c>
      <c r="G25" s="91">
        <f>F25*(1+Assumptions!$E$33)</f>
        <v>537.32353343805016</v>
      </c>
      <c r="H25" s="91">
        <f>G25*(1+Assumptions!$E$33)</f>
        <v>553.44323944119174</v>
      </c>
      <c r="I25" s="91">
        <f>H25*(1+Assumptions!$E$33)</f>
        <v>570.04653662442752</v>
      </c>
      <c r="J25" s="91">
        <f>I25*(1+Assumptions!$E$33)</f>
        <v>587.14793272316035</v>
      </c>
      <c r="K25" s="91">
        <f>J25*(1+Assumptions!$E$33)</f>
        <v>604.76237070485513</v>
      </c>
      <c r="L25" s="91">
        <f>K25*(1+Assumptions!$E$33)</f>
        <v>622.90524182600075</v>
      </c>
      <c r="M25" s="91">
        <f>L25*(1+Assumptions!$E$33)</f>
        <v>641.59239908078075</v>
      </c>
      <c r="N25" s="91">
        <f>M25*(1+Assumptions!$E$33)</f>
        <v>660.84017105320424</v>
      </c>
      <c r="O25" s="91">
        <f>N25*(1+Assumptions!$E$33)</f>
        <v>680.66537618480038</v>
      </c>
      <c r="P25" s="91">
        <f>O25*(1+Assumptions!$E$33)</f>
        <v>701.08533747034437</v>
      </c>
      <c r="Q25" s="91">
        <f>P25*(1+Assumptions!$E$33)</f>
        <v>722.11789759445469</v>
      </c>
      <c r="R25" s="91">
        <f>Q25*(1+Assumptions!$E$33)</f>
        <v>743.78143452228835</v>
      </c>
      <c r="S25" s="91">
        <f>R25*(1+Assumptions!$E$33)</f>
        <v>766.09487755795703</v>
      </c>
      <c r="T25" s="91">
        <f>S25*(1+Assumptions!$E$33)</f>
        <v>789.07772388469573</v>
      </c>
      <c r="U25" s="91">
        <f>T25*(1+Assumptions!$E$33)</f>
        <v>812.75005560123657</v>
      </c>
      <c r="W25" s="91">
        <f t="shared" si="6"/>
        <v>12454.418575642445</v>
      </c>
    </row>
    <row r="26" spans="1:55">
      <c r="A26" s="3" t="s">
        <v>124</v>
      </c>
      <c r="B26" s="127">
        <f>Assumptions!E39*(1+Assumptions!$E$33)</f>
        <v>213.22957000000002</v>
      </c>
      <c r="C26" s="127">
        <f>B26*(1+Assumptions!$E$33)</f>
        <v>219.62645710000004</v>
      </c>
      <c r="D26" s="127">
        <f>C26*(1+Assumptions!$E$33)</f>
        <v>226.21525081300004</v>
      </c>
      <c r="E26" s="127">
        <f>D26*(1+Assumptions!$E$33)</f>
        <v>233.00170833739006</v>
      </c>
      <c r="F26" s="127">
        <f>E26*(1+Assumptions!$E$33)</f>
        <v>239.99175958751175</v>
      </c>
      <c r="G26" s="127">
        <f>F26*(1+Assumptions!$E$33)</f>
        <v>247.19151237513711</v>
      </c>
      <c r="H26" s="127">
        <f>G26*(1+Assumptions!$E$33)</f>
        <v>254.60725774639124</v>
      </c>
      <c r="I26" s="127">
        <f>H26*(1+Assumptions!$E$33)</f>
        <v>262.24547547878296</v>
      </c>
      <c r="J26" s="127">
        <f>I26*(1+Assumptions!$E$33)</f>
        <v>270.11283974314648</v>
      </c>
      <c r="K26" s="127">
        <f>J26*(1+Assumptions!$E$33)</f>
        <v>278.21622493544089</v>
      </c>
      <c r="L26" s="127">
        <f>K26*(1+Assumptions!$E$33)</f>
        <v>286.56271168350412</v>
      </c>
      <c r="M26" s="127">
        <f>L26*(1+Assumptions!$E$33)</f>
        <v>295.15959303400928</v>
      </c>
      <c r="N26" s="127">
        <f>M26*(1+Assumptions!$E$33)</f>
        <v>304.01438082502955</v>
      </c>
      <c r="O26" s="127">
        <f>N26*(1+Assumptions!$E$33)</f>
        <v>313.13481224978045</v>
      </c>
      <c r="P26" s="127">
        <f>O26*(1+Assumptions!$E$33)</f>
        <v>322.5288566172739</v>
      </c>
      <c r="Q26" s="127">
        <f>P26*(1+Assumptions!$E$33)</f>
        <v>332.20472231579214</v>
      </c>
      <c r="R26" s="127">
        <f>Q26*(1+Assumptions!$E$33)</f>
        <v>342.1708639852659</v>
      </c>
      <c r="S26" s="127">
        <f>R26*(1+Assumptions!$E$33)</f>
        <v>352.43598990482388</v>
      </c>
      <c r="T26" s="127">
        <f>S26*(1+Assumptions!$E$33)</f>
        <v>363.00906960196863</v>
      </c>
      <c r="U26" s="127">
        <f>T26*(1+Assumptions!$E$33)</f>
        <v>373.89934169002771</v>
      </c>
      <c r="W26" s="91">
        <f t="shared" si="6"/>
        <v>5729.5583980242764</v>
      </c>
    </row>
    <row r="27" spans="1:55">
      <c r="A27" s="3" t="s">
        <v>125</v>
      </c>
      <c r="B27" s="127">
        <f>Assumptions!E40*(1+Assumptions!$E$33)</f>
        <v>373.5523316666667</v>
      </c>
      <c r="C27" s="127">
        <f>B27*(1+Assumptions!$E$33)</f>
        <v>384.75890161666672</v>
      </c>
      <c r="D27" s="127">
        <f>C27*(1+Assumptions!$E$33)</f>
        <v>396.30166866516674</v>
      </c>
      <c r="E27" s="127">
        <f>D27*(1+Assumptions!$E$33)</f>
        <v>408.19071872512177</v>
      </c>
      <c r="F27" s="127">
        <f>E27*(1+Assumptions!$E$33)</f>
        <v>420.43644028687544</v>
      </c>
      <c r="G27" s="127">
        <f>F27*(1+Assumptions!$E$33)</f>
        <v>433.04953349548174</v>
      </c>
      <c r="H27" s="127">
        <f>G27*(1+Assumptions!$E$33)</f>
        <v>446.04101950034618</v>
      </c>
      <c r="I27" s="127">
        <f>H27*(1+Assumptions!$E$33)</f>
        <v>459.42225008535655</v>
      </c>
      <c r="J27" s="127">
        <f>I27*(1+Assumptions!$E$33)</f>
        <v>473.20491758791724</v>
      </c>
      <c r="K27" s="127">
        <f>J27*(1+Assumptions!$E$33)</f>
        <v>487.40106511555479</v>
      </c>
      <c r="L27" s="127">
        <f>K27*(1+Assumptions!$E$33)</f>
        <v>502.02309706902145</v>
      </c>
      <c r="M27" s="127">
        <f>L27*(1+Assumptions!$E$33)</f>
        <v>517.08378998109208</v>
      </c>
      <c r="N27" s="127">
        <f>M27*(1+Assumptions!$E$33)</f>
        <v>532.5963036805249</v>
      </c>
      <c r="O27" s="127">
        <f>N27*(1+Assumptions!$E$33)</f>
        <v>548.57419279094063</v>
      </c>
      <c r="P27" s="127">
        <f>O27*(1+Assumptions!$E$33)</f>
        <v>565.03141857466881</v>
      </c>
      <c r="Q27" s="127">
        <f>P27*(1+Assumptions!$E$33)</f>
        <v>581.98236113190887</v>
      </c>
      <c r="R27" s="127">
        <f>Q27*(1+Assumptions!$E$33)</f>
        <v>599.44183196586619</v>
      </c>
      <c r="S27" s="127">
        <f>R27*(1+Assumptions!$E$33)</f>
        <v>617.42508692484216</v>
      </c>
      <c r="T27" s="127">
        <f>S27*(1+Assumptions!$E$33)</f>
        <v>635.94783953258741</v>
      </c>
      <c r="U27" s="127">
        <f>T27*(1+Assumptions!$E$33)</f>
        <v>655.02627471856499</v>
      </c>
      <c r="W27" s="91">
        <f t="shared" si="6"/>
        <v>10037.491043115171</v>
      </c>
    </row>
    <row r="28" spans="1:55">
      <c r="A28" s="3" t="s">
        <v>230</v>
      </c>
      <c r="B28" s="486">
        <v>487.9</v>
      </c>
      <c r="C28" s="486">
        <v>486.5</v>
      </c>
      <c r="D28" s="486">
        <v>484.5</v>
      </c>
      <c r="E28" s="486">
        <v>476.4</v>
      </c>
      <c r="F28" s="486">
        <v>467.3</v>
      </c>
      <c r="G28" s="486">
        <v>451.3</v>
      </c>
      <c r="H28" s="486">
        <v>427.8</v>
      </c>
      <c r="I28" s="486">
        <v>402.5</v>
      </c>
      <c r="J28" s="486">
        <v>362.4</v>
      </c>
      <c r="K28" s="486">
        <v>878.3</v>
      </c>
      <c r="L28" s="486">
        <v>695.3</v>
      </c>
      <c r="M28" s="486">
        <v>494</v>
      </c>
      <c r="N28" s="486">
        <v>365.9</v>
      </c>
      <c r="O28" s="486">
        <v>365.9</v>
      </c>
      <c r="P28" s="486">
        <v>365.9</v>
      </c>
      <c r="Q28" s="486">
        <v>365.9</v>
      </c>
      <c r="R28" s="486">
        <v>365.9</v>
      </c>
      <c r="S28" s="486">
        <v>365.9</v>
      </c>
      <c r="T28" s="486">
        <v>365.9</v>
      </c>
      <c r="U28" s="486">
        <f>T28</f>
        <v>365.9</v>
      </c>
      <c r="W28" s="91">
        <f t="shared" si="6"/>
        <v>9041.3999999999978</v>
      </c>
    </row>
    <row r="29" spans="1:55" s="16" customFormat="1">
      <c r="A29" s="3" t="s">
        <v>219</v>
      </c>
      <c r="B29" s="146">
        <f>B83</f>
        <v>414.37546448346143</v>
      </c>
      <c r="C29" s="146">
        <f t="shared" ref="C29:U29" si="7">C83</f>
        <v>400.78623890082758</v>
      </c>
      <c r="D29" s="146">
        <f t="shared" si="7"/>
        <v>388.46686150633934</v>
      </c>
      <c r="E29" s="146">
        <f t="shared" si="7"/>
        <v>366.81149125464037</v>
      </c>
      <c r="F29" s="146">
        <f t="shared" si="7"/>
        <v>345.91423237998885</v>
      </c>
      <c r="G29" s="146">
        <f t="shared" si="7"/>
        <v>325.77851529081477</v>
      </c>
      <c r="H29" s="146">
        <f t="shared" si="7"/>
        <v>305.96685276786144</v>
      </c>
      <c r="I29" s="146">
        <f t="shared" si="7"/>
        <v>286.74096475151606</v>
      </c>
      <c r="J29" s="146">
        <f t="shared" si="7"/>
        <v>267.95404654811296</v>
      </c>
      <c r="K29" s="146">
        <f t="shared" si="7"/>
        <v>248.18158479592051</v>
      </c>
      <c r="L29" s="146">
        <f t="shared" si="7"/>
        <v>230.02316381006386</v>
      </c>
      <c r="M29" s="146">
        <f t="shared" si="7"/>
        <v>211.74939201667922</v>
      </c>
      <c r="N29" s="146">
        <f t="shared" si="7"/>
        <v>193.17380932629996</v>
      </c>
      <c r="O29" s="146">
        <f t="shared" si="7"/>
        <v>174.24589880933979</v>
      </c>
      <c r="P29" s="146">
        <f t="shared" si="7"/>
        <v>155.26768933459564</v>
      </c>
      <c r="Q29" s="146">
        <f t="shared" si="7"/>
        <v>140.80140932292522</v>
      </c>
      <c r="R29" s="146">
        <f t="shared" si="7"/>
        <v>130.79204929518616</v>
      </c>
      <c r="S29" s="146">
        <f t="shared" si="7"/>
        <v>120.78001964096076</v>
      </c>
      <c r="T29" s="146">
        <f t="shared" si="7"/>
        <v>110.76676734589017</v>
      </c>
      <c r="U29" s="146">
        <f t="shared" si="7"/>
        <v>100.75411482928615</v>
      </c>
      <c r="V29" s="91"/>
      <c r="W29" s="91">
        <f t="shared" si="6"/>
        <v>4919.3305664107093</v>
      </c>
    </row>
    <row r="30" spans="1:55">
      <c r="A30" s="3" t="s">
        <v>72</v>
      </c>
      <c r="B30" s="127">
        <f t="shared" ref="B30:U30" si="8">SUM(B23:B29)</f>
        <v>3953.9151298501283</v>
      </c>
      <c r="C30" s="127">
        <f t="shared" si="8"/>
        <v>4030.4750942284945</v>
      </c>
      <c r="D30" s="127">
        <f t="shared" si="8"/>
        <v>4110.4513824938367</v>
      </c>
      <c r="E30" s="127">
        <f t="shared" si="8"/>
        <v>4177.8205478717628</v>
      </c>
      <c r="F30" s="127">
        <f t="shared" si="8"/>
        <v>4247.8615606956255</v>
      </c>
      <c r="G30" s="127">
        <f t="shared" si="8"/>
        <v>4314.7652634559208</v>
      </c>
      <c r="H30" s="127">
        <f t="shared" si="8"/>
        <v>4377.5842033779199</v>
      </c>
      <c r="I30" s="127">
        <f t="shared" si="8"/>
        <v>4442.3728358798771</v>
      </c>
      <c r="J30" s="127">
        <f t="shared" si="8"/>
        <v>4496.0798738103249</v>
      </c>
      <c r="K30" s="127">
        <f t="shared" si="8"/>
        <v>5108.1791868759992</v>
      </c>
      <c r="L30" s="127">
        <f t="shared" si="8"/>
        <v>5026.4716939525442</v>
      </c>
      <c r="M30" s="127">
        <f t="shared" si="8"/>
        <v>4929.932378063434</v>
      </c>
      <c r="N30" s="127">
        <f t="shared" si="8"/>
        <v>4909.982284954458</v>
      </c>
      <c r="O30" s="127">
        <f t="shared" si="8"/>
        <v>5021.5816287063417</v>
      </c>
      <c r="P30" s="127">
        <f t="shared" si="8"/>
        <v>5137.0464911285089</v>
      </c>
      <c r="Q30" s="127">
        <f t="shared" si="8"/>
        <v>5261.0565751706554</v>
      </c>
      <c r="R30" s="127">
        <f t="shared" si="8"/>
        <v>5393.6778701183484</v>
      </c>
      <c r="S30" s="127">
        <f t="shared" si="8"/>
        <v>5530.5754150888188</v>
      </c>
      <c r="T30" s="127">
        <f t="shared" si="8"/>
        <v>5671.8790246571834</v>
      </c>
      <c r="U30" s="127">
        <f t="shared" si="8"/>
        <v>5817.722739859918</v>
      </c>
      <c r="W30" s="91">
        <f t="shared" si="6"/>
        <v>95959.431180240121</v>
      </c>
    </row>
    <row r="31" spans="1:55" s="62" customFormat="1" outlineLevel="1">
      <c r="A31" s="5"/>
      <c r="B31" s="130"/>
      <c r="C31" s="13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W31" s="91"/>
    </row>
    <row r="32" spans="1:55" s="62" customFormat="1" ht="6.75" customHeight="1">
      <c r="A32" s="5"/>
      <c r="B32" s="130"/>
      <c r="C32" s="131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W32" s="91"/>
    </row>
    <row r="33" spans="1:23" s="57" customFormat="1">
      <c r="A33" s="1" t="s">
        <v>73</v>
      </c>
      <c r="B33" s="120">
        <f t="shared" ref="B33:U33" si="9">B20-B30</f>
        <v>20558.085842082379</v>
      </c>
      <c r="C33" s="120">
        <f t="shared" si="9"/>
        <v>20496.681271870282</v>
      </c>
      <c r="D33" s="120">
        <f t="shared" si="9"/>
        <v>20432.301045534252</v>
      </c>
      <c r="E33" s="120">
        <f t="shared" si="9"/>
        <v>25018.842079015791</v>
      </c>
      <c r="F33" s="120">
        <f t="shared" si="9"/>
        <v>26390.087377357289</v>
      </c>
      <c r="G33" s="120">
        <f t="shared" si="9"/>
        <v>26719.387036848158</v>
      </c>
      <c r="H33" s="120">
        <f t="shared" si="9"/>
        <v>27058.042860672278</v>
      </c>
      <c r="I33" s="120">
        <f t="shared" si="9"/>
        <v>27399.869736120043</v>
      </c>
      <c r="J33" s="120">
        <f t="shared" si="9"/>
        <v>27758.586545848801</v>
      </c>
      <c r="K33" s="120">
        <f t="shared" si="9"/>
        <v>27557.26626598485</v>
      </c>
      <c r="L33" s="120">
        <f t="shared" si="9"/>
        <v>28261.106854566795</v>
      </c>
      <c r="M33" s="120">
        <f t="shared" si="9"/>
        <v>28992.241209967211</v>
      </c>
      <c r="N33" s="120">
        <f t="shared" si="9"/>
        <v>29657.76686952055</v>
      </c>
      <c r="O33" s="120">
        <f t="shared" si="9"/>
        <v>30202.299562504268</v>
      </c>
      <c r="P33" s="120">
        <f t="shared" si="9"/>
        <v>30755.390736438691</v>
      </c>
      <c r="Q33" s="120">
        <f t="shared" si="9"/>
        <v>31146.77376552462</v>
      </c>
      <c r="R33" s="120">
        <f t="shared" si="9"/>
        <v>31538.005653528387</v>
      </c>
      <c r="S33" s="120">
        <f t="shared" si="9"/>
        <v>31931.56473558674</v>
      </c>
      <c r="T33" s="120">
        <f t="shared" si="9"/>
        <v>32329.031405022641</v>
      </c>
      <c r="U33" s="120">
        <f t="shared" si="9"/>
        <v>32729.785958176279</v>
      </c>
      <c r="W33" s="91">
        <f>SUM(B33:U33)</f>
        <v>556933.11681217037</v>
      </c>
    </row>
    <row r="34" spans="1:23" s="57" customFormat="1">
      <c r="A34" s="1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1"/>
    </row>
    <row r="35" spans="1:23">
      <c r="A35" s="3" t="s">
        <v>74</v>
      </c>
      <c r="B35" s="127">
        <f>Depreciation!C29</f>
        <v>6200.987939543701</v>
      </c>
      <c r="C35" s="127">
        <f>Depreciation!D29</f>
        <v>6200.987939543701</v>
      </c>
      <c r="D35" s="127">
        <f>Depreciation!E29</f>
        <v>6200.987939543701</v>
      </c>
      <c r="E35" s="127">
        <f>Depreciation!F29</f>
        <v>6200.987939543701</v>
      </c>
      <c r="F35" s="127">
        <f>Depreciation!G29</f>
        <v>6200.987939543701</v>
      </c>
      <c r="G35" s="127">
        <f>Depreciation!H29</f>
        <v>6200.987939543701</v>
      </c>
      <c r="H35" s="127">
        <f>Depreciation!I29</f>
        <v>6200.987939543701</v>
      </c>
      <c r="I35" s="127">
        <f>Depreciation!J29</f>
        <v>6200.987939543701</v>
      </c>
      <c r="J35" s="127">
        <f>Depreciation!K29</f>
        <v>6200.987939543701</v>
      </c>
      <c r="K35" s="127">
        <f>Depreciation!L29</f>
        <v>6200.987939543701</v>
      </c>
      <c r="L35" s="127">
        <f>Depreciation!M29</f>
        <v>6200.987939543701</v>
      </c>
      <c r="M35" s="127">
        <f>Depreciation!N29</f>
        <v>6200.987939543701</v>
      </c>
      <c r="N35" s="127">
        <f>Depreciation!O29</f>
        <v>6200.987939543701</v>
      </c>
      <c r="O35" s="127">
        <f>Depreciation!P29</f>
        <v>6200.987939543701</v>
      </c>
      <c r="P35" s="127">
        <f>Depreciation!Q29</f>
        <v>6200.987939543701</v>
      </c>
      <c r="Q35" s="127">
        <f>Depreciation!R29</f>
        <v>6200.987939543701</v>
      </c>
      <c r="R35" s="127">
        <f>Depreciation!S29</f>
        <v>6200.987939543701</v>
      </c>
      <c r="S35" s="127">
        <f>Depreciation!T29</f>
        <v>6200.987939543701</v>
      </c>
      <c r="T35" s="127">
        <f>Depreciation!U29</f>
        <v>6200.987939543701</v>
      </c>
      <c r="U35" s="127">
        <f>Depreciation!V29</f>
        <v>6200.987939543701</v>
      </c>
      <c r="W35" s="91">
        <f>SUM(B35:U35)</f>
        <v>124019.75879087402</v>
      </c>
    </row>
    <row r="36" spans="1:23">
      <c r="A36" s="3"/>
      <c r="B36" s="127"/>
      <c r="C36" s="91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W36" s="91"/>
    </row>
    <row r="37" spans="1:23" s="57" customFormat="1">
      <c r="A37" s="1" t="s">
        <v>75</v>
      </c>
      <c r="B37" s="132">
        <f t="shared" ref="B37:U37" si="10">B33-B35</f>
        <v>14357.097902538677</v>
      </c>
      <c r="C37" s="132">
        <f t="shared" si="10"/>
        <v>14295.69333232658</v>
      </c>
      <c r="D37" s="132">
        <f t="shared" si="10"/>
        <v>14231.31310599055</v>
      </c>
      <c r="E37" s="132">
        <f t="shared" si="10"/>
        <v>18817.854139472089</v>
      </c>
      <c r="F37" s="132">
        <f t="shared" si="10"/>
        <v>20189.099437813587</v>
      </c>
      <c r="G37" s="132">
        <f t="shared" si="10"/>
        <v>20518.399097304457</v>
      </c>
      <c r="H37" s="132">
        <f t="shared" si="10"/>
        <v>20857.054921128576</v>
      </c>
      <c r="I37" s="132">
        <f t="shared" si="10"/>
        <v>21198.881796576341</v>
      </c>
      <c r="J37" s="132">
        <f t="shared" si="10"/>
        <v>21557.598606305099</v>
      </c>
      <c r="K37" s="132">
        <f t="shared" si="10"/>
        <v>21356.278326441148</v>
      </c>
      <c r="L37" s="132">
        <f t="shared" si="10"/>
        <v>22060.118915023093</v>
      </c>
      <c r="M37" s="132">
        <f t="shared" si="10"/>
        <v>22791.253270423509</v>
      </c>
      <c r="N37" s="132">
        <f t="shared" si="10"/>
        <v>23456.778929976848</v>
      </c>
      <c r="O37" s="132">
        <f t="shared" si="10"/>
        <v>24001.311622960566</v>
      </c>
      <c r="P37" s="132">
        <f t="shared" si="10"/>
        <v>24554.402796894989</v>
      </c>
      <c r="Q37" s="132">
        <f t="shared" si="10"/>
        <v>24945.785825980918</v>
      </c>
      <c r="R37" s="132">
        <f t="shared" si="10"/>
        <v>25337.017713984686</v>
      </c>
      <c r="S37" s="132">
        <f t="shared" si="10"/>
        <v>25730.576796043038</v>
      </c>
      <c r="T37" s="132">
        <f t="shared" si="10"/>
        <v>26128.043465478939</v>
      </c>
      <c r="U37" s="132">
        <f t="shared" si="10"/>
        <v>26528.798018632577</v>
      </c>
      <c r="W37" s="91">
        <f>SUM(B37:U37)</f>
        <v>432913.35802129633</v>
      </c>
    </row>
    <row r="38" spans="1:23" s="57" customFormat="1">
      <c r="A38" s="1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W38" s="91"/>
    </row>
    <row r="39" spans="1:23">
      <c r="A39" s="6" t="s">
        <v>76</v>
      </c>
      <c r="B39" s="127">
        <f>IS!B40*Allocation!$E$9</f>
        <v>8936.3388737160258</v>
      </c>
      <c r="C39" s="127">
        <f>IS!C40*Allocation!$E$9</f>
        <v>8739.8300600941566</v>
      </c>
      <c r="D39" s="127">
        <f>IS!D40*Allocation!$E$9</f>
        <v>8476.2739905657709</v>
      </c>
      <c r="E39" s="127">
        <f>IS!E40*Allocation!$E$9</f>
        <v>8287.2911808912977</v>
      </c>
      <c r="F39" s="127">
        <f>IS!F40*Allocation!$E$9</f>
        <v>8050.6702858593908</v>
      </c>
      <c r="G39" s="127">
        <f>IS!G40*Allocation!$E$9</f>
        <v>7772.5648048369194</v>
      </c>
      <c r="H39" s="127">
        <f>IS!H40*Allocation!$E$9</f>
        <v>7460.0116883445207</v>
      </c>
      <c r="I39" s="127">
        <f>IS!I40*Allocation!$E$9</f>
        <v>7135.007702014208</v>
      </c>
      <c r="J39" s="127">
        <f>IS!J40*Allocation!$E$9</f>
        <v>6726.8536981949164</v>
      </c>
      <c r="K39" s="127">
        <f>IS!K40*Allocation!$E$9</f>
        <v>6276.7870310436947</v>
      </c>
      <c r="L39" s="127">
        <f>IS!L40*Allocation!$E$9</f>
        <v>5774.0994717713693</v>
      </c>
      <c r="M39" s="127">
        <f>IS!M40*Allocation!$E$9</f>
        <v>5187.088688392686</v>
      </c>
      <c r="N39" s="127">
        <f>IS!N40*Allocation!$E$9</f>
        <v>4570.9045486590885</v>
      </c>
      <c r="O39" s="127">
        <f>IS!O40*Allocation!$E$9</f>
        <v>3969.3070871029477</v>
      </c>
      <c r="P39" s="127">
        <f>IS!P40*Allocation!$E$9</f>
        <v>3360.1278493189761</v>
      </c>
      <c r="Q39" s="127">
        <f>IS!Q40*Allocation!$E$9</f>
        <v>2728.7801571297168</v>
      </c>
      <c r="R39" s="127">
        <f>IS!R40*Allocation!$E$9</f>
        <v>2059.1115307454429</v>
      </c>
      <c r="S39" s="127">
        <f>IS!S40*Allocation!$E$9</f>
        <v>1427.6814279450111</v>
      </c>
      <c r="T39" s="127">
        <f>IS!T40*Allocation!$E$9</f>
        <v>886.24371254448454</v>
      </c>
      <c r="U39" s="127">
        <f>IS!U40*Allocation!$E$9</f>
        <v>346.1245669227111</v>
      </c>
      <c r="W39" s="91">
        <f>SUM(B39:U39)</f>
        <v>108171.09835609334</v>
      </c>
    </row>
    <row r="40" spans="1:23" ht="6" customHeight="1">
      <c r="B40" s="67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W40" s="91"/>
    </row>
    <row r="41" spans="1:23" s="57" customFormat="1">
      <c r="A41" s="1" t="s">
        <v>77</v>
      </c>
      <c r="B41" s="132">
        <f t="shared" ref="B41:U41" si="11">B37-B39</f>
        <v>5420.7590288226511</v>
      </c>
      <c r="C41" s="132">
        <f t="shared" si="11"/>
        <v>5555.8632722324237</v>
      </c>
      <c r="D41" s="132">
        <f t="shared" si="11"/>
        <v>5755.0391154247791</v>
      </c>
      <c r="E41" s="132">
        <f t="shared" si="11"/>
        <v>10530.562958580791</v>
      </c>
      <c r="F41" s="132">
        <f t="shared" si="11"/>
        <v>12138.429151954197</v>
      </c>
      <c r="G41" s="132">
        <f t="shared" si="11"/>
        <v>12745.834292467538</v>
      </c>
      <c r="H41" s="132">
        <f t="shared" si="11"/>
        <v>13397.043232784055</v>
      </c>
      <c r="I41" s="132">
        <f t="shared" si="11"/>
        <v>14063.874094562132</v>
      </c>
      <c r="J41" s="132">
        <f t="shared" si="11"/>
        <v>14830.744908110182</v>
      </c>
      <c r="K41" s="132">
        <f t="shared" si="11"/>
        <v>15079.491295397453</v>
      </c>
      <c r="L41" s="132">
        <f t="shared" si="11"/>
        <v>16286.019443251724</v>
      </c>
      <c r="M41" s="132">
        <f t="shared" si="11"/>
        <v>17604.164582030822</v>
      </c>
      <c r="N41" s="132">
        <f t="shared" si="11"/>
        <v>18885.874381317761</v>
      </c>
      <c r="O41" s="132">
        <f t="shared" si="11"/>
        <v>20032.004535857617</v>
      </c>
      <c r="P41" s="132">
        <f t="shared" si="11"/>
        <v>21194.274947576014</v>
      </c>
      <c r="Q41" s="132">
        <f t="shared" si="11"/>
        <v>22217.005668851201</v>
      </c>
      <c r="R41" s="132">
        <f t="shared" si="11"/>
        <v>23277.906183239244</v>
      </c>
      <c r="S41" s="132">
        <f t="shared" si="11"/>
        <v>24302.895368098027</v>
      </c>
      <c r="T41" s="132">
        <f t="shared" si="11"/>
        <v>25241.799752934454</v>
      </c>
      <c r="U41" s="132">
        <f t="shared" si="11"/>
        <v>26182.673451709867</v>
      </c>
      <c r="W41" s="91">
        <f>SUM(B41:U41)</f>
        <v>324742.25966520287</v>
      </c>
    </row>
    <row r="42" spans="1:23" s="57" customFormat="1">
      <c r="A42" s="1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W42" s="91"/>
    </row>
    <row r="43" spans="1:23">
      <c r="A43" s="3" t="s">
        <v>78</v>
      </c>
      <c r="B43" s="127">
        <f>B41*-Assumptions!$E$47</f>
        <v>-271.03795144113258</v>
      </c>
      <c r="C43" s="127">
        <f>C41*-Assumptions!$E$47</f>
        <v>-277.7931636116212</v>
      </c>
      <c r="D43" s="127">
        <f>D41*-Assumptions!$E$47</f>
        <v>-287.75195577123895</v>
      </c>
      <c r="E43" s="127">
        <f>E41*-Assumptions!$E$47</f>
        <v>-526.52814792903962</v>
      </c>
      <c r="F43" s="127">
        <f>F41*-Assumptions!$E$47</f>
        <v>-606.92145759770983</v>
      </c>
      <c r="G43" s="127">
        <f>G41*-Assumptions!$E$47</f>
        <v>-637.29171462337695</v>
      </c>
      <c r="H43" s="127">
        <f>H41*-Assumptions!$E$47</f>
        <v>-669.85216163920279</v>
      </c>
      <c r="I43" s="127">
        <f>I41*-Assumptions!$E$47</f>
        <v>-703.1937047281067</v>
      </c>
      <c r="J43" s="127">
        <f>J41*-Assumptions!$E$47</f>
        <v>-741.53724540550911</v>
      </c>
      <c r="K43" s="127">
        <f>K41*-Assumptions!$E$47</f>
        <v>-753.9745647698727</v>
      </c>
      <c r="L43" s="127">
        <f>L41*-Assumptions!$E$47</f>
        <v>-814.30097216258628</v>
      </c>
      <c r="M43" s="127">
        <f>M41*-Assumptions!$E$47</f>
        <v>-880.20822910154118</v>
      </c>
      <c r="N43" s="127">
        <f>N41*-Assumptions!$E$47</f>
        <v>-944.29371906588813</v>
      </c>
      <c r="O43" s="127">
        <f>O41*-Assumptions!$E$47</f>
        <v>-1001.6002267928809</v>
      </c>
      <c r="P43" s="127">
        <f>P41*-Assumptions!$E$47</f>
        <v>-1059.7137473788007</v>
      </c>
      <c r="Q43" s="127">
        <f>Q41*-Assumptions!$E$47</f>
        <v>-1110.8502834425601</v>
      </c>
      <c r="R43" s="127">
        <f>R41*-Assumptions!$E$47</f>
        <v>-1163.8953091619621</v>
      </c>
      <c r="S43" s="127">
        <f>S41*-Assumptions!$E$47</f>
        <v>-1215.1447684049015</v>
      </c>
      <c r="T43" s="127">
        <f>T41*-Assumptions!$E$47</f>
        <v>-1262.0899876467229</v>
      </c>
      <c r="U43" s="127">
        <f>U41*-Assumptions!$E$47</f>
        <v>-1309.1336725854935</v>
      </c>
      <c r="W43" s="91">
        <f>SUM(B43:U43)</f>
        <v>-16237.112983260151</v>
      </c>
    </row>
    <row r="44" spans="1:23">
      <c r="A44" s="3" t="s">
        <v>79</v>
      </c>
      <c r="B44" s="121">
        <f>(B41+B43)*-Assumptions!$E$46</f>
        <v>-1802.4023770835313</v>
      </c>
      <c r="C44" s="121">
        <f>(C41+C43)*-Assumptions!$E$46</f>
        <v>-1847.3245380172809</v>
      </c>
      <c r="D44" s="121">
        <f>(D41+D43)*-Assumptions!$E$46</f>
        <v>-1913.5505058787392</v>
      </c>
      <c r="E44" s="121">
        <f>(E41+E43)*-Assumptions!$E$46</f>
        <v>-3501.4121837281132</v>
      </c>
      <c r="F44" s="121">
        <f>(F41+F43)*-Assumptions!$E$46</f>
        <v>-4036.0276930247701</v>
      </c>
      <c r="G44" s="121">
        <f>(G41+G43)*-Assumptions!$E$46</f>
        <v>-4237.9899022454556</v>
      </c>
      <c r="H44" s="121">
        <f>(H41+H43)*-Assumptions!$E$46</f>
        <v>-4454.516874900698</v>
      </c>
      <c r="I44" s="121">
        <f>(I41+I43)*-Assumptions!$E$46</f>
        <v>-4676.2381364419089</v>
      </c>
      <c r="J44" s="121">
        <f>(J41+J43)*-Assumptions!$E$46</f>
        <v>-4931.222681946635</v>
      </c>
      <c r="K44" s="121">
        <f>(K41+K43)*-Assumptions!$E$46</f>
        <v>-5013.9308557196528</v>
      </c>
      <c r="L44" s="121">
        <f>(L41+L43)*-Assumptions!$E$46</f>
        <v>-5415.1014648811979</v>
      </c>
      <c r="M44" s="121">
        <f>(M41+M43)*-Assumptions!$E$46</f>
        <v>-5853.3847235252488</v>
      </c>
      <c r="N44" s="121">
        <f>(N41+N43)*-Assumptions!$E$46</f>
        <v>-6279.5532317881552</v>
      </c>
      <c r="O44" s="121">
        <f>(O41+O43)*-Assumptions!$E$46</f>
        <v>-6660.6415081726573</v>
      </c>
      <c r="P44" s="121">
        <f>(P41+P43)*-Assumptions!$E$46</f>
        <v>-7047.0964200690232</v>
      </c>
      <c r="Q44" s="121">
        <f>(Q41+Q43)*-Assumptions!$E$46</f>
        <v>-7387.1543848930241</v>
      </c>
      <c r="R44" s="121">
        <f>(R41+R43)*-Assumptions!$E$46</f>
        <v>-7739.9038059270479</v>
      </c>
      <c r="S44" s="121">
        <f>(S41+S43)*-Assumptions!$E$46</f>
        <v>-8080.712709892593</v>
      </c>
      <c r="T44" s="121">
        <f>(T41+T43)*-Assumptions!$E$46</f>
        <v>-8392.8984178507053</v>
      </c>
      <c r="U44" s="121">
        <f>(U41+U43)*-Assumptions!$E$46</f>
        <v>-8705.7389226935302</v>
      </c>
      <c r="W44" s="91">
        <f>SUM(B44:U44)</f>
        <v>-107976.80133867999</v>
      </c>
    </row>
    <row r="45" spans="1:23" ht="6" customHeight="1"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W45" s="91"/>
    </row>
    <row r="46" spans="1:23" s="64" customFormat="1" ht="15.75">
      <c r="A46" s="45" t="s">
        <v>256</v>
      </c>
      <c r="B46" s="134">
        <f t="shared" ref="B46:U46" si="12">SUM(B41:B44)</f>
        <v>3347.3187002979876</v>
      </c>
      <c r="C46" s="134">
        <f t="shared" si="12"/>
        <v>3430.7455706035216</v>
      </c>
      <c r="D46" s="134">
        <f t="shared" si="12"/>
        <v>3553.7366537748012</v>
      </c>
      <c r="E46" s="134">
        <f t="shared" si="12"/>
        <v>6502.6226269236395</v>
      </c>
      <c r="F46" s="134">
        <f t="shared" si="12"/>
        <v>7495.4800013317172</v>
      </c>
      <c r="G46" s="134">
        <f t="shared" si="12"/>
        <v>7870.5526755987048</v>
      </c>
      <c r="H46" s="134">
        <f t="shared" si="12"/>
        <v>8272.6741962441556</v>
      </c>
      <c r="I46" s="134">
        <f t="shared" si="12"/>
        <v>8684.442253392117</v>
      </c>
      <c r="J46" s="134">
        <f t="shared" si="12"/>
        <v>9157.9849807580395</v>
      </c>
      <c r="K46" s="134">
        <f t="shared" si="12"/>
        <v>9311.5858749079271</v>
      </c>
      <c r="L46" s="134">
        <f t="shared" si="12"/>
        <v>10056.61700620794</v>
      </c>
      <c r="M46" s="134">
        <f t="shared" si="12"/>
        <v>10870.571629404034</v>
      </c>
      <c r="N46" s="134">
        <f t="shared" si="12"/>
        <v>11662.027430463717</v>
      </c>
      <c r="O46" s="134">
        <f t="shared" si="12"/>
        <v>12369.762800892078</v>
      </c>
      <c r="P46" s="134">
        <f t="shared" si="12"/>
        <v>13087.464780128188</v>
      </c>
      <c r="Q46" s="134">
        <f t="shared" si="12"/>
        <v>13719.001000515618</v>
      </c>
      <c r="R46" s="134">
        <f t="shared" si="12"/>
        <v>14374.107068150233</v>
      </c>
      <c r="S46" s="134">
        <f t="shared" si="12"/>
        <v>15007.037889800533</v>
      </c>
      <c r="T46" s="134">
        <f t="shared" si="12"/>
        <v>15586.811347437026</v>
      </c>
      <c r="U46" s="134">
        <f t="shared" si="12"/>
        <v>16167.800856430844</v>
      </c>
      <c r="W46" s="91">
        <f>SUM(B46:U46)</f>
        <v>200528.34534326283</v>
      </c>
    </row>
    <row r="47" spans="1:23" s="62" customFormat="1" ht="9" outlineLevel="1">
      <c r="A47" s="4"/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 spans="1:23">
      <c r="A48" s="1"/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3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8.75" outlineLevel="1">
      <c r="A50" s="55" t="s">
        <v>204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2.75" customHeight="1" outlineLevel="1">
      <c r="A52" s="1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 spans="1:55" ht="12.75" customHeight="1" outlineLevel="1">
      <c r="A53" s="1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 spans="1:55" ht="13.5" outlineLevel="1" thickBot="1">
      <c r="A54" s="197" t="s">
        <v>65</v>
      </c>
      <c r="B54" s="8">
        <v>2001</v>
      </c>
      <c r="C54" s="8">
        <f t="shared" ref="C54:U54" si="13">B54+1</f>
        <v>2002</v>
      </c>
      <c r="D54" s="8">
        <f t="shared" si="13"/>
        <v>2003</v>
      </c>
      <c r="E54" s="8">
        <f t="shared" si="13"/>
        <v>2004</v>
      </c>
      <c r="F54" s="8">
        <f t="shared" si="13"/>
        <v>2005</v>
      </c>
      <c r="G54" s="8">
        <f t="shared" si="13"/>
        <v>2006</v>
      </c>
      <c r="H54" s="8">
        <f t="shared" si="13"/>
        <v>2007</v>
      </c>
      <c r="I54" s="8">
        <f t="shared" si="13"/>
        <v>2008</v>
      </c>
      <c r="J54" s="8">
        <f t="shared" si="13"/>
        <v>2009</v>
      </c>
      <c r="K54" s="8">
        <f t="shared" si="13"/>
        <v>2010</v>
      </c>
      <c r="L54" s="8">
        <f t="shared" si="13"/>
        <v>2011</v>
      </c>
      <c r="M54" s="8">
        <f t="shared" si="13"/>
        <v>2012</v>
      </c>
      <c r="N54" s="8">
        <f t="shared" si="13"/>
        <v>2013</v>
      </c>
      <c r="O54" s="8">
        <f t="shared" si="13"/>
        <v>2014</v>
      </c>
      <c r="P54" s="8">
        <f t="shared" si="13"/>
        <v>2015</v>
      </c>
      <c r="Q54" s="8">
        <f t="shared" si="13"/>
        <v>2016</v>
      </c>
      <c r="R54" s="8">
        <f t="shared" si="13"/>
        <v>2017</v>
      </c>
      <c r="S54" s="8">
        <f t="shared" si="13"/>
        <v>2018</v>
      </c>
      <c r="T54" s="8">
        <f t="shared" si="13"/>
        <v>2019</v>
      </c>
      <c r="U54" s="8">
        <f t="shared" si="13"/>
        <v>2020</v>
      </c>
      <c r="W54" s="425" t="s">
        <v>181</v>
      </c>
    </row>
    <row r="55" spans="1:55" outlineLevel="1">
      <c r="A55" s="12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W55" s="44"/>
    </row>
    <row r="56" spans="1:55" outlineLevel="1">
      <c r="A56" s="13" t="s">
        <v>293</v>
      </c>
      <c r="B56" s="67">
        <f>B33-B12</f>
        <v>14564.340721726745</v>
      </c>
      <c r="C56" s="67">
        <f>C33-C12</f>
        <v>14502.936151514648</v>
      </c>
      <c r="D56" s="67">
        <f>D33-D12</f>
        <v>14438.555925178618</v>
      </c>
      <c r="E56" s="56">
        <f t="shared" ref="E56:U56" si="14">E33</f>
        <v>25018.842079015791</v>
      </c>
      <c r="F56" s="56">
        <f t="shared" si="14"/>
        <v>26390.087377357289</v>
      </c>
      <c r="G56" s="56">
        <f t="shared" si="14"/>
        <v>26719.387036848158</v>
      </c>
      <c r="H56" s="56">
        <f t="shared" si="14"/>
        <v>27058.042860672278</v>
      </c>
      <c r="I56" s="56">
        <f t="shared" si="14"/>
        <v>27399.869736120043</v>
      </c>
      <c r="J56" s="56">
        <f t="shared" si="14"/>
        <v>27758.586545848801</v>
      </c>
      <c r="K56" s="56">
        <f t="shared" si="14"/>
        <v>27557.26626598485</v>
      </c>
      <c r="L56" s="56">
        <f t="shared" si="14"/>
        <v>28261.106854566795</v>
      </c>
      <c r="M56" s="56">
        <f t="shared" si="14"/>
        <v>28992.241209967211</v>
      </c>
      <c r="N56" s="56">
        <f t="shared" si="14"/>
        <v>29657.76686952055</v>
      </c>
      <c r="O56" s="56">
        <f t="shared" si="14"/>
        <v>30202.299562504268</v>
      </c>
      <c r="P56" s="56">
        <f t="shared" si="14"/>
        <v>30755.390736438691</v>
      </c>
      <c r="Q56" s="56">
        <f t="shared" si="14"/>
        <v>31146.77376552462</v>
      </c>
      <c r="R56" s="56">
        <f t="shared" si="14"/>
        <v>31538.005653528387</v>
      </c>
      <c r="S56" s="56">
        <f t="shared" si="14"/>
        <v>31931.56473558674</v>
      </c>
      <c r="T56" s="56">
        <f t="shared" si="14"/>
        <v>32329.031405022641</v>
      </c>
      <c r="U56" s="56">
        <f t="shared" si="14"/>
        <v>32729.785958176279</v>
      </c>
      <c r="W56" s="426">
        <f>SUM(B56:U56)</f>
        <v>538951.88145110349</v>
      </c>
    </row>
    <row r="57" spans="1:55">
      <c r="A57" s="13" t="s">
        <v>195</v>
      </c>
      <c r="B57" s="67">
        <f>B28</f>
        <v>487.9</v>
      </c>
      <c r="C57" s="67">
        <f t="shared" ref="C57:T57" si="15">C28</f>
        <v>486.5</v>
      </c>
      <c r="D57" s="67">
        <f t="shared" si="15"/>
        <v>484.5</v>
      </c>
      <c r="E57" s="67">
        <f t="shared" si="15"/>
        <v>476.4</v>
      </c>
      <c r="F57" s="67">
        <f t="shared" si="15"/>
        <v>467.3</v>
      </c>
      <c r="G57" s="67">
        <f t="shared" si="15"/>
        <v>451.3</v>
      </c>
      <c r="H57" s="67">
        <f t="shared" si="15"/>
        <v>427.8</v>
      </c>
      <c r="I57" s="67">
        <f t="shared" si="15"/>
        <v>402.5</v>
      </c>
      <c r="J57" s="67">
        <f t="shared" si="15"/>
        <v>362.4</v>
      </c>
      <c r="K57" s="67">
        <f t="shared" si="15"/>
        <v>878.3</v>
      </c>
      <c r="L57" s="67">
        <f t="shared" si="15"/>
        <v>695.3</v>
      </c>
      <c r="M57" s="67">
        <f t="shared" si="15"/>
        <v>494</v>
      </c>
      <c r="N57" s="67">
        <f t="shared" si="15"/>
        <v>365.9</v>
      </c>
      <c r="O57" s="67">
        <f t="shared" si="15"/>
        <v>365.9</v>
      </c>
      <c r="P57" s="67">
        <f t="shared" si="15"/>
        <v>365.9</v>
      </c>
      <c r="Q57" s="67">
        <f t="shared" si="15"/>
        <v>365.9</v>
      </c>
      <c r="R57" s="67">
        <f t="shared" si="15"/>
        <v>365.9</v>
      </c>
      <c r="S57" s="67">
        <f t="shared" si="15"/>
        <v>365.9</v>
      </c>
      <c r="T57" s="67">
        <f t="shared" si="15"/>
        <v>365.9</v>
      </c>
      <c r="U57" s="67">
        <f>T57</f>
        <v>365.9</v>
      </c>
      <c r="W57" s="426">
        <f>SUM(B57:U57)</f>
        <v>9041.3999999999978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</row>
    <row r="58" spans="1:55">
      <c r="A58" s="13" t="s">
        <v>196</v>
      </c>
      <c r="B58" s="495">
        <v>-488.8</v>
      </c>
      <c r="C58" s="67">
        <f>-B57</f>
        <v>-487.9</v>
      </c>
      <c r="D58" s="67">
        <f t="shared" ref="D58:U58" si="16">-C57</f>
        <v>-486.5</v>
      </c>
      <c r="E58" s="67">
        <f t="shared" si="16"/>
        <v>-484.5</v>
      </c>
      <c r="F58" s="67">
        <f t="shared" si="16"/>
        <v>-476.4</v>
      </c>
      <c r="G58" s="67">
        <f t="shared" si="16"/>
        <v>-467.3</v>
      </c>
      <c r="H58" s="67">
        <f t="shared" si="16"/>
        <v>-451.3</v>
      </c>
      <c r="I58" s="67">
        <f t="shared" si="16"/>
        <v>-427.8</v>
      </c>
      <c r="J58" s="67">
        <f t="shared" si="16"/>
        <v>-402.5</v>
      </c>
      <c r="K58" s="67">
        <f t="shared" si="16"/>
        <v>-362.4</v>
      </c>
      <c r="L58" s="67">
        <f t="shared" si="16"/>
        <v>-878.3</v>
      </c>
      <c r="M58" s="67">
        <f t="shared" si="16"/>
        <v>-695.3</v>
      </c>
      <c r="N58" s="67">
        <f t="shared" si="16"/>
        <v>-494</v>
      </c>
      <c r="O58" s="67">
        <f t="shared" si="16"/>
        <v>-365.9</v>
      </c>
      <c r="P58" s="67">
        <f t="shared" si="16"/>
        <v>-365.9</v>
      </c>
      <c r="Q58" s="67">
        <f t="shared" si="16"/>
        <v>-365.9</v>
      </c>
      <c r="R58" s="67">
        <f t="shared" si="16"/>
        <v>-365.9</v>
      </c>
      <c r="S58" s="67">
        <f t="shared" si="16"/>
        <v>-365.9</v>
      </c>
      <c r="T58" s="67">
        <f t="shared" si="16"/>
        <v>-365.9</v>
      </c>
      <c r="U58" s="67">
        <f t="shared" si="16"/>
        <v>-365.9</v>
      </c>
      <c r="W58" s="426">
        <f>SUM(B58:U58)</f>
        <v>-9164.2999999999975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</row>
    <row r="59" spans="1:55" outlineLevel="1">
      <c r="A59" s="13" t="s">
        <v>81</v>
      </c>
      <c r="B59" s="424">
        <f>-Debt!B77*Allocation!$E$9</f>
        <v>-11343.182468841387</v>
      </c>
      <c r="C59" s="424">
        <f>-Debt!C77*Allocation!$E$9</f>
        <v>-11321.363916156035</v>
      </c>
      <c r="D59" s="424">
        <f>-Debt!D77*Allocation!$E$9</f>
        <v>-11251.908136557115</v>
      </c>
      <c r="E59" s="424">
        <f>-Debt!E77*Allocation!$E$9</f>
        <v>-10064.05537332255</v>
      </c>
      <c r="F59" s="424">
        <f>-Debt!F77*Allocation!$E$9</f>
        <v>-10496.333938970645</v>
      </c>
      <c r="G59" s="424">
        <f>-Debt!G77*Allocation!$E$9</f>
        <v>-10552.678188288175</v>
      </c>
      <c r="H59" s="424">
        <f>-Debt!H77*Allocation!$E$9</f>
        <v>-10490.962369550776</v>
      </c>
      <c r="I59" s="424">
        <f>-Debt!I77*Allocation!$E$9</f>
        <v>-10584.020546145464</v>
      </c>
      <c r="J59" s="424">
        <f>-Debt!J77*Allocation!$E$9</f>
        <v>-10510.316272666174</v>
      </c>
      <c r="K59" s="424">
        <f>-Debt!K77*Allocation!$E$9</f>
        <v>-10720.19059127513</v>
      </c>
      <c r="L59" s="424">
        <f>-Debt!L77*Allocation!$E$9</f>
        <v>-11149.184423664236</v>
      </c>
      <c r="M59" s="424">
        <f>-Debt!M77*Allocation!$E$9</f>
        <v>-10562.173640285553</v>
      </c>
      <c r="N59" s="424">
        <f>-Debt!N77*Allocation!$E$9</f>
        <v>-9945.9895005519556</v>
      </c>
      <c r="O59" s="424">
        <f>-Debt!O77*Allocation!$E$9</f>
        <v>-9344.3920389958148</v>
      </c>
      <c r="P59" s="424">
        <f>-Debt!P77*Allocation!$E$9</f>
        <v>-9003.9670488064858</v>
      </c>
      <c r="Q59" s="424">
        <f>-Debt!Q77*Allocation!$E$9</f>
        <v>-8641.3736042118708</v>
      </c>
      <c r="R59" s="424">
        <f>-Debt!R77*Allocation!$E$9</f>
        <v>-7971.7049778275968</v>
      </c>
      <c r="S59" s="424">
        <f>-Debt!S77*Allocation!$E$9</f>
        <v>-6265.2578846485912</v>
      </c>
      <c r="T59" s="424">
        <f>-Debt!T77*Allocation!$E$9</f>
        <v>-5723.8201692480643</v>
      </c>
      <c r="U59" s="424">
        <f>-Debt!U77*Allocation!$E$9</f>
        <v>-4646.1925284370091</v>
      </c>
      <c r="W59" s="426">
        <f>SUM(B59:U59)</f>
        <v>-190589.06761845059</v>
      </c>
    </row>
    <row r="60" spans="1:55" outlineLevel="1">
      <c r="A60" s="13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W60" s="427"/>
    </row>
    <row r="61" spans="1:55" outlineLevel="1">
      <c r="A61" s="12" t="s">
        <v>82</v>
      </c>
      <c r="B61" s="65">
        <f t="shared" ref="B61:U61" si="17">SUM(B56:B59)</f>
        <v>3220.2582528853582</v>
      </c>
      <c r="C61" s="65">
        <f t="shared" si="17"/>
        <v>3180.1722353586138</v>
      </c>
      <c r="D61" s="65">
        <f t="shared" si="17"/>
        <v>3184.6477886215034</v>
      </c>
      <c r="E61" s="65">
        <f t="shared" si="17"/>
        <v>14946.686705693242</v>
      </c>
      <c r="F61" s="65">
        <f t="shared" si="17"/>
        <v>15884.653438386642</v>
      </c>
      <c r="G61" s="65">
        <f t="shared" si="17"/>
        <v>16150.708848559983</v>
      </c>
      <c r="H61" s="65">
        <f t="shared" si="17"/>
        <v>16543.580491121502</v>
      </c>
      <c r="I61" s="65">
        <f t="shared" si="17"/>
        <v>16790.549189974579</v>
      </c>
      <c r="J61" s="65">
        <f t="shared" si="17"/>
        <v>17208.17027318263</v>
      </c>
      <c r="K61" s="65">
        <f t="shared" si="17"/>
        <v>17352.97567470972</v>
      </c>
      <c r="L61" s="65">
        <f t="shared" si="17"/>
        <v>16928.922430902559</v>
      </c>
      <c r="M61" s="65">
        <f t="shared" si="17"/>
        <v>18228.767569681659</v>
      </c>
      <c r="N61" s="65">
        <f t="shared" si="17"/>
        <v>19583.677368968594</v>
      </c>
      <c r="O61" s="65">
        <f t="shared" si="17"/>
        <v>20857.907523508453</v>
      </c>
      <c r="P61" s="65">
        <f t="shared" si="17"/>
        <v>21751.423687632203</v>
      </c>
      <c r="Q61" s="65">
        <f t="shared" si="17"/>
        <v>22505.400161312748</v>
      </c>
      <c r="R61" s="65">
        <f t="shared" si="17"/>
        <v>23566.30067570079</v>
      </c>
      <c r="S61" s="65">
        <f t="shared" si="17"/>
        <v>25666.306850938148</v>
      </c>
      <c r="T61" s="65">
        <f t="shared" si="17"/>
        <v>26605.211235774575</v>
      </c>
      <c r="U61" s="65">
        <f t="shared" si="17"/>
        <v>28083.593429739267</v>
      </c>
      <c r="W61" s="426">
        <f>SUM(B61:U61)</f>
        <v>348239.91383265273</v>
      </c>
    </row>
    <row r="62" spans="1:55" outlineLevel="1">
      <c r="A62" s="12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W62" s="427"/>
    </row>
    <row r="63" spans="1:55" ht="15" outlineLevel="1">
      <c r="A63" s="13" t="s">
        <v>109</v>
      </c>
      <c r="B63" s="229">
        <f>-B102</f>
        <v>0</v>
      </c>
      <c r="C63" s="229">
        <f t="shared" ref="C63:U63" si="18">-C102</f>
        <v>0</v>
      </c>
      <c r="D63" s="229">
        <f t="shared" si="18"/>
        <v>0</v>
      </c>
      <c r="E63" s="229">
        <f t="shared" si="18"/>
        <v>0</v>
      </c>
      <c r="F63" s="229">
        <f t="shared" si="18"/>
        <v>0</v>
      </c>
      <c r="G63" s="229">
        <f t="shared" si="18"/>
        <v>0</v>
      </c>
      <c r="H63" s="229">
        <f t="shared" si="18"/>
        <v>0</v>
      </c>
      <c r="I63" s="229">
        <f t="shared" si="18"/>
        <v>-359.67199542634029</v>
      </c>
      <c r="J63" s="229">
        <f t="shared" si="18"/>
        <v>-500.76132201106066</v>
      </c>
      <c r="K63" s="229">
        <f t="shared" si="18"/>
        <v>-512.26503913750628</v>
      </c>
      <c r="L63" s="229">
        <f t="shared" si="18"/>
        <v>-573.52504876813782</v>
      </c>
      <c r="M63" s="229">
        <f t="shared" si="18"/>
        <v>-638.49870346917476</v>
      </c>
      <c r="N63" s="229">
        <f t="shared" si="18"/>
        <v>-703.51779567143967</v>
      </c>
      <c r="O63" s="229">
        <f t="shared" si="18"/>
        <v>-759.89070116051448</v>
      </c>
      <c r="P63" s="229">
        <f t="shared" si="18"/>
        <v>-818.93782398435235</v>
      </c>
      <c r="Q63" s="229">
        <f t="shared" si="18"/>
        <v>-1145.4870202339284</v>
      </c>
      <c r="R63" s="229">
        <f t="shared" si="18"/>
        <v>-1473.9447061391475</v>
      </c>
      <c r="S63" s="229">
        <f t="shared" si="18"/>
        <v>-1525.1941653820866</v>
      </c>
      <c r="T63" s="229">
        <f t="shared" si="18"/>
        <v>-1572.139384623908</v>
      </c>
      <c r="U63" s="229">
        <f t="shared" si="18"/>
        <v>-1619.1830695626786</v>
      </c>
      <c r="W63" s="426">
        <f>SUM(B63:U63)</f>
        <v>-12203.016775570275</v>
      </c>
    </row>
    <row r="64" spans="1:55" outlineLevel="1">
      <c r="A64" s="13" t="s">
        <v>110</v>
      </c>
      <c r="B64" s="128">
        <f>-Allocation!$E$9*Tax!B24</f>
        <v>0</v>
      </c>
      <c r="C64" s="128">
        <f>-Allocation!$E$9*Tax!C24</f>
        <v>0</v>
      </c>
      <c r="D64" s="128">
        <f>-Allocation!$E$9*Tax!D24</f>
        <v>0</v>
      </c>
      <c r="E64" s="128">
        <f>-Allocation!$E$9*Tax!E24</f>
        <v>0</v>
      </c>
      <c r="F64" s="128">
        <f>-Allocation!$E$9*Tax!F24</f>
        <v>0</v>
      </c>
      <c r="G64" s="128">
        <f>-Allocation!$E$9*Tax!G24</f>
        <v>-884.41979202436607</v>
      </c>
      <c r="H64" s="128">
        <f>-Allocation!$E$9*Tax!H24</f>
        <v>-3438.7070450319602</v>
      </c>
      <c r="I64" s="128">
        <f>-Allocation!$E$9*Tax!I24</f>
        <v>-3617.0714601112704</v>
      </c>
      <c r="J64" s="128">
        <f>-Allocation!$E$9*Tax!J24</f>
        <v>-3888.6818347830231</v>
      </c>
      <c r="K64" s="128">
        <f>-Allocation!$E$9*Tax!K24</f>
        <v>-4134.2239085732681</v>
      </c>
      <c r="L64" s="128">
        <f>-Allocation!$E$9*Tax!L24</f>
        <v>-4481.1880436115407</v>
      </c>
      <c r="M64" s="128">
        <f>-Allocation!$E$9*Tax!M24</f>
        <v>-4856.0864776033814</v>
      </c>
      <c r="N64" s="128">
        <f>-Allocation!$E$9*Tax!N24</f>
        <v>-5233.8071058521709</v>
      </c>
      <c r="O64" s="128">
        <f>-Allocation!$E$9*Tax!O24</f>
        <v>-5603.1189924109658</v>
      </c>
      <c r="P64" s="128">
        <f>-Allocation!$E$9*Tax!P24</f>
        <v>-5968.5300694779662</v>
      </c>
      <c r="Q64" s="128">
        <f>-Allocation!$E$9*Tax!Q24</f>
        <v>-7821.585168925476</v>
      </c>
      <c r="R64" s="128">
        <f>-Allocation!$E$9*Tax!R24</f>
        <v>-9665.3298321472485</v>
      </c>
      <c r="S64" s="128">
        <f>-Allocation!$E$9*Tax!S24</f>
        <v>-10005.145928089758</v>
      </c>
      <c r="T64" s="128">
        <f>-Allocation!$E$9*Tax!T24</f>
        <v>-10316.917411789549</v>
      </c>
      <c r="U64" s="128">
        <f>-Allocation!$E$9*Tax!U24</f>
        <v>-10630.072438495581</v>
      </c>
      <c r="W64" s="426">
        <f>SUM(B64:U64)</f>
        <v>-90544.885508927517</v>
      </c>
    </row>
    <row r="65" spans="1:44" outlineLevel="1">
      <c r="A65" s="1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W65" s="427"/>
    </row>
    <row r="66" spans="1:44" s="125" customFormat="1" ht="15.75" outlineLevel="1">
      <c r="A66" s="46" t="s">
        <v>83</v>
      </c>
      <c r="B66" s="137">
        <f t="shared" ref="B66:U66" si="19">B61+B64+B63</f>
        <v>3220.2582528853582</v>
      </c>
      <c r="C66" s="137">
        <f t="shared" si="19"/>
        <v>3180.1722353586138</v>
      </c>
      <c r="D66" s="137">
        <f t="shared" si="19"/>
        <v>3184.6477886215034</v>
      </c>
      <c r="E66" s="137">
        <f t="shared" si="19"/>
        <v>14946.686705693242</v>
      </c>
      <c r="F66" s="137">
        <f t="shared" si="19"/>
        <v>15884.653438386642</v>
      </c>
      <c r="G66" s="137">
        <f t="shared" si="19"/>
        <v>15266.289056535617</v>
      </c>
      <c r="H66" s="137">
        <f t="shared" si="19"/>
        <v>13104.873446089541</v>
      </c>
      <c r="I66" s="137">
        <f t="shared" si="19"/>
        <v>12813.805734436968</v>
      </c>
      <c r="J66" s="137">
        <f t="shared" si="19"/>
        <v>12818.727116388545</v>
      </c>
      <c r="K66" s="137">
        <f t="shared" si="19"/>
        <v>12706.486726998945</v>
      </c>
      <c r="L66" s="137">
        <f t="shared" si="19"/>
        <v>11874.20933852288</v>
      </c>
      <c r="M66" s="137">
        <f t="shared" si="19"/>
        <v>12734.182388609102</v>
      </c>
      <c r="N66" s="137">
        <f t="shared" si="19"/>
        <v>13646.352467444984</v>
      </c>
      <c r="O66" s="137">
        <f t="shared" si="19"/>
        <v>14494.897829936972</v>
      </c>
      <c r="P66" s="137">
        <f t="shared" si="19"/>
        <v>14963.955794169886</v>
      </c>
      <c r="Q66" s="137">
        <f t="shared" si="19"/>
        <v>13538.327972153344</v>
      </c>
      <c r="R66" s="137">
        <f t="shared" si="19"/>
        <v>12427.026137414394</v>
      </c>
      <c r="S66" s="137">
        <f t="shared" si="19"/>
        <v>14135.966757466304</v>
      </c>
      <c r="T66" s="137">
        <f t="shared" si="19"/>
        <v>14716.154439361118</v>
      </c>
      <c r="U66" s="137">
        <f t="shared" si="19"/>
        <v>15834.337921681006</v>
      </c>
      <c r="W66" s="426">
        <f>SUM(B66:U66)</f>
        <v>245492.01154815499</v>
      </c>
    </row>
    <row r="67" spans="1:44" outlineLevel="1">
      <c r="A67" s="68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44" outlineLevel="1">
      <c r="A68" s="68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</row>
    <row r="69" spans="1:44" outlineLevel="1">
      <c r="A69" s="6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</row>
    <row r="70" spans="1:44" ht="18.75" outlineLevel="1">
      <c r="A70" s="55" t="s">
        <v>257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44" outlineLevel="1">
      <c r="A71" s="57"/>
      <c r="B71" s="18"/>
      <c r="C71" s="18"/>
      <c r="D71" s="18"/>
      <c r="E71" s="18"/>
      <c r="F71" s="18"/>
      <c r="G71" s="138"/>
      <c r="H71" s="18"/>
      <c r="I71" s="18"/>
      <c r="J71" s="18"/>
      <c r="K71" s="18"/>
      <c r="L71" s="18"/>
      <c r="M71" s="138"/>
      <c r="N71" s="18"/>
      <c r="O71" s="18"/>
      <c r="P71" s="18"/>
      <c r="Q71" s="18"/>
      <c r="R71" s="18"/>
      <c r="S71" s="138"/>
      <c r="T71" s="18"/>
      <c r="U71" s="18"/>
    </row>
    <row r="72" spans="1:44" outlineLevel="1">
      <c r="A72" s="230"/>
      <c r="B72" s="248">
        <v>3</v>
      </c>
      <c r="C72" s="248">
        <v>4</v>
      </c>
      <c r="D72" s="248">
        <v>5</v>
      </c>
      <c r="E72" s="249">
        <v>6</v>
      </c>
      <c r="F72" s="248">
        <v>7</v>
      </c>
      <c r="G72" s="248">
        <v>8</v>
      </c>
      <c r="H72" s="248">
        <v>9</v>
      </c>
      <c r="I72" s="248">
        <v>10</v>
      </c>
      <c r="J72" s="248">
        <v>11</v>
      </c>
      <c r="K72" s="249">
        <v>12</v>
      </c>
      <c r="L72" s="248">
        <v>13</v>
      </c>
      <c r="M72" s="248">
        <v>14</v>
      </c>
      <c r="N72" s="248">
        <v>15</v>
      </c>
      <c r="O72" s="248">
        <v>16</v>
      </c>
      <c r="P72" s="248">
        <v>17</v>
      </c>
      <c r="Q72" s="249">
        <v>18</v>
      </c>
      <c r="R72" s="248">
        <v>19</v>
      </c>
      <c r="S72" s="248">
        <v>20</v>
      </c>
      <c r="T72" s="248">
        <v>21</v>
      </c>
      <c r="U72" s="248">
        <v>22</v>
      </c>
    </row>
    <row r="73" spans="1:44" ht="13.5" outlineLevel="1" thickBot="1">
      <c r="A73" s="197" t="s">
        <v>65</v>
      </c>
      <c r="B73" s="8">
        <v>2001</v>
      </c>
      <c r="C73" s="8">
        <v>2002</v>
      </c>
      <c r="D73" s="8">
        <v>2003</v>
      </c>
      <c r="E73" s="8">
        <v>2004</v>
      </c>
      <c r="F73" s="8">
        <v>2005</v>
      </c>
      <c r="G73" s="8">
        <v>2006</v>
      </c>
      <c r="H73" s="8">
        <v>2007</v>
      </c>
      <c r="I73" s="8">
        <v>2008</v>
      </c>
      <c r="J73" s="8">
        <v>2009</v>
      </c>
      <c r="K73" s="8">
        <v>2010</v>
      </c>
      <c r="L73" s="8">
        <v>2011</v>
      </c>
      <c r="M73" s="8">
        <v>2012</v>
      </c>
      <c r="N73" s="8">
        <v>2013</v>
      </c>
      <c r="O73" s="8">
        <v>2014</v>
      </c>
      <c r="P73" s="8">
        <v>2015</v>
      </c>
      <c r="Q73" s="8">
        <v>2016</v>
      </c>
      <c r="R73" s="8">
        <v>2017</v>
      </c>
      <c r="S73" s="8">
        <v>2018</v>
      </c>
      <c r="T73" s="8">
        <v>2019</v>
      </c>
      <c r="U73" s="8">
        <v>2020</v>
      </c>
    </row>
    <row r="74" spans="1:44" outlineLevel="1">
      <c r="A74" s="230"/>
      <c r="B74" s="255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31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 spans="1:44" outlineLevel="1">
      <c r="A76" s="231" t="s">
        <v>216</v>
      </c>
      <c r="B76" s="255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44" outlineLevel="1">
      <c r="A77" s="230"/>
      <c r="B77" s="255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44" outlineLevel="1">
      <c r="A78" s="7" t="s">
        <v>214</v>
      </c>
      <c r="B78" s="469">
        <f>Depreciation!$B$28*'Summary Output'!$B$8</f>
        <v>84641.619129523926</v>
      </c>
      <c r="C78" s="469">
        <f>Depreciation!$B$28*'Summary Output'!$B$8</f>
        <v>84641.619129523926</v>
      </c>
      <c r="D78" s="469">
        <f>Depreciation!$B$28*'Summary Output'!$B$8</f>
        <v>84641.619129523926</v>
      </c>
      <c r="E78" s="469">
        <f>Depreciation!$B$28*'Summary Output'!$B$8</f>
        <v>84641.619129523926</v>
      </c>
      <c r="F78" s="469">
        <f>Depreciation!$B$28*'Summary Output'!$B$8</f>
        <v>84641.619129523926</v>
      </c>
      <c r="G78" s="469">
        <f>Depreciation!$B$28*'Summary Output'!$B$8</f>
        <v>84641.619129523926</v>
      </c>
      <c r="H78" s="469">
        <f>Depreciation!$B$28*'Summary Output'!$B$8</f>
        <v>84641.619129523926</v>
      </c>
      <c r="I78" s="469">
        <f>Depreciation!$B$28*'Summary Output'!$B$8</f>
        <v>84641.619129523926</v>
      </c>
      <c r="J78" s="469">
        <f>Depreciation!$B$28*'Summary Output'!$B$8</f>
        <v>84641.619129523926</v>
      </c>
      <c r="K78" s="469">
        <f>Depreciation!$B$28*'Summary Output'!$B$8</f>
        <v>84641.619129523926</v>
      </c>
      <c r="L78" s="469">
        <f>Depreciation!$B$28*'Summary Output'!$B$8</f>
        <v>84641.619129523926</v>
      </c>
      <c r="M78" s="469">
        <f>Depreciation!$B$28*'Summary Output'!$B$8</f>
        <v>84641.619129523926</v>
      </c>
      <c r="N78" s="469">
        <f>Depreciation!$B$28*'Summary Output'!$B$8</f>
        <v>84641.619129523926</v>
      </c>
      <c r="O78" s="469">
        <f>Depreciation!$B$28*'Summary Output'!$B$8</f>
        <v>84641.619129523926</v>
      </c>
      <c r="P78" s="469">
        <f>Depreciation!$B$28*'Summary Output'!$B$8</f>
        <v>84641.619129523926</v>
      </c>
      <c r="Q78" s="469">
        <f>Depreciation!$B$28*'Summary Output'!$B$8</f>
        <v>84641.619129523926</v>
      </c>
      <c r="R78" s="469">
        <f>Depreciation!$B$28*'Summary Output'!$B$8</f>
        <v>84641.619129523926</v>
      </c>
      <c r="S78" s="469">
        <f>Depreciation!$B$28*'Summary Output'!$B$8</f>
        <v>84641.619129523926</v>
      </c>
      <c r="T78" s="469">
        <f>Depreciation!$B$28*'Summary Output'!$B$8</f>
        <v>84641.619129523926</v>
      </c>
      <c r="U78" s="469">
        <f>Depreciation!$B$28*'Summary Output'!$B$8</f>
        <v>84641.619129523926</v>
      </c>
    </row>
    <row r="79" spans="1:44" outlineLevel="1">
      <c r="A79" s="473" t="s">
        <v>221</v>
      </c>
      <c r="B79" s="470">
        <f>B46-B66</f>
        <v>127.0604474126294</v>
      </c>
      <c r="C79" s="470">
        <f t="shared" ref="C79:U79" si="20">C46-C66+B79</f>
        <v>377.63378265753727</v>
      </c>
      <c r="D79" s="470">
        <f t="shared" si="20"/>
        <v>746.72264781083504</v>
      </c>
      <c r="E79" s="470">
        <f t="shared" si="20"/>
        <v>-7697.3414309587679</v>
      </c>
      <c r="F79" s="470">
        <f t="shared" si="20"/>
        <v>-16086.514868013692</v>
      </c>
      <c r="G79" s="470">
        <f t="shared" si="20"/>
        <v>-23482.251248950604</v>
      </c>
      <c r="H79" s="470">
        <f t="shared" si="20"/>
        <v>-28314.450498795988</v>
      </c>
      <c r="I79" s="470">
        <f t="shared" si="20"/>
        <v>-32443.813979840837</v>
      </c>
      <c r="J79" s="470">
        <f t="shared" si="20"/>
        <v>-36104.556115471343</v>
      </c>
      <c r="K79" s="470">
        <f t="shared" si="20"/>
        <v>-39499.456967562364</v>
      </c>
      <c r="L79" s="470">
        <f t="shared" si="20"/>
        <v>-41317.049299877304</v>
      </c>
      <c r="M79" s="470">
        <f t="shared" si="20"/>
        <v>-43180.660059082373</v>
      </c>
      <c r="N79" s="470">
        <f t="shared" si="20"/>
        <v>-45164.98509606364</v>
      </c>
      <c r="O79" s="470">
        <f t="shared" si="20"/>
        <v>-47290.120125108529</v>
      </c>
      <c r="P79" s="470">
        <f t="shared" si="20"/>
        <v>-49166.611139150227</v>
      </c>
      <c r="Q79" s="470">
        <f t="shared" si="20"/>
        <v>-48985.938110787953</v>
      </c>
      <c r="R79" s="470">
        <f t="shared" si="20"/>
        <v>-47038.857180052117</v>
      </c>
      <c r="S79" s="470">
        <f t="shared" si="20"/>
        <v>-46167.786047717891</v>
      </c>
      <c r="T79" s="470">
        <f t="shared" si="20"/>
        <v>-45297.129139641984</v>
      </c>
      <c r="U79" s="470">
        <f t="shared" si="20"/>
        <v>-44963.666204892143</v>
      </c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M79" s="470"/>
      <c r="AN79" s="470"/>
      <c r="AO79" s="470"/>
      <c r="AP79" s="470"/>
      <c r="AQ79" s="470"/>
      <c r="AR79" s="470"/>
    </row>
    <row r="80" spans="1:44" outlineLevel="1">
      <c r="A80" s="473" t="s">
        <v>222</v>
      </c>
      <c r="B80" s="471">
        <f>Debt!B73*Allocation!$E$9</f>
        <v>80011.125667231929</v>
      </c>
      <c r="C80" s="471">
        <f>Debt!C73*Allocation!$E$9</f>
        <v>77429.591811170045</v>
      </c>
      <c r="D80" s="471">
        <f>Debt!D73*Allocation!$E$9</f>
        <v>74653.957665178707</v>
      </c>
      <c r="E80" s="471">
        <f>Debt!E73*Allocation!$E$9</f>
        <v>72877.193472747458</v>
      </c>
      <c r="F80" s="471">
        <f>Debt!F73*Allocation!$E$9</f>
        <v>70431.529819636198</v>
      </c>
      <c r="G80" s="471">
        <f>Debt!G73*Allocation!$E$9</f>
        <v>67651.41643618494</v>
      </c>
      <c r="H80" s="471">
        <f>Debt!H73*Allocation!$E$9</f>
        <v>64620.465754978686</v>
      </c>
      <c r="I80" s="471">
        <f>Debt!I73*Allocation!$E$9</f>
        <v>61171.452910847431</v>
      </c>
      <c r="J80" s="471">
        <f>Debt!J73*Allocation!$E$9</f>
        <v>57387.990336376177</v>
      </c>
      <c r="K80" s="471">
        <f>Debt!K73*Allocation!$E$9</f>
        <v>52944.586776144737</v>
      </c>
      <c r="L80" s="471">
        <f>Debt!L73*Allocation!$E$9</f>
        <v>47569.501824251871</v>
      </c>
      <c r="M80" s="471">
        <f>Debt!M73*Allocation!$E$9</f>
        <v>42194.416872359005</v>
      </c>
      <c r="N80" s="471">
        <f>Debt!N73*Allocation!$E$9</f>
        <v>36819.331920466138</v>
      </c>
      <c r="O80" s="471">
        <f>Debt!O73*Allocation!$E$9</f>
        <v>31444.246968573272</v>
      </c>
      <c r="P80" s="471">
        <f>Debt!P73*Allocation!$E$9</f>
        <v>25800.407769085759</v>
      </c>
      <c r="Q80" s="471">
        <f>Debt!Q73*Allocation!$E$9</f>
        <v>19887.814322003607</v>
      </c>
      <c r="R80" s="471">
        <f>Debt!R73*Allocation!$E$9</f>
        <v>13975.220874921453</v>
      </c>
      <c r="S80" s="471">
        <f>Debt!S73*Allocation!$E$9</f>
        <v>9137.644418217873</v>
      </c>
      <c r="T80" s="471">
        <f>Debt!T73*Allocation!$E$9</f>
        <v>4300.0679615142935</v>
      </c>
      <c r="U80" s="471">
        <f>Debt!U73*Allocation!$E$9</f>
        <v>-4.5627038663042268E-12</v>
      </c>
    </row>
    <row r="81" spans="1:44" outlineLevel="1">
      <c r="A81" s="230" t="s">
        <v>223</v>
      </c>
      <c r="B81" s="472">
        <f>SUM(B78:B80)</f>
        <v>164779.8052441685</v>
      </c>
      <c r="C81" s="472">
        <f t="shared" ref="C81:U81" si="21">SUM(C78:C80)</f>
        <v>162448.8447233515</v>
      </c>
      <c r="D81" s="472">
        <f t="shared" si="21"/>
        <v>160042.29944251347</v>
      </c>
      <c r="E81" s="472">
        <f t="shared" si="21"/>
        <v>149821.47117131262</v>
      </c>
      <c r="F81" s="472">
        <f t="shared" si="21"/>
        <v>138986.63408114645</v>
      </c>
      <c r="G81" s="472">
        <f t="shared" si="21"/>
        <v>128810.78431675826</v>
      </c>
      <c r="H81" s="472">
        <f t="shared" si="21"/>
        <v>120947.63438570662</v>
      </c>
      <c r="I81" s="472">
        <f t="shared" si="21"/>
        <v>113369.25806053053</v>
      </c>
      <c r="J81" s="472">
        <f t="shared" si="21"/>
        <v>105925.05335042876</v>
      </c>
      <c r="K81" s="472">
        <f t="shared" si="21"/>
        <v>98086.748938106291</v>
      </c>
      <c r="L81" s="472">
        <f t="shared" si="21"/>
        <v>90894.071653898485</v>
      </c>
      <c r="M81" s="472">
        <f t="shared" si="21"/>
        <v>83655.375942800558</v>
      </c>
      <c r="N81" s="472">
        <f t="shared" si="21"/>
        <v>76295.965953926425</v>
      </c>
      <c r="O81" s="472">
        <f t="shared" si="21"/>
        <v>68795.745972988661</v>
      </c>
      <c r="P81" s="472">
        <f t="shared" si="21"/>
        <v>61275.415759459458</v>
      </c>
      <c r="Q81" s="472">
        <f t="shared" si="21"/>
        <v>55543.495340739581</v>
      </c>
      <c r="R81" s="472">
        <f t="shared" si="21"/>
        <v>51577.982824393264</v>
      </c>
      <c r="S81" s="472">
        <f t="shared" si="21"/>
        <v>47611.47750002391</v>
      </c>
      <c r="T81" s="472">
        <f t="shared" si="21"/>
        <v>43644.557951396237</v>
      </c>
      <c r="U81" s="472">
        <f t="shared" si="21"/>
        <v>39677.952924631776</v>
      </c>
    </row>
    <row r="82" spans="1:44" outlineLevel="1">
      <c r="A82" s="473" t="s">
        <v>217</v>
      </c>
      <c r="B82" s="475">
        <f>Assumptions!$E$50</f>
        <v>2.5000000000000001E-3</v>
      </c>
      <c r="C82" s="475">
        <f>Assumptions!$E$50</f>
        <v>2.5000000000000001E-3</v>
      </c>
      <c r="D82" s="475">
        <f>Assumptions!$E$50</f>
        <v>2.5000000000000001E-3</v>
      </c>
      <c r="E82" s="475">
        <f>Assumptions!$E$50</f>
        <v>2.5000000000000001E-3</v>
      </c>
      <c r="F82" s="475">
        <f>Assumptions!$E$50</f>
        <v>2.5000000000000001E-3</v>
      </c>
      <c r="G82" s="475">
        <f>Assumptions!$E$50</f>
        <v>2.5000000000000001E-3</v>
      </c>
      <c r="H82" s="475">
        <f>Assumptions!$E$50</f>
        <v>2.5000000000000001E-3</v>
      </c>
      <c r="I82" s="475">
        <f>Assumptions!$E$50</f>
        <v>2.5000000000000001E-3</v>
      </c>
      <c r="J82" s="475">
        <f>Assumptions!$E$50</f>
        <v>2.5000000000000001E-3</v>
      </c>
      <c r="K82" s="475">
        <f>Assumptions!$E$50</f>
        <v>2.5000000000000001E-3</v>
      </c>
      <c r="L82" s="475">
        <f>Assumptions!$E$50</f>
        <v>2.5000000000000001E-3</v>
      </c>
      <c r="M82" s="475">
        <f>Assumptions!$E$50</f>
        <v>2.5000000000000001E-3</v>
      </c>
      <c r="N82" s="475">
        <f>Assumptions!$E$50</f>
        <v>2.5000000000000001E-3</v>
      </c>
      <c r="O82" s="475">
        <f>Assumptions!$E$50</f>
        <v>2.5000000000000001E-3</v>
      </c>
      <c r="P82" s="475">
        <f>Assumptions!$E$50</f>
        <v>2.5000000000000001E-3</v>
      </c>
      <c r="Q82" s="475">
        <f>Assumptions!$E$50</f>
        <v>2.5000000000000001E-3</v>
      </c>
      <c r="R82" s="475">
        <f>Assumptions!$E$50</f>
        <v>2.5000000000000001E-3</v>
      </c>
      <c r="S82" s="475">
        <f>Assumptions!$E$50</f>
        <v>2.5000000000000001E-3</v>
      </c>
      <c r="T82" s="475">
        <f>Assumptions!$E$50</f>
        <v>2.5000000000000001E-3</v>
      </c>
      <c r="U82" s="475">
        <f>Assumptions!$E$50</f>
        <v>2.5000000000000001E-3</v>
      </c>
    </row>
    <row r="83" spans="1:44" outlineLevel="1">
      <c r="A83" s="230" t="s">
        <v>218</v>
      </c>
      <c r="B83" s="494">
        <v>414.37546448346143</v>
      </c>
      <c r="C83" s="494">
        <v>400.78623890082758</v>
      </c>
      <c r="D83" s="494">
        <v>388.46686150633934</v>
      </c>
      <c r="E83" s="494">
        <v>366.81149125464037</v>
      </c>
      <c r="F83" s="494">
        <v>345.91423237998885</v>
      </c>
      <c r="G83" s="494">
        <v>325.77851529081477</v>
      </c>
      <c r="H83" s="494">
        <v>305.96685276786144</v>
      </c>
      <c r="I83" s="494">
        <v>286.74096475151606</v>
      </c>
      <c r="J83" s="494">
        <v>267.95404654811296</v>
      </c>
      <c r="K83" s="494">
        <v>248.18158479592051</v>
      </c>
      <c r="L83" s="494">
        <v>230.02316381006386</v>
      </c>
      <c r="M83" s="494">
        <v>211.74939201667922</v>
      </c>
      <c r="N83" s="494">
        <v>193.17380932629996</v>
      </c>
      <c r="O83" s="494">
        <v>174.24589880933979</v>
      </c>
      <c r="P83" s="494">
        <v>155.26768933459564</v>
      </c>
      <c r="Q83" s="494">
        <v>140.80140932292522</v>
      </c>
      <c r="R83" s="494">
        <v>130.79204929518616</v>
      </c>
      <c r="S83" s="494">
        <v>120.78001964096076</v>
      </c>
      <c r="T83" s="494">
        <v>110.76676734589017</v>
      </c>
      <c r="U83" s="494">
        <v>100.75411482928615</v>
      </c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outlineLevel="1">
      <c r="A84" s="473"/>
      <c r="B84" s="474"/>
      <c r="C84" s="474"/>
      <c r="D84" s="474"/>
      <c r="E84" s="474"/>
      <c r="F84" s="474"/>
      <c r="G84" s="474"/>
      <c r="H84" s="474"/>
      <c r="I84" s="474"/>
      <c r="J84" s="474"/>
      <c r="K84" s="474"/>
      <c r="L84" s="474"/>
      <c r="M84" s="474"/>
      <c r="N84" s="474"/>
      <c r="O84" s="474"/>
      <c r="P84" s="474"/>
      <c r="Q84" s="474"/>
      <c r="R84" s="474"/>
      <c r="S84" s="474"/>
      <c r="T84" s="474"/>
      <c r="U84" s="474"/>
    </row>
    <row r="85" spans="1:44" outlineLevel="1">
      <c r="A85" s="230"/>
      <c r="B85" s="255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44" outlineLevel="1">
      <c r="A86" s="231" t="s">
        <v>93</v>
      </c>
      <c r="B86" s="255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44" outlineLevel="1">
      <c r="A87" s="230"/>
      <c r="B87" s="255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44" outlineLevel="1">
      <c r="A88" s="21" t="s">
        <v>294</v>
      </c>
      <c r="B88" s="20">
        <f>B41-B12</f>
        <v>-572.98609153298185</v>
      </c>
      <c r="C88" s="20">
        <f>C41-C12</f>
        <v>-437.88184812320924</v>
      </c>
      <c r="D88" s="20">
        <f>D41-D12</f>
        <v>-238.70600493085385</v>
      </c>
      <c r="E88" s="20">
        <f t="shared" ref="E88:U88" si="22">E41</f>
        <v>10530.562958580791</v>
      </c>
      <c r="F88" s="20">
        <f t="shared" si="22"/>
        <v>12138.429151954197</v>
      </c>
      <c r="G88" s="20">
        <f t="shared" si="22"/>
        <v>12745.834292467538</v>
      </c>
      <c r="H88" s="20">
        <f t="shared" si="22"/>
        <v>13397.043232784055</v>
      </c>
      <c r="I88" s="20">
        <f t="shared" si="22"/>
        <v>14063.874094562132</v>
      </c>
      <c r="J88" s="20">
        <f t="shared" si="22"/>
        <v>14830.744908110182</v>
      </c>
      <c r="K88" s="20">
        <f t="shared" si="22"/>
        <v>15079.491295397453</v>
      </c>
      <c r="L88" s="20">
        <f t="shared" si="22"/>
        <v>16286.019443251724</v>
      </c>
      <c r="M88" s="20">
        <f t="shared" si="22"/>
        <v>17604.164582030822</v>
      </c>
      <c r="N88" s="20">
        <f t="shared" si="22"/>
        <v>18885.874381317761</v>
      </c>
      <c r="O88" s="20">
        <f t="shared" si="22"/>
        <v>20032.004535857617</v>
      </c>
      <c r="P88" s="20">
        <f t="shared" si="22"/>
        <v>21194.274947576014</v>
      </c>
      <c r="Q88" s="20">
        <f t="shared" si="22"/>
        <v>22217.005668851201</v>
      </c>
      <c r="R88" s="20">
        <f t="shared" si="22"/>
        <v>23277.906183239244</v>
      </c>
      <c r="S88" s="20">
        <f t="shared" si="22"/>
        <v>24302.895368098027</v>
      </c>
      <c r="T88" s="20">
        <f t="shared" si="22"/>
        <v>25241.799752934454</v>
      </c>
      <c r="U88" s="20">
        <f t="shared" si="22"/>
        <v>26182.673451709867</v>
      </c>
      <c r="W88" s="446">
        <f>SUM(B88:U88)</f>
        <v>306761.02430413599</v>
      </c>
    </row>
    <row r="89" spans="1:44" outlineLevel="1">
      <c r="A89" s="21" t="s">
        <v>146</v>
      </c>
      <c r="B89" s="20">
        <f>B35</f>
        <v>6200.987939543701</v>
      </c>
      <c r="C89" s="20">
        <f t="shared" ref="C89:U89" si="23">C35</f>
        <v>6200.987939543701</v>
      </c>
      <c r="D89" s="20">
        <f t="shared" si="23"/>
        <v>6200.987939543701</v>
      </c>
      <c r="E89" s="20">
        <f t="shared" si="23"/>
        <v>6200.987939543701</v>
      </c>
      <c r="F89" s="20">
        <f t="shared" si="23"/>
        <v>6200.987939543701</v>
      </c>
      <c r="G89" s="20">
        <f t="shared" si="23"/>
        <v>6200.987939543701</v>
      </c>
      <c r="H89" s="20">
        <f t="shared" si="23"/>
        <v>6200.987939543701</v>
      </c>
      <c r="I89" s="20">
        <f t="shared" si="23"/>
        <v>6200.987939543701</v>
      </c>
      <c r="J89" s="20">
        <f t="shared" si="23"/>
        <v>6200.987939543701</v>
      </c>
      <c r="K89" s="20">
        <f t="shared" si="23"/>
        <v>6200.987939543701</v>
      </c>
      <c r="L89" s="20">
        <f t="shared" si="23"/>
        <v>6200.987939543701</v>
      </c>
      <c r="M89" s="20">
        <f t="shared" si="23"/>
        <v>6200.987939543701</v>
      </c>
      <c r="N89" s="20">
        <f t="shared" si="23"/>
        <v>6200.987939543701</v>
      </c>
      <c r="O89" s="20">
        <f t="shared" si="23"/>
        <v>6200.987939543701</v>
      </c>
      <c r="P89" s="20">
        <f t="shared" si="23"/>
        <v>6200.987939543701</v>
      </c>
      <c r="Q89" s="20">
        <f t="shared" si="23"/>
        <v>6200.987939543701</v>
      </c>
      <c r="R89" s="20">
        <f t="shared" si="23"/>
        <v>6200.987939543701</v>
      </c>
      <c r="S89" s="20">
        <f t="shared" si="23"/>
        <v>6200.987939543701</v>
      </c>
      <c r="T89" s="20">
        <f t="shared" si="23"/>
        <v>6200.987939543701</v>
      </c>
      <c r="U89" s="20">
        <f t="shared" si="23"/>
        <v>6200.987939543701</v>
      </c>
      <c r="W89" s="446">
        <f>SUM(B89:U89)</f>
        <v>124019.75879087402</v>
      </c>
    </row>
    <row r="90" spans="1:44" ht="15" outlineLevel="1">
      <c r="A90" s="21" t="s">
        <v>237</v>
      </c>
      <c r="B90" s="234">
        <f>-Depreciation!C81-Depreciation!C112*Allocation!$E$9</f>
        <v>-9336.0223791802291</v>
      </c>
      <c r="C90" s="234">
        <f>-Depreciation!D81-Depreciation!D112*Allocation!$E$9</f>
        <v>-17738.442520442433</v>
      </c>
      <c r="D90" s="234">
        <f>-Depreciation!E81-Depreciation!E112*Allocation!$E$9</f>
        <v>-15964.598268398193</v>
      </c>
      <c r="E90" s="234">
        <f>-Depreciation!F81-Depreciation!F112*Allocation!$E$9</f>
        <v>-14377.474463937551</v>
      </c>
      <c r="F90" s="234">
        <f>-Depreciation!G81-Depreciation!G112*Allocation!$E$9</f>
        <v>-12939.727017543797</v>
      </c>
      <c r="G90" s="234">
        <f>-Depreciation!H81-Depreciation!H112*Allocation!$E$9</f>
        <v>-11632.683884458565</v>
      </c>
      <c r="H90" s="234">
        <f>-Depreciation!I81-Depreciation!I112*Allocation!$E$9</f>
        <v>-11016.506407432669</v>
      </c>
      <c r="I90" s="234">
        <f>-Depreciation!J81-Depreciation!J112*Allocation!$E$9</f>
        <v>-11035.17845219103</v>
      </c>
      <c r="J90" s="234">
        <f>-Depreciation!K81-Depreciation!K112*Allocation!$E$9</f>
        <v>-11016.506407432669</v>
      </c>
      <c r="K90" s="234">
        <f>-Depreciation!L81-Depreciation!L112*Allocation!$E$9</f>
        <v>-11035.17845219103</v>
      </c>
      <c r="L90" s="234">
        <f>-Depreciation!M81-Depreciation!M112*Allocation!$E$9</f>
        <v>-11016.506407432669</v>
      </c>
      <c r="M90" s="234">
        <f>-Depreciation!N81-Depreciation!N112*Allocation!$E$9</f>
        <v>-11035.17845219103</v>
      </c>
      <c r="N90" s="234">
        <f>-Depreciation!O81-Depreciation!O112*Allocation!$E$9</f>
        <v>-11016.506407432669</v>
      </c>
      <c r="O90" s="234">
        <f>-Depreciation!P81-Depreciation!P112*Allocation!$E$9</f>
        <v>-11035.17845219103</v>
      </c>
      <c r="P90" s="234">
        <f>-Depreciation!Q81-Depreciation!Q112*Allocation!$E$9</f>
        <v>-11016.506407432669</v>
      </c>
      <c r="Q90" s="234">
        <f>-Depreciation!R81-Depreciation!R112*Allocation!$E$9</f>
        <v>-5508.2532037163346</v>
      </c>
      <c r="R90" s="234">
        <f>-Depreciation!S81-Depreciation!S112*Allocation!$E$9</f>
        <v>0</v>
      </c>
      <c r="S90" s="234">
        <f>-Depreciation!T81-Depreciation!T112*Allocation!$E$9</f>
        <v>0</v>
      </c>
      <c r="T90" s="234">
        <f>-Depreciation!U81-Depreciation!U112*Allocation!$E$9</f>
        <v>0</v>
      </c>
      <c r="U90" s="234">
        <f>-Depreciation!V81-Depreciation!V112*Allocation!$E$9</f>
        <v>0</v>
      </c>
      <c r="W90" s="447">
        <f>SUM(B90:U90)</f>
        <v>-186720.44758360455</v>
      </c>
    </row>
    <row r="91" spans="1:44" outlineLevel="1">
      <c r="A91" s="233" t="s">
        <v>145</v>
      </c>
      <c r="B91" s="22">
        <f t="shared" ref="B91:U91" si="24">SUM(B88:B90)</f>
        <v>-3708.0205311695099</v>
      </c>
      <c r="C91" s="22">
        <f t="shared" si="24"/>
        <v>-11975.336429021942</v>
      </c>
      <c r="D91" s="22">
        <f t="shared" si="24"/>
        <v>-10002.316333785346</v>
      </c>
      <c r="E91" s="22">
        <f t="shared" si="24"/>
        <v>2354.0764341869417</v>
      </c>
      <c r="F91" s="22">
        <f t="shared" si="24"/>
        <v>5399.6900739540997</v>
      </c>
      <c r="G91" s="22">
        <f t="shared" si="24"/>
        <v>7314.1383475526745</v>
      </c>
      <c r="H91" s="22">
        <f t="shared" si="24"/>
        <v>8581.5247648950863</v>
      </c>
      <c r="I91" s="22">
        <f t="shared" si="24"/>
        <v>9229.6835819148037</v>
      </c>
      <c r="J91" s="22">
        <f t="shared" si="24"/>
        <v>10015.226440221213</v>
      </c>
      <c r="K91" s="22">
        <f t="shared" si="24"/>
        <v>10245.300782750124</v>
      </c>
      <c r="L91" s="22">
        <f t="shared" si="24"/>
        <v>11470.500975362756</v>
      </c>
      <c r="M91" s="22">
        <f t="shared" si="24"/>
        <v>12769.974069383494</v>
      </c>
      <c r="N91" s="22">
        <f t="shared" si="24"/>
        <v>14070.355913428793</v>
      </c>
      <c r="O91" s="22">
        <f t="shared" si="24"/>
        <v>15197.814023210289</v>
      </c>
      <c r="P91" s="22">
        <f t="shared" si="24"/>
        <v>16378.756479687047</v>
      </c>
      <c r="Q91" s="22">
        <f t="shared" si="24"/>
        <v>22909.740404678567</v>
      </c>
      <c r="R91" s="22">
        <f t="shared" si="24"/>
        <v>29478.894122782945</v>
      </c>
      <c r="S91" s="22">
        <f t="shared" si="24"/>
        <v>30503.883307641729</v>
      </c>
      <c r="T91" s="22">
        <f t="shared" si="24"/>
        <v>31442.787692478156</v>
      </c>
      <c r="U91" s="22">
        <f t="shared" si="24"/>
        <v>32383.661391253569</v>
      </c>
      <c r="W91" s="446">
        <f>SUM(B91:U91)</f>
        <v>244060.33551140549</v>
      </c>
    </row>
    <row r="92" spans="1:44" outlineLevel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</row>
    <row r="93" spans="1:44" outlineLevel="1">
      <c r="A93" s="21" t="s">
        <v>46</v>
      </c>
      <c r="B93" s="444">
        <f>Assumptions!$E$47</f>
        <v>0.05</v>
      </c>
      <c r="C93" s="444">
        <f>Assumptions!$E$47</f>
        <v>0.05</v>
      </c>
      <c r="D93" s="444">
        <f>Assumptions!$E$47</f>
        <v>0.05</v>
      </c>
      <c r="E93" s="444">
        <f>Assumptions!$E$47</f>
        <v>0.05</v>
      </c>
      <c r="F93" s="444">
        <f>Assumptions!$E$47</f>
        <v>0.05</v>
      </c>
      <c r="G93" s="444">
        <f>Assumptions!$E$47</f>
        <v>0.05</v>
      </c>
      <c r="H93" s="444">
        <f>Assumptions!$E$47</f>
        <v>0.05</v>
      </c>
      <c r="I93" s="444">
        <f>Assumptions!$E$47</f>
        <v>0.05</v>
      </c>
      <c r="J93" s="444">
        <f>Assumptions!$E$47</f>
        <v>0.05</v>
      </c>
      <c r="K93" s="444">
        <f>Assumptions!$E$47</f>
        <v>0.05</v>
      </c>
      <c r="L93" s="444">
        <f>Assumptions!$E$47</f>
        <v>0.05</v>
      </c>
      <c r="M93" s="444">
        <f>Assumptions!$E$47</f>
        <v>0.05</v>
      </c>
      <c r="N93" s="444">
        <f>Assumptions!$E$47</f>
        <v>0.05</v>
      </c>
      <c r="O93" s="444">
        <f>Assumptions!$E$47</f>
        <v>0.05</v>
      </c>
      <c r="P93" s="444">
        <f>Assumptions!$E$47</f>
        <v>0.05</v>
      </c>
      <c r="Q93" s="444">
        <f>Assumptions!$E$47</f>
        <v>0.05</v>
      </c>
      <c r="R93" s="444">
        <f>Assumptions!$E$47</f>
        <v>0.05</v>
      </c>
      <c r="S93" s="444">
        <f>Assumptions!$E$47</f>
        <v>0.05</v>
      </c>
      <c r="T93" s="444">
        <f>Assumptions!$E$47</f>
        <v>0.05</v>
      </c>
      <c r="U93" s="444">
        <f>Assumptions!$E$47</f>
        <v>0.05</v>
      </c>
    </row>
    <row r="94" spans="1:44" outlineLevel="1">
      <c r="A94" s="21" t="s">
        <v>147</v>
      </c>
      <c r="B94" s="20">
        <f>B91*B93</f>
        <v>-185.40102655847551</v>
      </c>
      <c r="C94" s="20">
        <f t="shared" ref="C94:U94" si="25">C91*C93</f>
        <v>-598.76682145109714</v>
      </c>
      <c r="D94" s="20">
        <f t="shared" si="25"/>
        <v>-500.11581668926732</v>
      </c>
      <c r="E94" s="20">
        <f t="shared" si="25"/>
        <v>117.7038217093471</v>
      </c>
      <c r="F94" s="20">
        <f t="shared" si="25"/>
        <v>269.98450369770501</v>
      </c>
      <c r="G94" s="20">
        <f t="shared" si="25"/>
        <v>365.70691737763377</v>
      </c>
      <c r="H94" s="20">
        <f t="shared" si="25"/>
        <v>429.07623824475434</v>
      </c>
      <c r="I94" s="20">
        <f t="shared" si="25"/>
        <v>461.48417909574022</v>
      </c>
      <c r="J94" s="20">
        <f t="shared" si="25"/>
        <v>500.76132201106066</v>
      </c>
      <c r="K94" s="20">
        <f t="shared" si="25"/>
        <v>512.26503913750628</v>
      </c>
      <c r="L94" s="20">
        <f t="shared" si="25"/>
        <v>573.52504876813782</v>
      </c>
      <c r="M94" s="20">
        <f t="shared" si="25"/>
        <v>638.49870346917476</v>
      </c>
      <c r="N94" s="20">
        <f t="shared" si="25"/>
        <v>703.51779567143967</v>
      </c>
      <c r="O94" s="20">
        <f t="shared" si="25"/>
        <v>759.89070116051448</v>
      </c>
      <c r="P94" s="20">
        <f t="shared" si="25"/>
        <v>818.93782398435235</v>
      </c>
      <c r="Q94" s="20">
        <f t="shared" si="25"/>
        <v>1145.4870202339284</v>
      </c>
      <c r="R94" s="20">
        <f t="shared" si="25"/>
        <v>1473.9447061391475</v>
      </c>
      <c r="S94" s="20">
        <f t="shared" si="25"/>
        <v>1525.1941653820866</v>
      </c>
      <c r="T94" s="20">
        <f t="shared" si="25"/>
        <v>1572.139384623908</v>
      </c>
      <c r="U94" s="20">
        <f t="shared" si="25"/>
        <v>1619.1830695626786</v>
      </c>
    </row>
    <row r="95" spans="1:44" outlineLevel="1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spans="1:44" outlineLevel="1">
      <c r="A96" s="21" t="s">
        <v>148</v>
      </c>
      <c r="B96" s="20">
        <v>0</v>
      </c>
      <c r="C96" s="20">
        <f t="shared" ref="C96:U96" si="26">B100</f>
        <v>185.40102655847551</v>
      </c>
      <c r="D96" s="20">
        <f t="shared" si="26"/>
        <v>784.16784800957271</v>
      </c>
      <c r="E96" s="20">
        <f t="shared" si="26"/>
        <v>1284.2836646988401</v>
      </c>
      <c r="F96" s="20">
        <f t="shared" si="26"/>
        <v>1166.579842989493</v>
      </c>
      <c r="G96" s="20">
        <f t="shared" si="26"/>
        <v>896.59533929178804</v>
      </c>
      <c r="H96" s="20">
        <f t="shared" si="26"/>
        <v>530.88842191415426</v>
      </c>
      <c r="I96" s="20">
        <f t="shared" si="26"/>
        <v>101.81218366939993</v>
      </c>
      <c r="J96" s="20">
        <f t="shared" si="26"/>
        <v>0</v>
      </c>
      <c r="K96" s="20">
        <f t="shared" si="26"/>
        <v>0</v>
      </c>
      <c r="L96" s="20">
        <f t="shared" si="26"/>
        <v>0</v>
      </c>
      <c r="M96" s="20">
        <f t="shared" si="26"/>
        <v>0</v>
      </c>
      <c r="N96" s="20">
        <f>M100</f>
        <v>0</v>
      </c>
      <c r="O96" s="20">
        <f t="shared" si="26"/>
        <v>0</v>
      </c>
      <c r="P96" s="20">
        <f t="shared" si="26"/>
        <v>0</v>
      </c>
      <c r="Q96" s="20">
        <f t="shared" si="26"/>
        <v>0</v>
      </c>
      <c r="R96" s="20">
        <v>0</v>
      </c>
      <c r="S96" s="20">
        <f t="shared" si="26"/>
        <v>0</v>
      </c>
      <c r="T96" s="20">
        <f t="shared" si="26"/>
        <v>0</v>
      </c>
      <c r="U96" s="20">
        <f t="shared" si="26"/>
        <v>0</v>
      </c>
    </row>
    <row r="97" spans="1:23" outlineLevel="1">
      <c r="A97" s="21" t="s">
        <v>149</v>
      </c>
      <c r="B97" s="247">
        <f t="shared" ref="B97:U97" si="27">IF(B70&gt;2020,0,IF(B94&lt;0,-B94,0))</f>
        <v>185.40102655847551</v>
      </c>
      <c r="C97" s="247">
        <f t="shared" si="27"/>
        <v>598.76682145109714</v>
      </c>
      <c r="D97" s="247">
        <f t="shared" si="27"/>
        <v>500.11581668926732</v>
      </c>
      <c r="E97" s="247">
        <f t="shared" si="27"/>
        <v>0</v>
      </c>
      <c r="F97" s="247">
        <f t="shared" si="27"/>
        <v>0</v>
      </c>
      <c r="G97" s="247">
        <f t="shared" si="27"/>
        <v>0</v>
      </c>
      <c r="H97" s="247">
        <f t="shared" si="27"/>
        <v>0</v>
      </c>
      <c r="I97" s="247">
        <f t="shared" si="27"/>
        <v>0</v>
      </c>
      <c r="J97" s="247">
        <f t="shared" si="27"/>
        <v>0</v>
      </c>
      <c r="K97" s="247">
        <f t="shared" si="27"/>
        <v>0</v>
      </c>
      <c r="L97" s="247">
        <f t="shared" si="27"/>
        <v>0</v>
      </c>
      <c r="M97" s="247">
        <f t="shared" si="27"/>
        <v>0</v>
      </c>
      <c r="N97" s="247">
        <f t="shared" si="27"/>
        <v>0</v>
      </c>
      <c r="O97" s="247">
        <f t="shared" si="27"/>
        <v>0</v>
      </c>
      <c r="P97" s="247">
        <f t="shared" si="27"/>
        <v>0</v>
      </c>
      <c r="Q97" s="247">
        <f t="shared" si="27"/>
        <v>0</v>
      </c>
      <c r="R97" s="247">
        <f t="shared" si="27"/>
        <v>0</v>
      </c>
      <c r="S97" s="247">
        <f t="shared" si="27"/>
        <v>0</v>
      </c>
      <c r="T97" s="247">
        <f t="shared" si="27"/>
        <v>0</v>
      </c>
      <c r="U97" s="247">
        <f t="shared" si="27"/>
        <v>0</v>
      </c>
    </row>
    <row r="98" spans="1:23" outlineLevel="1">
      <c r="A98" s="21" t="s">
        <v>150</v>
      </c>
      <c r="B98" s="235">
        <v>0</v>
      </c>
      <c r="C98" s="235">
        <v>0</v>
      </c>
      <c r="D98" s="235">
        <v>0</v>
      </c>
      <c r="E98" s="235">
        <v>0</v>
      </c>
      <c r="F98" s="235">
        <v>0</v>
      </c>
      <c r="G98" s="235">
        <v>0</v>
      </c>
      <c r="H98" s="235">
        <v>0</v>
      </c>
      <c r="I98" s="235">
        <v>0</v>
      </c>
      <c r="J98" s="235">
        <v>0</v>
      </c>
      <c r="K98" s="235">
        <v>0</v>
      </c>
      <c r="L98" s="235">
        <v>0</v>
      </c>
      <c r="M98" s="235">
        <v>0</v>
      </c>
      <c r="N98" s="235">
        <v>0</v>
      </c>
      <c r="O98" s="235">
        <v>0</v>
      </c>
      <c r="P98" s="235">
        <v>0</v>
      </c>
      <c r="Q98" s="235">
        <v>0</v>
      </c>
      <c r="R98" s="235">
        <v>0</v>
      </c>
      <c r="S98" s="235">
        <v>0</v>
      </c>
      <c r="T98" s="20">
        <f>IF(L97&gt;(SUM(M99:S99)+SUM(L98:S98))*-1,L97-(SUM(L99:S99)+SUM(L98:S98))*-1,0)</f>
        <v>0</v>
      </c>
      <c r="U98" s="20">
        <f>IF(M97&gt;(SUM(N99:T99)+SUM(M98:T98))*-1,M97-(SUM(M99:T99)+SUM(M98:T98))*-1,0)</f>
        <v>0</v>
      </c>
    </row>
    <row r="99" spans="1:23" outlineLevel="1">
      <c r="A99" s="17" t="s">
        <v>151</v>
      </c>
      <c r="B99" s="236">
        <f t="shared" ref="B99:T99" si="28">IF(B94&lt;0,0,IF(B96&gt;B94,-B94,-B96))</f>
        <v>0</v>
      </c>
      <c r="C99" s="236">
        <f t="shared" si="28"/>
        <v>0</v>
      </c>
      <c r="D99" s="236">
        <f t="shared" si="28"/>
        <v>0</v>
      </c>
      <c r="E99" s="236">
        <f t="shared" si="28"/>
        <v>-117.7038217093471</v>
      </c>
      <c r="F99" s="236">
        <f t="shared" si="28"/>
        <v>-269.98450369770501</v>
      </c>
      <c r="G99" s="236">
        <f t="shared" si="28"/>
        <v>-365.70691737763377</v>
      </c>
      <c r="H99" s="236">
        <f t="shared" si="28"/>
        <v>-429.07623824475434</v>
      </c>
      <c r="I99" s="236">
        <f t="shared" si="28"/>
        <v>-101.81218366939993</v>
      </c>
      <c r="J99" s="236">
        <f t="shared" si="28"/>
        <v>0</v>
      </c>
      <c r="K99" s="236">
        <f t="shared" si="28"/>
        <v>0</v>
      </c>
      <c r="L99" s="236">
        <f t="shared" si="28"/>
        <v>0</v>
      </c>
      <c r="M99" s="236">
        <f t="shared" si="28"/>
        <v>0</v>
      </c>
      <c r="N99" s="236">
        <f t="shared" si="28"/>
        <v>0</v>
      </c>
      <c r="O99" s="236">
        <f t="shared" si="28"/>
        <v>0</v>
      </c>
      <c r="P99" s="236">
        <f t="shared" si="28"/>
        <v>0</v>
      </c>
      <c r="Q99" s="236">
        <f t="shared" si="28"/>
        <v>0</v>
      </c>
      <c r="R99" s="236">
        <f t="shared" si="28"/>
        <v>0</v>
      </c>
      <c r="S99" s="236">
        <f t="shared" si="28"/>
        <v>0</v>
      </c>
      <c r="T99" s="236">
        <f t="shared" si="28"/>
        <v>0</v>
      </c>
      <c r="U99" s="236">
        <f>IF(U94&lt;0,0,IF(U96&gt;U94,-U94,-U96))</f>
        <v>0</v>
      </c>
    </row>
    <row r="100" spans="1:23" outlineLevel="1">
      <c r="A100" s="17" t="s">
        <v>152</v>
      </c>
      <c r="B100" s="236">
        <f t="shared" ref="B100:U100" si="29">SUM(B96:B99)</f>
        <v>185.40102655847551</v>
      </c>
      <c r="C100" s="236">
        <f t="shared" si="29"/>
        <v>784.16784800957271</v>
      </c>
      <c r="D100" s="236">
        <f t="shared" si="29"/>
        <v>1284.2836646988401</v>
      </c>
      <c r="E100" s="236">
        <f t="shared" si="29"/>
        <v>1166.579842989493</v>
      </c>
      <c r="F100" s="236">
        <f t="shared" si="29"/>
        <v>896.59533929178804</v>
      </c>
      <c r="G100" s="236">
        <f t="shared" si="29"/>
        <v>530.88842191415426</v>
      </c>
      <c r="H100" s="236">
        <f t="shared" si="29"/>
        <v>101.81218366939993</v>
      </c>
      <c r="I100" s="236">
        <f t="shared" si="29"/>
        <v>0</v>
      </c>
      <c r="J100" s="236">
        <f t="shared" si="29"/>
        <v>0</v>
      </c>
      <c r="K100" s="236">
        <f t="shared" si="29"/>
        <v>0</v>
      </c>
      <c r="L100" s="236">
        <f t="shared" si="29"/>
        <v>0</v>
      </c>
      <c r="M100" s="236">
        <f t="shared" si="29"/>
        <v>0</v>
      </c>
      <c r="N100" s="236">
        <f t="shared" si="29"/>
        <v>0</v>
      </c>
      <c r="O100" s="236">
        <f t="shared" si="29"/>
        <v>0</v>
      </c>
      <c r="P100" s="236">
        <f t="shared" si="29"/>
        <v>0</v>
      </c>
      <c r="Q100" s="236">
        <f t="shared" si="29"/>
        <v>0</v>
      </c>
      <c r="R100" s="236">
        <f t="shared" si="29"/>
        <v>0</v>
      </c>
      <c r="S100" s="236">
        <f t="shared" si="29"/>
        <v>0</v>
      </c>
      <c r="T100" s="236">
        <f t="shared" si="29"/>
        <v>0</v>
      </c>
      <c r="U100" s="236">
        <f t="shared" si="29"/>
        <v>0</v>
      </c>
    </row>
    <row r="101" spans="1:23" outlineLevel="1">
      <c r="A101" s="17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</row>
    <row r="102" spans="1:23" ht="13.5" outlineLevel="1" thickBot="1">
      <c r="A102" s="32" t="s">
        <v>144</v>
      </c>
      <c r="B102" s="347">
        <f t="shared" ref="B102:U102" si="30">IF(B94&lt;0,0,B94+B99)</f>
        <v>0</v>
      </c>
      <c r="C102" s="347">
        <f t="shared" si="30"/>
        <v>0</v>
      </c>
      <c r="D102" s="347">
        <f t="shared" si="30"/>
        <v>0</v>
      </c>
      <c r="E102" s="347">
        <f t="shared" si="30"/>
        <v>0</v>
      </c>
      <c r="F102" s="347">
        <f t="shared" si="30"/>
        <v>0</v>
      </c>
      <c r="G102" s="347">
        <f t="shared" si="30"/>
        <v>0</v>
      </c>
      <c r="H102" s="347">
        <f t="shared" si="30"/>
        <v>0</v>
      </c>
      <c r="I102" s="347">
        <f t="shared" si="30"/>
        <v>359.67199542634029</v>
      </c>
      <c r="J102" s="347">
        <f t="shared" si="30"/>
        <v>500.76132201106066</v>
      </c>
      <c r="K102" s="347">
        <f t="shared" si="30"/>
        <v>512.26503913750628</v>
      </c>
      <c r="L102" s="347">
        <f t="shared" si="30"/>
        <v>573.52504876813782</v>
      </c>
      <c r="M102" s="347">
        <f t="shared" si="30"/>
        <v>638.49870346917476</v>
      </c>
      <c r="N102" s="347">
        <f t="shared" si="30"/>
        <v>703.51779567143967</v>
      </c>
      <c r="O102" s="347">
        <f t="shared" si="30"/>
        <v>759.89070116051448</v>
      </c>
      <c r="P102" s="347">
        <f t="shared" si="30"/>
        <v>818.93782398435235</v>
      </c>
      <c r="Q102" s="347">
        <f t="shared" si="30"/>
        <v>1145.4870202339284</v>
      </c>
      <c r="R102" s="347">
        <f t="shared" si="30"/>
        <v>1473.9447061391475</v>
      </c>
      <c r="S102" s="347">
        <f t="shared" si="30"/>
        <v>1525.1941653820866</v>
      </c>
      <c r="T102" s="347">
        <f t="shared" si="30"/>
        <v>1572.139384623908</v>
      </c>
      <c r="U102" s="347">
        <f t="shared" si="30"/>
        <v>1619.1830695626786</v>
      </c>
      <c r="W102" s="446">
        <f>SUM(B102:U102)</f>
        <v>12203.016775570275</v>
      </c>
    </row>
    <row r="103" spans="1:23" outlineLevel="1">
      <c r="A103" s="7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ht="15.75" outlineLevel="1">
      <c r="A104" s="72"/>
      <c r="B104" s="7"/>
      <c r="C104" s="73"/>
      <c r="D104" s="7"/>
      <c r="E104" s="7"/>
      <c r="F104" s="7"/>
      <c r="G104" s="7"/>
      <c r="H104" s="7"/>
      <c r="I104" s="7"/>
      <c r="J104" s="7"/>
      <c r="K104" s="7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57"/>
      <c r="B105" s="73"/>
      <c r="C105" s="76"/>
      <c r="D105" s="77"/>
      <c r="E105" s="77"/>
      <c r="F105" s="77"/>
      <c r="G105" s="77"/>
      <c r="H105" s="77"/>
      <c r="I105" s="77"/>
      <c r="J105" s="77"/>
      <c r="K105" s="77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7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7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7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7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57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5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ht="14.25" outlineLevel="1">
      <c r="A115" s="75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8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1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7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7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82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82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7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2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7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8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ht="14.25" customHeight="1" outlineLevel="1">
      <c r="A141" s="80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80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80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83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83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outlineLevel="1">
      <c r="A149" s="7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ht="18.75" outlineLevel="1">
      <c r="A151" s="84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5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5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7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1:21" outlineLevel="1">
      <c r="A155" s="7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1:21" outlineLevel="1">
      <c r="A156" s="2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7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78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6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80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79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6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79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80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82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8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79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79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1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79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82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82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9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79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78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80"/>
      <c r="B197" s="69"/>
      <c r="C197" s="6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</row>
    <row r="198" spans="1:21" outlineLevel="1">
      <c r="A198" s="80"/>
      <c r="B198" s="69"/>
      <c r="C198" s="6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</row>
    <row r="199" spans="1:21" outlineLevel="1">
      <c r="A199" s="7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outlineLevel="1">
      <c r="A200" s="7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</row>
    <row r="201" spans="1:21" outlineLevel="1">
      <c r="A201" s="7"/>
      <c r="B201" s="7"/>
      <c r="C201" s="7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</row>
    <row r="202" spans="1:21" ht="18.75" outlineLevel="1">
      <c r="A202" s="8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5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5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2"/>
      <c r="B206" s="9"/>
      <c r="C206" s="9"/>
      <c r="D206" s="9"/>
      <c r="E206" s="9"/>
      <c r="F206" s="9"/>
      <c r="G206" s="9"/>
      <c r="H206" s="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5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7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7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86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7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6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6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5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5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7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86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7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86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86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5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57"/>
      <c r="B247" s="87"/>
      <c r="C247" s="87"/>
      <c r="D247" s="87"/>
      <c r="E247" s="87"/>
      <c r="F247" s="87"/>
      <c r="G247" s="87"/>
      <c r="H247" s="87"/>
      <c r="I247" s="7"/>
      <c r="J247" s="8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87"/>
      <c r="C248" s="87"/>
      <c r="D248" s="87"/>
      <c r="E248" s="87"/>
      <c r="F248" s="87"/>
      <c r="G248" s="87"/>
      <c r="H248" s="87"/>
      <c r="I248" s="7"/>
      <c r="J248" s="8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7"/>
      <c r="B252" s="7"/>
      <c r="C252" s="59"/>
      <c r="D252" s="59"/>
      <c r="E252" s="59"/>
      <c r="F252" s="59"/>
      <c r="G252" s="59"/>
      <c r="H252" s="59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57"/>
      <c r="B253" s="7"/>
      <c r="C253" s="59"/>
      <c r="D253" s="59"/>
      <c r="E253" s="59"/>
      <c r="F253" s="59"/>
      <c r="G253" s="59"/>
      <c r="H253" s="5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8.75" outlineLevel="1">
      <c r="A255" s="8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5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s="90" customFormat="1" outlineLevel="1">
      <c r="A259" s="89"/>
    </row>
    <row r="260" spans="1:21" outlineLevel="1">
      <c r="A260" s="5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7"/>
      <c r="B261" s="7"/>
      <c r="C261" s="91"/>
      <c r="D261" s="91"/>
      <c r="E261" s="91"/>
      <c r="F261" s="91"/>
      <c r="G261" s="91"/>
      <c r="H261" s="91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91"/>
      <c r="D262" s="91"/>
      <c r="E262" s="91"/>
      <c r="F262" s="91"/>
      <c r="G262" s="91"/>
      <c r="H262" s="91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93"/>
      <c r="D263" s="93"/>
      <c r="E263" s="93"/>
      <c r="F263" s="93"/>
      <c r="G263" s="93"/>
      <c r="H263" s="93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8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59"/>
      <c r="D268" s="59"/>
      <c r="E268" s="59"/>
      <c r="F268" s="59"/>
      <c r="G268" s="59"/>
      <c r="H268" s="5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94"/>
      <c r="B269" s="7"/>
      <c r="C269" s="59"/>
      <c r="D269" s="59"/>
      <c r="E269" s="59"/>
      <c r="F269" s="59"/>
      <c r="G269" s="59"/>
      <c r="H269" s="5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1"/>
      <c r="D270" s="91"/>
      <c r="E270" s="91"/>
      <c r="F270" s="91"/>
      <c r="G270" s="91"/>
      <c r="H270" s="91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57"/>
      <c r="B271" s="7"/>
      <c r="C271" s="95"/>
      <c r="D271" s="95"/>
      <c r="E271" s="95"/>
      <c r="F271" s="95"/>
      <c r="G271" s="95"/>
      <c r="H271" s="95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6"/>
      <c r="D274" s="96"/>
      <c r="E274" s="96"/>
      <c r="F274" s="96"/>
      <c r="G274" s="96"/>
      <c r="H274" s="96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94"/>
      <c r="B275" s="7"/>
      <c r="C275" s="96"/>
      <c r="D275" s="96"/>
      <c r="E275" s="96"/>
      <c r="F275" s="96"/>
      <c r="G275" s="96"/>
      <c r="H275" s="96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94"/>
      <c r="B276" s="7"/>
      <c r="C276" s="95"/>
      <c r="D276" s="95"/>
      <c r="E276" s="95"/>
      <c r="F276" s="95"/>
      <c r="G276" s="95"/>
      <c r="H276" s="95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5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59"/>
      <c r="D280" s="59"/>
      <c r="E280" s="59"/>
      <c r="F280" s="59"/>
      <c r="G280" s="59"/>
      <c r="H280" s="59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7"/>
      <c r="B281" s="97"/>
      <c r="C281" s="59"/>
      <c r="D281" s="59"/>
      <c r="E281" s="59"/>
      <c r="F281" s="59"/>
      <c r="G281" s="59"/>
      <c r="H281" s="59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5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7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94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94"/>
      <c r="B287" s="9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91"/>
      <c r="D292" s="91"/>
      <c r="E292" s="91"/>
      <c r="F292" s="91"/>
      <c r="G292" s="91"/>
      <c r="H292" s="91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91"/>
      <c r="D293" s="91"/>
      <c r="E293" s="91"/>
      <c r="F293" s="91"/>
      <c r="G293" s="91"/>
      <c r="H293" s="91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9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57"/>
      <c r="B297" s="98"/>
      <c r="C297" s="98"/>
      <c r="D297" s="98"/>
      <c r="E297" s="98"/>
      <c r="F297" s="98"/>
      <c r="G297" s="98"/>
      <c r="H297" s="9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98"/>
      <c r="D298" s="98"/>
      <c r="E298" s="98"/>
      <c r="F298" s="98"/>
      <c r="G298" s="98"/>
      <c r="H298" s="98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5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5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87"/>
      <c r="D303" s="87"/>
      <c r="E303" s="87"/>
      <c r="F303" s="87"/>
      <c r="G303" s="87"/>
      <c r="H303" s="8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98"/>
      <c r="D304" s="98"/>
      <c r="E304" s="98"/>
      <c r="F304" s="98"/>
      <c r="G304" s="98"/>
      <c r="H304" s="98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outlineLevel="1">
      <c r="A306" s="7"/>
      <c r="B306" s="7"/>
      <c r="C306" s="87"/>
      <c r="D306" s="87"/>
      <c r="E306" s="87"/>
      <c r="F306" s="87"/>
      <c r="G306" s="87"/>
      <c r="H306" s="8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outlineLevel="1">
      <c r="A307" s="7"/>
      <c r="B307" s="7"/>
      <c r="C307" s="99"/>
      <c r="D307" s="99"/>
      <c r="E307" s="99"/>
      <c r="F307" s="99"/>
      <c r="G307" s="99"/>
      <c r="H307" s="99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6" outlineLevel="1">
      <c r="A308" s="7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outlineLevel="1">
      <c r="A309" s="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6" ht="18.75" outlineLevel="2">
      <c r="A310" s="84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outlineLevel="2">
      <c r="A311" s="57"/>
      <c r="B311" s="7"/>
      <c r="C311" s="100"/>
      <c r="D311" s="100"/>
      <c r="E311" s="100"/>
      <c r="F311" s="100"/>
      <c r="G311" s="100"/>
      <c r="H311" s="100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6" outlineLevel="2">
      <c r="A312" s="7"/>
      <c r="B312" s="7"/>
      <c r="C312" s="100"/>
      <c r="D312" s="100"/>
      <c r="E312" s="100"/>
      <c r="F312" s="100"/>
      <c r="G312" s="100"/>
      <c r="H312" s="100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outlineLevel="2">
      <c r="A313" s="57"/>
      <c r="B313" s="11"/>
      <c r="C313" s="11"/>
      <c r="D313" s="10"/>
      <c r="E313" s="10"/>
      <c r="F313" s="11"/>
      <c r="G313" s="11"/>
      <c r="H313" s="10"/>
      <c r="I313" s="11"/>
      <c r="J313" s="11"/>
      <c r="K313" s="11"/>
      <c r="L313" s="10"/>
      <c r="M313" s="11"/>
      <c r="N313" s="11"/>
      <c r="O313" s="7"/>
      <c r="P313" s="7"/>
      <c r="Q313" s="7"/>
      <c r="R313" s="7"/>
      <c r="S313" s="7"/>
      <c r="T313" s="11"/>
      <c r="U313" s="7"/>
    </row>
    <row r="314" spans="1:26" outlineLevel="2">
      <c r="A314" s="5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outlineLevel="2">
      <c r="A316" s="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6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outlineLevel="2">
      <c r="A318" s="7"/>
      <c r="B318" s="98"/>
      <c r="C318" s="98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7"/>
    </row>
    <row r="319" spans="1:26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87"/>
      <c r="V320" s="87"/>
      <c r="W320" s="87"/>
      <c r="X320" s="87"/>
      <c r="Y320" s="87"/>
      <c r="Z320" s="87"/>
    </row>
    <row r="321" spans="1:2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7"/>
    </row>
    <row r="323" spans="1:2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outlineLevel="2">
      <c r="A326" s="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7"/>
      <c r="P326" s="7"/>
      <c r="Q326" s="7"/>
      <c r="R326" s="7"/>
      <c r="S326" s="7"/>
      <c r="T326" s="87"/>
      <c r="U326" s="87"/>
    </row>
    <row r="327" spans="1:21" outlineLevel="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outlineLevel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outlineLevel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outlineLevel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8.75" outlineLevel="1">
      <c r="A331" s="8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outlineLevel="1">
      <c r="A332" s="5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outlineLevel="1">
      <c r="A333" s="5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outlineLevel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outlineLevel="1">
      <c r="A335" s="2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1:21" outlineLevel="1">
      <c r="A336" s="5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5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86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86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5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86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86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5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 outlineLevel="1">
      <c r="A367" s="5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</row>
    <row r="371" spans="1:21" outlineLevel="1">
      <c r="A371" s="86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</row>
    <row r="372" spans="1:21" outlineLevel="1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</row>
    <row r="373" spans="1:21" outlineLevel="1">
      <c r="A373" s="2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</row>
    <row r="374" spans="1:21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</row>
    <row r="375" spans="1:21" outlineLevel="1">
      <c r="A375" s="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</row>
    <row r="376" spans="1:21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</row>
    <row r="377" spans="1:21" outlineLevel="1">
      <c r="A377" s="5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</row>
    <row r="378" spans="1:21" outlineLevel="1">
      <c r="A378" s="5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</row>
    <row r="379" spans="1:21" outlineLevel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outlineLevel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8.75" outlineLevel="1">
      <c r="A381" s="8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outlineLevel="1">
      <c r="A382" s="5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outlineLevel="1">
      <c r="A383" s="5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outlineLevel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2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7"/>
      <c r="P385" s="7"/>
      <c r="Q385" s="7"/>
      <c r="R385" s="7"/>
      <c r="S385" s="7"/>
      <c r="T385" s="7"/>
      <c r="U385" s="7"/>
    </row>
    <row r="386" spans="1:21" outlineLevel="1">
      <c r="A386" s="5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86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86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86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57"/>
      <c r="B417" s="101"/>
      <c r="C417" s="101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7"/>
      <c r="P417" s="7"/>
      <c r="Q417" s="7"/>
      <c r="R417" s="7"/>
      <c r="S417" s="7"/>
      <c r="T417" s="7"/>
      <c r="U417" s="7"/>
    </row>
    <row r="418" spans="1:21" outlineLevel="1">
      <c r="A418" s="57"/>
      <c r="B418" s="101"/>
      <c r="C418" s="101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7"/>
      <c r="P418" s="7"/>
      <c r="Q418" s="7"/>
      <c r="R418" s="7"/>
      <c r="S418" s="7"/>
      <c r="T418" s="7"/>
      <c r="U418" s="7"/>
    </row>
    <row r="419" spans="1:21" outlineLevel="1">
      <c r="A419" s="7"/>
      <c r="B419" s="101"/>
      <c r="C419" s="101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/>
      <c r="E422"/>
      <c r="F422"/>
      <c r="G422"/>
      <c r="H422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7"/>
      <c r="B423" s="101"/>
      <c r="C423" s="101"/>
      <c r="D423"/>
      <c r="E423"/>
      <c r="F423"/>
      <c r="G423"/>
      <c r="H423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5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5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5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</row>
    <row r="436" spans="1:21" outlineLevel="1">
      <c r="A436" s="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</row>
    <row r="437" spans="1:21" outlineLevel="1">
      <c r="A437" s="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7"/>
      <c r="P440" s="7"/>
      <c r="Q440" s="7"/>
      <c r="R440" s="7"/>
      <c r="S440" s="7"/>
      <c r="T440" s="7"/>
      <c r="U440" s="7"/>
    </row>
    <row r="441" spans="1:21" outlineLevel="1">
      <c r="A441" s="57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7"/>
      <c r="P441" s="7"/>
      <c r="Q441" s="7"/>
      <c r="R441" s="7"/>
      <c r="S441" s="7"/>
      <c r="T441" s="7"/>
      <c r="U441" s="7"/>
    </row>
    <row r="442" spans="1:21" outlineLevel="1">
      <c r="A442" s="57"/>
      <c r="B442" s="102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7"/>
      <c r="P442" s="7"/>
      <c r="Q442" s="7"/>
      <c r="R442" s="7"/>
      <c r="S442" s="7"/>
      <c r="T442" s="7"/>
      <c r="U442" s="7"/>
    </row>
    <row r="443" spans="1:21" outlineLevel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8.75" outlineLevel="1">
      <c r="A444" s="8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5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outlineLevel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2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 spans="1:21" outlineLevel="1">
      <c r="A449" s="7"/>
      <c r="B449" s="7"/>
      <c r="C449" s="73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outlineLevel="1">
      <c r="A450" s="5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7"/>
      <c r="P452" s="7"/>
      <c r="Q452" s="7"/>
      <c r="R452" s="7"/>
      <c r="S452" s="7"/>
      <c r="T452" s="7"/>
      <c r="U452" s="7"/>
    </row>
    <row r="453" spans="1:21" outlineLevel="1">
      <c r="A453" s="7"/>
      <c r="B453" s="7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"/>
      <c r="P453" s="7"/>
      <c r="Q453" s="7"/>
      <c r="R453" s="7"/>
      <c r="S453" s="7"/>
      <c r="T453" s="7"/>
      <c r="U453" s="7"/>
    </row>
    <row r="454" spans="1:21" outlineLevel="1">
      <c r="A454" s="7"/>
      <c r="B454" s="7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"/>
      <c r="P454" s="7"/>
      <c r="Q454" s="7"/>
      <c r="R454" s="7"/>
      <c r="S454" s="7"/>
      <c r="T454" s="7"/>
      <c r="U454" s="7"/>
    </row>
    <row r="455" spans="1:21" outlineLevel="1">
      <c r="A455" s="94"/>
      <c r="B455" s="7"/>
      <c r="C455" s="73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7"/>
      <c r="P455" s="7"/>
      <c r="Q455" s="7"/>
      <c r="R455" s="7"/>
      <c r="S455" s="7"/>
      <c r="T455" s="7"/>
      <c r="U455" s="7"/>
    </row>
    <row r="456" spans="1:21" outlineLevel="1">
      <c r="A456" s="94"/>
      <c r="B456" s="7"/>
      <c r="C456" s="73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7"/>
      <c r="P456" s="7"/>
      <c r="Q456" s="7"/>
      <c r="R456" s="7"/>
      <c r="S456" s="7"/>
      <c r="T456" s="7"/>
      <c r="U456" s="7"/>
    </row>
    <row r="457" spans="1:21" outlineLevel="1">
      <c r="A457" s="5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7"/>
      <c r="B458" s="102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3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7"/>
      <c r="P461" s="7"/>
      <c r="Q461" s="7"/>
      <c r="R461" s="7"/>
      <c r="S461" s="7"/>
      <c r="T461" s="7"/>
      <c r="U461" s="7"/>
    </row>
    <row r="462" spans="1:21" outlineLevel="1">
      <c r="A462" s="57"/>
      <c r="B462" s="7"/>
      <c r="C462" s="73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7"/>
      <c r="P462" s="7"/>
      <c r="Q462" s="7"/>
      <c r="R462" s="7"/>
      <c r="S462" s="7"/>
      <c r="T462" s="7"/>
      <c r="U462" s="7"/>
    </row>
    <row r="463" spans="1:21" outlineLevel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outlineLevel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s="106" customFormat="1" ht="18.75" outlineLevel="1">
      <c r="A465" s="104"/>
      <c r="B465" s="105"/>
      <c r="C465" s="105"/>
    </row>
    <row r="466" spans="1:21" s="106" customFormat="1" outlineLevel="1">
      <c r="A466" s="105"/>
      <c r="B466" s="107"/>
      <c r="C466" s="108"/>
      <c r="D466" s="105"/>
      <c r="E466" s="109"/>
    </row>
    <row r="467" spans="1:21" s="106" customFormat="1" outlineLevel="1">
      <c r="A467" s="105"/>
      <c r="B467" s="110"/>
      <c r="C467" s="88"/>
      <c r="D467" s="88"/>
      <c r="E467" s="109"/>
    </row>
    <row r="468" spans="1:21" s="106" customFormat="1" outlineLevel="1">
      <c r="A468" s="105"/>
      <c r="B468" s="88"/>
      <c r="C468" s="109"/>
      <c r="D468" s="88"/>
      <c r="E468" s="110"/>
    </row>
    <row r="469" spans="1:21" s="106" customFormat="1" outlineLevel="1">
      <c r="A469" s="111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</row>
    <row r="470" spans="1:21" s="106" customFormat="1" outlineLevel="1">
      <c r="A470" s="80"/>
      <c r="B470" s="105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9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7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78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69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80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11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113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113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80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80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79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 outlineLevel="1">
      <c r="A494" s="80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outlineLevel="1">
      <c r="A495" s="82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</row>
    <row r="496" spans="1:21" s="106" customFormat="1" outlineLevel="1">
      <c r="A496" s="79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ht="13.9" customHeigh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16" customFormat="1" outlineLevel="1">
      <c r="A498" s="115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8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79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 outlineLevel="1">
      <c r="A503" s="79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 s="80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1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0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1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0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/>
      <c r="B514"/>
      <c r="C514"/>
      <c r="D514"/>
      <c r="E514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/>
      <c r="B515"/>
      <c r="C515"/>
      <c r="D515"/>
      <c r="E515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 s="80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16" customFormat="1" outlineLevel="1">
      <c r="A517" s="117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s="106" customFormat="1" outlineLevel="1">
      <c r="A519" s="80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</row>
    <row r="520" spans="1:21" s="106" customFormat="1" outlineLevel="1">
      <c r="A520" s="80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8.75" outlineLevel="1">
      <c r="A524" s="8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5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118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1">
      <c r="A528" s="2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7"/>
      <c r="N528" s="7"/>
      <c r="O528" s="7"/>
      <c r="P528" s="7"/>
      <c r="Q528" s="7"/>
      <c r="R528" s="7"/>
      <c r="S528" s="7"/>
      <c r="T528" s="7"/>
      <c r="U528" s="7"/>
    </row>
    <row r="529" spans="1:21" outlineLevel="2">
      <c r="A529" s="5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outlineLevel="2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outlineLevel="2">
      <c r="A532" s="119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outlineLevel="2">
      <c r="A533" s="86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outlineLevel="2">
      <c r="A534" s="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outlineLevel="2">
      <c r="A535" s="5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2">
      <c r="A544" s="86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2">
      <c r="A545" s="86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2">
      <c r="A547" s="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2">
      <c r="A549" s="86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outlineLevel="2">
      <c r="A550" s="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outlineLevel="2">
      <c r="A551" s="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2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2">
      <c r="A553" s="86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5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5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outlineLevel="1">
      <c r="A561" s="5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outlineLevel="1">
      <c r="A562" s="5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87"/>
      <c r="E563" s="87"/>
      <c r="F563" s="87"/>
      <c r="G563" s="87"/>
      <c r="H563" s="87"/>
      <c r="I563" s="87"/>
      <c r="J563" s="87"/>
      <c r="K563" s="87"/>
      <c r="L563" s="8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87"/>
      <c r="E564" s="87"/>
      <c r="F564" s="87"/>
      <c r="G564" s="87"/>
      <c r="H564" s="87"/>
      <c r="I564" s="87"/>
      <c r="J564" s="87"/>
      <c r="K564" s="87"/>
      <c r="L564" s="8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87"/>
      <c r="E565" s="87"/>
      <c r="F565" s="87"/>
      <c r="G565" s="87"/>
      <c r="H565" s="87"/>
      <c r="I565" s="87"/>
      <c r="J565" s="87"/>
      <c r="K565" s="87"/>
      <c r="L565" s="8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87"/>
      <c r="E566" s="87"/>
      <c r="F566" s="87"/>
      <c r="G566" s="87"/>
      <c r="H566" s="87"/>
      <c r="I566" s="87"/>
      <c r="J566" s="87"/>
      <c r="K566" s="87"/>
      <c r="L566" s="8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87"/>
      <c r="E567" s="87"/>
      <c r="F567" s="87"/>
      <c r="G567" s="87"/>
      <c r="H567" s="87"/>
      <c r="I567" s="87"/>
      <c r="J567" s="87"/>
      <c r="K567" s="87"/>
      <c r="L567" s="8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</sheetData>
  <pageMargins left="0.18" right="0.17" top="0.37" bottom="0.4" header="0.17" footer="0.21"/>
  <pageSetup scale="43" orientation="landscape" r:id="rId1"/>
  <headerFooter alignWithMargins="0">
    <oddHeader>&amp;L&amp;12Enron's Generation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C765"/>
  <sheetViews>
    <sheetView zoomScale="75" zoomScaleNormal="75" workbookViewId="0"/>
  </sheetViews>
  <sheetFormatPr defaultRowHeight="12.75" outlineLevelRow="2" outlineLevelCol="1"/>
  <cols>
    <col min="1" max="1" width="40.5703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167</v>
      </c>
      <c r="B2" s="391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7" t="s">
        <v>65</v>
      </c>
      <c r="B5" s="8">
        <f>Brownsville!$B$5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66</v>
      </c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58"/>
      <c r="W7" s="58"/>
      <c r="X7" s="58"/>
      <c r="Y7" s="503">
        <f>SUM(Z7:AS7)-SUM(Z8:AS8)</f>
        <v>0</v>
      </c>
      <c r="Z7" s="504">
        <f>B10+B11</f>
        <v>485.67384000000004</v>
      </c>
      <c r="AA7" s="504">
        <f>C10+C11</f>
        <v>500.24405520000005</v>
      </c>
      <c r="AB7" s="504">
        <f>D10+D11</f>
        <v>515.25137685600009</v>
      </c>
      <c r="AC7" s="504">
        <f t="shared" ref="AC7:AS7" si="1">E16</f>
        <v>277.46943591167997</v>
      </c>
      <c r="AD7" s="504">
        <f t="shared" si="1"/>
        <v>285.79351898903042</v>
      </c>
      <c r="AE7" s="504">
        <f t="shared" si="1"/>
        <v>294.36732455870134</v>
      </c>
      <c r="AF7" s="504">
        <f t="shared" si="1"/>
        <v>303.19834429546239</v>
      </c>
      <c r="AG7" s="504">
        <f t="shared" si="1"/>
        <v>312.2942946243262</v>
      </c>
      <c r="AH7" s="504">
        <f t="shared" si="1"/>
        <v>321.66312346305602</v>
      </c>
      <c r="AI7" s="504">
        <f t="shared" si="1"/>
        <v>331.3130171669477</v>
      </c>
      <c r="AJ7" s="504">
        <f t="shared" si="1"/>
        <v>341.25240768195613</v>
      </c>
      <c r="AK7" s="504">
        <f t="shared" si="1"/>
        <v>351.48997991241481</v>
      </c>
      <c r="AL7" s="504">
        <f t="shared" si="1"/>
        <v>362.03467930978718</v>
      </c>
      <c r="AM7" s="504">
        <f t="shared" si="1"/>
        <v>372.89571968908081</v>
      </c>
      <c r="AN7" s="504">
        <f t="shared" si="1"/>
        <v>384.08259127975327</v>
      </c>
      <c r="AO7" s="504">
        <f t="shared" si="1"/>
        <v>395.60506901814585</v>
      </c>
      <c r="AP7" s="504">
        <f t="shared" si="1"/>
        <v>407.4732210886902</v>
      </c>
      <c r="AQ7" s="504">
        <f t="shared" si="1"/>
        <v>419.69741772135092</v>
      </c>
      <c r="AR7" s="504">
        <f t="shared" si="1"/>
        <v>432.28834025299147</v>
      </c>
      <c r="AS7" s="504">
        <f t="shared" si="1"/>
        <v>445.25699046058116</v>
      </c>
    </row>
    <row r="8" spans="1:55">
      <c r="A8" s="364" t="s">
        <v>159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534">
        <v>0</v>
      </c>
      <c r="Z8" s="533">
        <f>B24+B25</f>
        <v>485.67384000000004</v>
      </c>
      <c r="AA8" s="533">
        <f>C24+C25</f>
        <v>500.24405520000005</v>
      </c>
      <c r="AB8" s="533">
        <f>D24+D25</f>
        <v>515.25137685600009</v>
      </c>
      <c r="AC8" s="533">
        <f t="shared" ref="AC8:AS8" si="2">E24+1/3*E25</f>
        <v>277.46943591168002</v>
      </c>
      <c r="AD8" s="533">
        <f t="shared" si="2"/>
        <v>285.79351898903042</v>
      </c>
      <c r="AE8" s="533">
        <f t="shared" si="2"/>
        <v>294.3673245587014</v>
      </c>
      <c r="AF8" s="533">
        <f t="shared" si="2"/>
        <v>303.19834429546239</v>
      </c>
      <c r="AG8" s="533">
        <f t="shared" si="2"/>
        <v>312.29429462432626</v>
      </c>
      <c r="AH8" s="533">
        <f t="shared" si="2"/>
        <v>321.66312346305608</v>
      </c>
      <c r="AI8" s="533">
        <f t="shared" si="2"/>
        <v>331.31301716694776</v>
      </c>
      <c r="AJ8" s="533">
        <f t="shared" si="2"/>
        <v>341.25240768195624</v>
      </c>
      <c r="AK8" s="533">
        <f t="shared" si="2"/>
        <v>351.48997991241487</v>
      </c>
      <c r="AL8" s="533">
        <f t="shared" si="2"/>
        <v>362.03467930978729</v>
      </c>
      <c r="AM8" s="533">
        <f t="shared" si="2"/>
        <v>372.89571968908092</v>
      </c>
      <c r="AN8" s="533">
        <f t="shared" si="2"/>
        <v>384.08259127975339</v>
      </c>
      <c r="AO8" s="533">
        <f t="shared" si="2"/>
        <v>395.60506901814597</v>
      </c>
      <c r="AP8" s="533">
        <f t="shared" si="2"/>
        <v>407.47322108869037</v>
      </c>
      <c r="AQ8" s="533">
        <f t="shared" si="2"/>
        <v>419.69741772135103</v>
      </c>
      <c r="AR8" s="533">
        <f t="shared" si="2"/>
        <v>432.28834025299159</v>
      </c>
      <c r="AS8" s="533">
        <f t="shared" si="2"/>
        <v>445.25699046058133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67</v>
      </c>
      <c r="B9" s="56">
        <f>'Power Price Assumption'!D32*12*Assumptions!$G$9</f>
        <v>24480</v>
      </c>
      <c r="C9" s="56">
        <f>'Power Price Assumption'!E32*12*Assumptions!$G$9</f>
        <v>24480</v>
      </c>
      <c r="D9" s="56">
        <f>'Power Price Assumption'!F32*12*Assumptions!$G$9</f>
        <v>24480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73440</v>
      </c>
      <c r="X9" s="16"/>
      <c r="Y9" s="503"/>
      <c r="Z9" s="505">
        <f>Z7-Z8</f>
        <v>0</v>
      </c>
      <c r="AA9" s="505">
        <f t="shared" ref="AA9:AS9" si="3">AA7-AA8</f>
        <v>0</v>
      </c>
      <c r="AB9" s="505">
        <f t="shared" si="3"/>
        <v>0</v>
      </c>
      <c r="AC9" s="505">
        <f t="shared" si="3"/>
        <v>0</v>
      </c>
      <c r="AD9" s="505">
        <f t="shared" si="3"/>
        <v>0</v>
      </c>
      <c r="AE9" s="505">
        <f t="shared" si="3"/>
        <v>0</v>
      </c>
      <c r="AF9" s="505">
        <f t="shared" si="3"/>
        <v>0</v>
      </c>
      <c r="AG9" s="505">
        <f t="shared" si="3"/>
        <v>0</v>
      </c>
      <c r="AH9" s="505">
        <f t="shared" si="3"/>
        <v>0</v>
      </c>
      <c r="AI9" s="505">
        <f t="shared" si="3"/>
        <v>0</v>
      </c>
      <c r="AJ9" s="505">
        <f t="shared" si="3"/>
        <v>0</v>
      </c>
      <c r="AK9" s="505">
        <f t="shared" si="3"/>
        <v>0</v>
      </c>
      <c r="AL9" s="505">
        <f t="shared" si="3"/>
        <v>0</v>
      </c>
      <c r="AM9" s="505">
        <f t="shared" si="3"/>
        <v>0</v>
      </c>
      <c r="AN9" s="505">
        <f t="shared" si="3"/>
        <v>0</v>
      </c>
      <c r="AO9" s="505">
        <f t="shared" si="3"/>
        <v>0</v>
      </c>
      <c r="AP9" s="505">
        <f t="shared" si="3"/>
        <v>0</v>
      </c>
      <c r="AQ9" s="505">
        <f t="shared" si="3"/>
        <v>0</v>
      </c>
      <c r="AR9" s="505">
        <f t="shared" si="3"/>
        <v>0</v>
      </c>
      <c r="AS9" s="505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242</v>
      </c>
      <c r="B10" s="56">
        <f>Assumptions!G23*Assumptions!G21/1000*(1+Assumptions!$G$33)</f>
        <v>138.04884000000001</v>
      </c>
      <c r="C10" s="56">
        <f>B10*(1+Assumptions!$G$33)</f>
        <v>142.19030520000001</v>
      </c>
      <c r="D10" s="56">
        <f>C10*(1+Assumptions!$G$33)</f>
        <v>146.45601435600003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426.69515955600008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171</v>
      </c>
      <c r="B11" s="127">
        <f>Assumptions!$G$22*Assumptions!$G$11*Assumptions!$G$8/1000*(1+Assumptions!$G$33)</f>
        <v>347.625</v>
      </c>
      <c r="C11" s="91">
        <f>B11*(1+Assumptions!$G$33)</f>
        <v>358.05375000000004</v>
      </c>
      <c r="D11" s="91">
        <f>C11*(1+Assumptions!$G$33)</f>
        <v>368.79536250000007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1074.4741125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280</v>
      </c>
      <c r="B12" s="127">
        <f>'Contract Amortization'!$C$29*0.9/3</f>
        <v>8239.3800845859096</v>
      </c>
      <c r="C12" s="127">
        <f>'Contract Amortization'!$C$29*0.9/3</f>
        <v>8239.3800845859096</v>
      </c>
      <c r="D12" s="127">
        <f>'Contract Amortization'!$C$29*0.9/3</f>
        <v>8239.3800845859096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24718.140253757731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64" t="s">
        <v>183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67</v>
      </c>
      <c r="B15" s="19">
        <v>0</v>
      </c>
      <c r="C15" s="19">
        <v>0</v>
      </c>
      <c r="D15" s="19">
        <v>0</v>
      </c>
      <c r="E15" s="19">
        <f>'Power Price Assumption'!G32*Assumptions!$G$9*12</f>
        <v>39288.977690522966</v>
      </c>
      <c r="F15" s="19">
        <f>'Power Price Assumption'!H32*Assumptions!$G$9*12</f>
        <v>41237.009778250213</v>
      </c>
      <c r="G15" s="19">
        <f>'Power Price Assumption'!I32*Assumptions!$G$9*12</f>
        <v>41765.788561656591</v>
      </c>
      <c r="H15" s="19">
        <f>'Power Price Assumption'!J32*Assumptions!$G$9*12</f>
        <v>42301.346598548851</v>
      </c>
      <c r="I15" s="19">
        <f>'Power Price Assumption'!K32*Assumptions!$G$9*12</f>
        <v>42843.599996764067</v>
      </c>
      <c r="J15" s="19">
        <f>'Power Price Assumption'!L32*Assumptions!$G$9*12</f>
        <v>43393.22412158407</v>
      </c>
      <c r="K15" s="19">
        <f>'Power Price Assumption'!M32*Assumptions!$G$9*12</f>
        <v>43949.754697453536</v>
      </c>
      <c r="L15" s="19">
        <f>'Power Price Assumption'!N32*Assumptions!$G$9*12</f>
        <v>44781.117213395439</v>
      </c>
      <c r="M15" s="19">
        <f>'Power Price Assumption'!O32*Assumptions!$G$9*12</f>
        <v>45628.79001997775</v>
      </c>
      <c r="N15" s="19">
        <f>'Power Price Assumption'!P32*Assumptions!$G$9*12</f>
        <v>46492.302605302073</v>
      </c>
      <c r="O15" s="19">
        <f>'Power Price Assumption'!Q32*Assumptions!$G$9*12</f>
        <v>47372.000923042135</v>
      </c>
      <c r="P15" s="19">
        <f>'Power Price Assumption'!R32*Assumptions!$G$9*12</f>
        <v>48268.242182465561</v>
      </c>
      <c r="Q15" s="19">
        <f>'Power Price Assumption'!S32*Assumptions!$G$9*12</f>
        <v>48956.278056943891</v>
      </c>
      <c r="R15" s="19">
        <f>'Power Price Assumption'!T32*Assumptions!$G$9*12</f>
        <v>49655.531828447958</v>
      </c>
      <c r="S15" s="19">
        <f>'Power Price Assumption'!U32*Assumptions!$G$9*12</f>
        <v>50363.396769521954</v>
      </c>
      <c r="T15" s="19">
        <f>'Power Price Assumption'!V32*Assumptions!$G$9*12</f>
        <v>51082.184213339599</v>
      </c>
      <c r="U15" s="19">
        <f>'Power Price Assumption'!W32*Assumptions!$G$9*12</f>
        <v>51811.223864968488</v>
      </c>
      <c r="W15" s="91">
        <f t="shared" ref="W15:W20" si="4">SUM(B15:U15)</f>
        <v>779190.76912218519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68</v>
      </c>
      <c r="B16" s="19">
        <v>0</v>
      </c>
      <c r="C16" s="19">
        <v>0</v>
      </c>
      <c r="D16" s="19">
        <v>0</v>
      </c>
      <c r="E16" s="127">
        <f>1/3*Assumptions!$G$22*Assumptions!$G$11*Assumptions!$G$8/1000*(1+Assumptions!$G$33)^(E5-2000)+Assumptions!$G$23*Assumptions!$G$21*(1+Assumptions!$G$33)^(E5-2000)/1000</f>
        <v>277.46943591167997</v>
      </c>
      <c r="F16" s="127">
        <f>1/3*Assumptions!$G$22*Assumptions!$G$11*Assumptions!$G$8/1000*(1+Assumptions!$G$33)^(F5-2000)+Assumptions!$G$23*Assumptions!$G$21*(1+Assumptions!$G$33)^(F5-2000)/1000</f>
        <v>285.79351898903042</v>
      </c>
      <c r="G16" s="127">
        <f>1/3*Assumptions!$G$22*Assumptions!$G$11*Assumptions!$G$8/1000*(1+Assumptions!$G$33)^(G5-2000)+Assumptions!$G$23*Assumptions!$G$21*(1+Assumptions!$G$33)^(G5-2000)/1000</f>
        <v>294.36732455870134</v>
      </c>
      <c r="H16" s="127">
        <f>1/3*Assumptions!$G$22*Assumptions!$G$11*Assumptions!$G$8/1000*(1+Assumptions!$G$33)^(H5-2000)+Assumptions!$G$23*Assumptions!$G$21*(1+Assumptions!$G$33)^(H5-2000)/1000</f>
        <v>303.19834429546239</v>
      </c>
      <c r="I16" s="127">
        <f>1/3*Assumptions!$G$22*Assumptions!$G$11*Assumptions!$G$8/1000*(1+Assumptions!$G$33)^(I5-2000)+Assumptions!$G$23*Assumptions!$G$21*(1+Assumptions!$G$33)^(I5-2000)/1000</f>
        <v>312.2942946243262</v>
      </c>
      <c r="J16" s="127">
        <f>1/3*Assumptions!$G$22*Assumptions!$G$11*Assumptions!$G$8/1000*(1+Assumptions!$G$33)^(J5-2000)+Assumptions!$G$23*Assumptions!$G$21*(1+Assumptions!$G$33)^(J5-2000)/1000</f>
        <v>321.66312346305602</v>
      </c>
      <c r="K16" s="127">
        <f>1/3*Assumptions!$G$22*Assumptions!$G$11*Assumptions!$G$8/1000*(1+Assumptions!$G$33)^(K5-2000)+Assumptions!$G$23*Assumptions!$G$21*(1+Assumptions!$G$33)^(K5-2000)/1000</f>
        <v>331.3130171669477</v>
      </c>
      <c r="L16" s="127">
        <f>1/3*Assumptions!$G$22*Assumptions!$G$11*Assumptions!$G$8/1000*(1+Assumptions!$G$33)^(L5-2000)+Assumptions!$G$23*Assumptions!$G$21*(1+Assumptions!$G$33)^(L5-2000)/1000</f>
        <v>341.25240768195613</v>
      </c>
      <c r="M16" s="127">
        <f>1/3*Assumptions!$G$22*Assumptions!$G$11*Assumptions!$G$8/1000*(1+Assumptions!$G$33)^(M5-2000)+Assumptions!$G$23*Assumptions!$G$21*(1+Assumptions!$G$33)^(M5-2000)/1000</f>
        <v>351.48997991241481</v>
      </c>
      <c r="N16" s="127">
        <f>1/3*Assumptions!$G$22*Assumptions!$G$11*Assumptions!$G$8/1000*(1+Assumptions!$G$33)^(N5-2000)+Assumptions!$G$23*Assumptions!$G$21*(1+Assumptions!$G$33)^(N5-2000)/1000</f>
        <v>362.03467930978718</v>
      </c>
      <c r="O16" s="127">
        <f>1/3*Assumptions!$G$22*Assumptions!$G$11*Assumptions!$G$8/1000*(1+Assumptions!$G$33)^(O5-2000)+Assumptions!$G$23*Assumptions!$G$21*(1+Assumptions!$G$33)^(O5-2000)/1000</f>
        <v>372.89571968908081</v>
      </c>
      <c r="P16" s="127">
        <f>1/3*Assumptions!$G$22*Assumptions!$G$11*Assumptions!$G$8/1000*(1+Assumptions!$G$33)^(P5-2000)+Assumptions!$G$23*Assumptions!$G$21*(1+Assumptions!$G$33)^(P5-2000)/1000</f>
        <v>384.08259127975327</v>
      </c>
      <c r="Q16" s="127">
        <f>1/3*Assumptions!$G$22*Assumptions!$G$11*Assumptions!$G$8/1000*(1+Assumptions!$G$33)^(Q5-2000)+Assumptions!$G$23*Assumptions!$G$21*(1+Assumptions!$G$33)^(Q5-2000)/1000</f>
        <v>395.60506901814585</v>
      </c>
      <c r="R16" s="127">
        <f>1/3*Assumptions!$G$22*Assumptions!$G$11*Assumptions!$G$8/1000*(1+Assumptions!$G$33)^(R5-2000)+Assumptions!$G$23*Assumptions!$G$21*(1+Assumptions!$G$33)^(R5-2000)/1000</f>
        <v>407.4732210886902</v>
      </c>
      <c r="S16" s="127">
        <f>1/3*Assumptions!$G$22*Assumptions!$G$11*Assumptions!$G$8/1000*(1+Assumptions!$G$33)^(S5-2000)+Assumptions!$G$23*Assumptions!$G$21*(1+Assumptions!$G$33)^(S5-2000)/1000</f>
        <v>419.69741772135092</v>
      </c>
      <c r="T16" s="127">
        <f>1/3*Assumptions!$G$22*Assumptions!$G$11*Assumptions!$G$8/1000*(1+Assumptions!$G$33)^(T5-2000)+Assumptions!$G$23*Assumptions!$G$21*(1+Assumptions!$G$33)^(T5-2000)/1000</f>
        <v>432.28834025299147</v>
      </c>
      <c r="U16" s="127">
        <f>1/3*Assumptions!$G$22*Assumptions!$G$11*Assumptions!$G$8/1000*(1+Assumptions!$G$33)^(U5-2000)+Assumptions!$G$23*Assumptions!$G$21*(1+Assumptions!$G$33)^(U5-2000)/1000</f>
        <v>445.25699046058116</v>
      </c>
      <c r="W16" s="91">
        <f t="shared" si="4"/>
        <v>6038.1754754239555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 t="s">
        <v>69</v>
      </c>
      <c r="B17" s="19">
        <v>0</v>
      </c>
      <c r="C17" s="19">
        <v>0</v>
      </c>
      <c r="D17" s="19">
        <v>0</v>
      </c>
      <c r="E17" s="56">
        <f>Assumptions!$G$27*Assumptions!$G$23/1000</f>
        <v>89.352000000000018</v>
      </c>
      <c r="F17" s="56">
        <f>Assumptions!$G$27*Assumptions!$G$23/1000</f>
        <v>89.352000000000018</v>
      </c>
      <c r="G17" s="56">
        <f>Assumptions!$G$27*Assumptions!$G$23/1000</f>
        <v>89.352000000000018</v>
      </c>
      <c r="H17" s="56">
        <f>Assumptions!$G$27*Assumptions!$G$23/1000</f>
        <v>89.352000000000018</v>
      </c>
      <c r="I17" s="56">
        <f>Assumptions!$G$27*Assumptions!$G$23/1000</f>
        <v>89.352000000000018</v>
      </c>
      <c r="J17" s="56">
        <f>Assumptions!$G$27*Assumptions!$G$23/1000</f>
        <v>89.352000000000018</v>
      </c>
      <c r="K17" s="56">
        <f>Assumptions!$G$27*Assumptions!$G$23/1000</f>
        <v>89.352000000000018</v>
      </c>
      <c r="L17" s="56">
        <f>Assumptions!$G$27*Assumptions!$G$23/1000</f>
        <v>89.352000000000018</v>
      </c>
      <c r="M17" s="56">
        <f>Assumptions!$G$27*Assumptions!$G$23/1000</f>
        <v>89.352000000000018</v>
      </c>
      <c r="N17" s="56">
        <f>Assumptions!$G$27*Assumptions!$G$23/1000</f>
        <v>89.352000000000018</v>
      </c>
      <c r="O17" s="56">
        <f>Assumptions!$G$27*Assumptions!$G$23/1000</f>
        <v>89.352000000000018</v>
      </c>
      <c r="P17" s="56">
        <f>Assumptions!$G$27*Assumptions!$G$23/1000</f>
        <v>89.352000000000018</v>
      </c>
      <c r="Q17" s="56">
        <f>Assumptions!$G$27*Assumptions!$G$23/1000</f>
        <v>89.352000000000018</v>
      </c>
      <c r="R17" s="56">
        <f>Assumptions!$G$27*Assumptions!$G$23/1000</f>
        <v>89.352000000000018</v>
      </c>
      <c r="S17" s="56">
        <f>Assumptions!$G$27*Assumptions!$G$23/1000</f>
        <v>89.352000000000018</v>
      </c>
      <c r="T17" s="56">
        <f>Assumptions!$G$27*Assumptions!$G$23/1000</f>
        <v>89.352000000000018</v>
      </c>
      <c r="U17" s="56">
        <f>Assumptions!$G$27*Assumptions!$G$23/1000</f>
        <v>89.352000000000018</v>
      </c>
      <c r="W17" s="91">
        <f t="shared" si="4"/>
        <v>1518.9840000000004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/>
      <c r="W18" s="91">
        <f t="shared" si="4"/>
        <v>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194</v>
      </c>
      <c r="B19" s="201">
        <f>(SUM(B9:B11)-SUM(B23:B29))*'Summary Output'!$B$31/4</f>
        <v>271.69839212352571</v>
      </c>
      <c r="C19" s="201">
        <f>(SUM(C9:C11)-SUM(C23:C29))*'Summary Output'!$B$31/4</f>
        <v>269.01466960849405</v>
      </c>
      <c r="D19" s="201">
        <f>(SUM(D9:D11)-SUM(D23:D29))*'Summary Output'!$B$31/4</f>
        <v>267.39921789433737</v>
      </c>
      <c r="E19" s="201">
        <f>(SUM(E9:E17)-SUM(E23:E29))*'Summary Output'!$B$31/4</f>
        <v>449.91500145849386</v>
      </c>
      <c r="F19" s="201">
        <f>(SUM(F9:F17)-SUM(F23:F29))*'Summary Output'!$B$31/4</f>
        <v>473.5991433651335</v>
      </c>
      <c r="G19" s="201">
        <f>(SUM(G9:G17)-SUM(G23:G29))*'Summary Output'!$B$31/4</f>
        <v>478.42524116838968</v>
      </c>
      <c r="H19" s="201">
        <f>(SUM(H9:H17)-SUM(H23:H29))*'Summary Output'!$B$31/4</f>
        <v>484.39864175686574</v>
      </c>
      <c r="I19" s="201">
        <f>(SUM(I9:I17)-SUM(I23:I29))*'Summary Output'!$B$31/4</f>
        <v>490.42708709202435</v>
      </c>
      <c r="J19" s="201">
        <f>(SUM(J9:J17)-SUM(J23:J29))*'Summary Output'!$B$31/4</f>
        <v>496.51815982179272</v>
      </c>
      <c r="K19" s="201">
        <f>(SUM(K9:K17)-SUM(K23:K29))*'Summary Output'!$B$31/4</f>
        <v>502.66517130109088</v>
      </c>
      <c r="L19" s="201">
        <f>(SUM(L9:L17)-SUM(L23:L29))*'Summary Output'!$B$31/4</f>
        <v>512.21627838604843</v>
      </c>
      <c r="M19" s="201">
        <f>(SUM(M9:M17)-SUM(M23:M29))*'Summary Output'!$B$31/4</f>
        <v>521.93902134940754</v>
      </c>
      <c r="N19" s="201">
        <f>(SUM(N9:N17)-SUM(N23:N29))*'Summary Output'!$B$31/4</f>
        <v>527.46505150979999</v>
      </c>
      <c r="O19" s="201">
        <f>(SUM(O9:O17)-SUM(O23:O29))*'Summary Output'!$B$31/4</f>
        <v>537.52069698703053</v>
      </c>
      <c r="P19" s="201">
        <f>(SUM(P9:P17)-SUM(P23:P29))*'Summary Output'!$B$31/4</f>
        <v>542.29602170679334</v>
      </c>
      <c r="Q19" s="201">
        <f>(SUM(Q9:Q17)-SUM(Q23:Q29))*'Summary Output'!$B$31/4</f>
        <v>556.94085154787751</v>
      </c>
      <c r="R19" s="201">
        <f>(SUM(R9:R17)-SUM(R23:R29))*'Summary Output'!$B$31/4</f>
        <v>564.44605721353742</v>
      </c>
      <c r="S19" s="201">
        <f>(SUM(S9:S17)-SUM(S23:S29))*'Summary Output'!$B$31/4</f>
        <v>572.01668330841574</v>
      </c>
      <c r="T19" s="201">
        <f>(SUM(T9:T17)-SUM(T23:T29))*'Summary Output'!$B$31/4</f>
        <v>579.68039211802397</v>
      </c>
      <c r="U19" s="201">
        <f>(SUM(U9:U17)-SUM(U23:U29))*'Summary Output'!$B$31/4</f>
        <v>587.42753943910338</v>
      </c>
      <c r="W19" s="91">
        <f t="shared" si="4"/>
        <v>9686.0093191561864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3" t="s">
        <v>70</v>
      </c>
      <c r="B20" s="56">
        <f>SUM(B9:B19)</f>
        <v>33476.752316709433</v>
      </c>
      <c r="C20" s="56">
        <f t="shared" ref="C20:U20" si="5">SUM(C9:C19)</f>
        <v>33488.638809394404</v>
      </c>
      <c r="D20" s="56">
        <f t="shared" si="5"/>
        <v>33502.030679336247</v>
      </c>
      <c r="E20" s="56">
        <f t="shared" si="5"/>
        <v>40105.714127893138</v>
      </c>
      <c r="F20" s="56">
        <f t="shared" si="5"/>
        <v>42085.754440604374</v>
      </c>
      <c r="G20" s="56">
        <f t="shared" si="5"/>
        <v>42627.93312738368</v>
      </c>
      <c r="H20" s="56">
        <f t="shared" si="5"/>
        <v>43178.295584601176</v>
      </c>
      <c r="I20" s="56">
        <f t="shared" si="5"/>
        <v>43735.673378480416</v>
      </c>
      <c r="J20" s="56">
        <f t="shared" si="5"/>
        <v>44300.757404868913</v>
      </c>
      <c r="K20" s="56">
        <f t="shared" si="5"/>
        <v>44873.084885921577</v>
      </c>
      <c r="L20" s="56">
        <f t="shared" si="5"/>
        <v>45723.937899463439</v>
      </c>
      <c r="M20" s="56">
        <f t="shared" si="5"/>
        <v>46591.571021239572</v>
      </c>
      <c r="N20" s="56">
        <f t="shared" si="5"/>
        <v>47471.154336121654</v>
      </c>
      <c r="O20" s="56">
        <f t="shared" si="5"/>
        <v>48371.769339718245</v>
      </c>
      <c r="P20" s="56">
        <f t="shared" si="5"/>
        <v>49283.972795452108</v>
      </c>
      <c r="Q20" s="56">
        <f t="shared" si="5"/>
        <v>49998.175977509913</v>
      </c>
      <c r="R20" s="56">
        <f t="shared" si="5"/>
        <v>50716.80310675018</v>
      </c>
      <c r="S20" s="56">
        <f t="shared" si="5"/>
        <v>51444.462870551717</v>
      </c>
      <c r="T20" s="56">
        <f t="shared" si="5"/>
        <v>52183.504945710614</v>
      </c>
      <c r="U20" s="56">
        <f t="shared" si="5"/>
        <v>52933.260394868172</v>
      </c>
      <c r="W20" s="91">
        <f t="shared" si="4"/>
        <v>896093.24744257913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s="62" customFormat="1" ht="12" customHeight="1">
      <c r="A21" s="4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1" t="s">
        <v>71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W22" s="91"/>
    </row>
    <row r="23" spans="1:55">
      <c r="A23" s="3" t="s">
        <v>55</v>
      </c>
      <c r="B23" s="127">
        <f>Assumptions!G36*(1+Assumptions!$G$33)</f>
        <v>1279.7561657142855</v>
      </c>
      <c r="C23" s="91">
        <f>B23*(1+Assumptions!$G$33)</f>
        <v>1318.1488506857143</v>
      </c>
      <c r="D23" s="91">
        <f>C23*(1+Assumptions!$G$33)</f>
        <v>1357.6933162062858</v>
      </c>
      <c r="E23" s="91">
        <f>D23*(1+Assumptions!$G$33)</f>
        <v>1398.4241156924743</v>
      </c>
      <c r="F23" s="91">
        <f>E23*(1+Assumptions!$G$33)</f>
        <v>1440.3768391632486</v>
      </c>
      <c r="G23" s="91">
        <f>F23*(1+Assumptions!$G$33)</f>
        <v>1483.5881443381461</v>
      </c>
      <c r="H23" s="91">
        <f>G23*(1+Assumptions!$G$33)</f>
        <v>1528.0957886682904</v>
      </c>
      <c r="I23" s="91">
        <f>H23*(1+Assumptions!$G$33)</f>
        <v>1573.9386623283392</v>
      </c>
      <c r="J23" s="91">
        <f>I23*(1+Assumptions!$G$33)</f>
        <v>1621.1568221981895</v>
      </c>
      <c r="K23" s="91">
        <f>J23*(1+Assumptions!$G$33)</f>
        <v>1669.7915268641352</v>
      </c>
      <c r="L23" s="91">
        <f>K23*(1+Assumptions!$G$33)</f>
        <v>1719.8852726700593</v>
      </c>
      <c r="M23" s="91">
        <f>L23*(1+Assumptions!$G$33)</f>
        <v>1771.481830850161</v>
      </c>
      <c r="N23" s="91">
        <f>M23*(1+Assumptions!$G$33)</f>
        <v>1824.626285775666</v>
      </c>
      <c r="O23" s="91">
        <f>N23*(1+Assumptions!$G$33)</f>
        <v>1879.3650743489361</v>
      </c>
      <c r="P23" s="91">
        <f>O23*(1+Assumptions!$G$33)</f>
        <v>1935.7460265794043</v>
      </c>
      <c r="Q23" s="91">
        <f>P23*(1+Assumptions!$G$33)</f>
        <v>1993.8184073767866</v>
      </c>
      <c r="R23" s="91">
        <f>Q23*(1+Assumptions!$G$33)</f>
        <v>2053.6329595980901</v>
      </c>
      <c r="S23" s="91">
        <f>R23*(1+Assumptions!$G$33)</f>
        <v>2115.2419483860331</v>
      </c>
      <c r="T23" s="91">
        <f>S23*(1+Assumptions!$G$33)</f>
        <v>2178.6992068376139</v>
      </c>
      <c r="U23" s="91">
        <f>T23*(1+Assumptions!$G$33)</f>
        <v>2244.0601830427422</v>
      </c>
      <c r="W23" s="91">
        <f t="shared" ref="W23:W30" si="6">SUM(B23:U23)</f>
        <v>34387.527427324596</v>
      </c>
    </row>
    <row r="24" spans="1:55">
      <c r="A24" s="3" t="s">
        <v>56</v>
      </c>
      <c r="B24" s="127">
        <f>Assumptions!$G$37*(1+Assumptions!$G$33)</f>
        <v>138.04884000000001</v>
      </c>
      <c r="C24" s="56">
        <f>B24*(1+Assumptions!$G$33)</f>
        <v>142.19030520000001</v>
      </c>
      <c r="D24" s="56">
        <f>C24*(1+Assumptions!$G$33)</f>
        <v>146.45601435600003</v>
      </c>
      <c r="E24" s="127">
        <f>Assumptions!$G$23*Assumptions!$G$31*(1+Assumptions!$G$33)^(E5-2000)/1000</f>
        <v>150.84969478668</v>
      </c>
      <c r="F24" s="127">
        <f>Assumptions!$G$23*Assumptions!$G$31*(1+Assumptions!$G$33)^(F5-2000)/1000</f>
        <v>155.37518563028041</v>
      </c>
      <c r="G24" s="127">
        <f>Assumptions!$G$23*Assumptions!$G$31*(1+Assumptions!$G$33)^(G5-2000)/1000</f>
        <v>160.03644119918886</v>
      </c>
      <c r="H24" s="127">
        <f>Assumptions!$G$23*Assumptions!$G$31*(1+Assumptions!$G$33)^(H5-2000)/1000</f>
        <v>164.83753443516451</v>
      </c>
      <c r="I24" s="127">
        <f>Assumptions!$G$23*Assumptions!$G$31*(1+Assumptions!$G$33)^(I5-2000)/1000</f>
        <v>169.78266046821943</v>
      </c>
      <c r="J24" s="127">
        <f>Assumptions!$G$23*Assumptions!$G$31*(1+Assumptions!$G$33)^(J5-2000)/1000</f>
        <v>174.87614028226602</v>
      </c>
      <c r="K24" s="127">
        <f>Assumptions!$G$23*Assumptions!$G$31*(1+Assumptions!$G$33)^(K5-2000)/1000</f>
        <v>180.12242449073401</v>
      </c>
      <c r="L24" s="127">
        <f>Assumptions!$G$23*Assumptions!$G$31*(1+Assumptions!$G$33)^(L5-2000)/1000</f>
        <v>185.52609722545603</v>
      </c>
      <c r="M24" s="127">
        <f>Assumptions!$G$23*Assumptions!$G$31*(1+Assumptions!$G$33)^(M5-2000)/1000</f>
        <v>191.09188014221968</v>
      </c>
      <c r="N24" s="127">
        <f>Assumptions!$G$23*Assumptions!$G$31*(1+Assumptions!$G$33)^(N5-2000)/1000</f>
        <v>196.82463654648626</v>
      </c>
      <c r="O24" s="127">
        <f>Assumptions!$G$23*Assumptions!$G$31*(1+Assumptions!$G$33)^(O5-2000)/1000</f>
        <v>202.72937564288085</v>
      </c>
      <c r="P24" s="127">
        <f>Assumptions!$G$23*Assumptions!$G$31*(1+Assumptions!$G$33)^(P5-2000)/1000</f>
        <v>208.81125691216729</v>
      </c>
      <c r="Q24" s="127">
        <f>Assumptions!$G$23*Assumptions!$G$31*(1+Assumptions!$G$33)^(Q5-2000)/1000</f>
        <v>215.0755946195323</v>
      </c>
      <c r="R24" s="127">
        <f>Assumptions!$G$23*Assumptions!$G$31*(1+Assumptions!$G$33)^(R5-2000)/1000</f>
        <v>221.52786245811825</v>
      </c>
      <c r="S24" s="127">
        <f>Assumptions!$G$23*Assumptions!$G$31*(1+Assumptions!$G$33)^(S5-2000)/1000</f>
        <v>228.17369833186177</v>
      </c>
      <c r="T24" s="127">
        <f>Assumptions!$G$23*Assumptions!$G$31*(1+Assumptions!$G$33)^(T5-2000)/1000</f>
        <v>235.01890928181766</v>
      </c>
      <c r="U24" s="127">
        <f>Assumptions!$G$23*Assumptions!$G$31*(1+Assumptions!$G$33)^(U5-2000)/1000</f>
        <v>242.06947656027216</v>
      </c>
      <c r="W24" s="91">
        <f t="shared" si="6"/>
        <v>3709.4240285693454</v>
      </c>
    </row>
    <row r="25" spans="1:55">
      <c r="A25" s="3" t="s">
        <v>57</v>
      </c>
      <c r="B25" s="127">
        <f>Assumptions!$G$32*Assumptions!$G$11*Assumptions!$G$8/1000*(1+Assumptions!$G$33)</f>
        <v>347.625</v>
      </c>
      <c r="C25" s="91">
        <f>B25*(1+Assumptions!$G$33)</f>
        <v>358.05375000000004</v>
      </c>
      <c r="D25" s="91">
        <f>C25*(1+Assumptions!$G$33)</f>
        <v>368.79536250000007</v>
      </c>
      <c r="E25" s="91">
        <f>D25*(1+Assumptions!$G$33)</f>
        <v>379.85922337500006</v>
      </c>
      <c r="F25" s="91">
        <f>E25*(1+Assumptions!$G$33)</f>
        <v>391.25500007625004</v>
      </c>
      <c r="G25" s="91">
        <f>F25*(1+Assumptions!$G$33)</f>
        <v>402.99265007853757</v>
      </c>
      <c r="H25" s="91">
        <f>G25*(1+Assumptions!$G$33)</f>
        <v>415.08242958089369</v>
      </c>
      <c r="I25" s="91">
        <f>H25*(1+Assumptions!$G$33)</f>
        <v>427.53490246832052</v>
      </c>
      <c r="J25" s="91">
        <f>I25*(1+Assumptions!$G$33)</f>
        <v>440.36094954237018</v>
      </c>
      <c r="K25" s="91">
        <f>J25*(1+Assumptions!$G$33)</f>
        <v>453.57177802864129</v>
      </c>
      <c r="L25" s="91">
        <f>K25*(1+Assumptions!$G$33)</f>
        <v>467.17893136950056</v>
      </c>
      <c r="M25" s="91">
        <f>L25*(1+Assumptions!$G$33)</f>
        <v>481.19429931058556</v>
      </c>
      <c r="N25" s="91">
        <f>M25*(1+Assumptions!$G$33)</f>
        <v>495.63012828990315</v>
      </c>
      <c r="O25" s="91">
        <f>N25*(1+Assumptions!$G$33)</f>
        <v>510.49903213860028</v>
      </c>
      <c r="P25" s="91">
        <f>O25*(1+Assumptions!$G$33)</f>
        <v>525.81400310275831</v>
      </c>
      <c r="Q25" s="91">
        <f>P25*(1+Assumptions!$G$33)</f>
        <v>541.58842319584107</v>
      </c>
      <c r="R25" s="91">
        <f>Q25*(1+Assumptions!$G$33)</f>
        <v>557.83607589171629</v>
      </c>
      <c r="S25" s="91">
        <f>R25*(1+Assumptions!$G$33)</f>
        <v>574.57115816846783</v>
      </c>
      <c r="T25" s="91">
        <f>S25*(1+Assumptions!$G$33)</f>
        <v>591.80829291352188</v>
      </c>
      <c r="U25" s="91">
        <f>T25*(1+Assumptions!$G$33)</f>
        <v>609.56254170092757</v>
      </c>
      <c r="W25" s="91">
        <f t="shared" si="6"/>
        <v>9340.8139317318364</v>
      </c>
    </row>
    <row r="26" spans="1:55">
      <c r="A26" s="3" t="s">
        <v>124</v>
      </c>
      <c r="B26" s="127">
        <f>Assumptions!G39*(1+Assumptions!$G$33)</f>
        <v>353.14285714285717</v>
      </c>
      <c r="C26" s="91">
        <f>B26*(1+Assumptions!$G$33)</f>
        <v>363.73714285714289</v>
      </c>
      <c r="D26" s="91">
        <f>C26*(1+Assumptions!$G$33)</f>
        <v>374.64925714285721</v>
      </c>
      <c r="E26" s="91">
        <f>D26*(1+Assumptions!$G$33)</f>
        <v>385.88873485714294</v>
      </c>
      <c r="F26" s="91">
        <f>E26*(1+Assumptions!$G$33)</f>
        <v>397.46539690285721</v>
      </c>
      <c r="G26" s="91">
        <f>F26*(1+Assumptions!$G$33)</f>
        <v>409.38935880994296</v>
      </c>
      <c r="H26" s="91">
        <f>G26*(1+Assumptions!$G$33)</f>
        <v>421.67103957424126</v>
      </c>
      <c r="I26" s="91">
        <f>H26*(1+Assumptions!$G$33)</f>
        <v>434.32117076146852</v>
      </c>
      <c r="J26" s="91">
        <f>I26*(1+Assumptions!$G$33)</f>
        <v>447.35080588431259</v>
      </c>
      <c r="K26" s="91">
        <f>J26*(1+Assumptions!$G$33)</f>
        <v>460.77133006084199</v>
      </c>
      <c r="L26" s="91">
        <f>K26*(1+Assumptions!$G$33)</f>
        <v>474.59446996266729</v>
      </c>
      <c r="M26" s="91">
        <f>L26*(1+Assumptions!$G$33)</f>
        <v>488.83230406154735</v>
      </c>
      <c r="N26" s="91">
        <f>M26*(1+Assumptions!$G$33)</f>
        <v>503.49727318339376</v>
      </c>
      <c r="O26" s="91">
        <f>N26*(1+Assumptions!$G$33)</f>
        <v>518.60219137889555</v>
      </c>
      <c r="P26" s="91">
        <f>O26*(1+Assumptions!$G$33)</f>
        <v>534.16025712026249</v>
      </c>
      <c r="Q26" s="91">
        <f>P26*(1+Assumptions!$G$33)</f>
        <v>550.18506483387034</v>
      </c>
      <c r="R26" s="91">
        <f>Q26*(1+Assumptions!$G$33)</f>
        <v>566.69061677888646</v>
      </c>
      <c r="S26" s="91">
        <f>R26*(1+Assumptions!$G$33)</f>
        <v>583.69133528225302</v>
      </c>
      <c r="T26" s="91">
        <f>S26*(1+Assumptions!$G$33)</f>
        <v>601.20207534072063</v>
      </c>
      <c r="U26" s="91">
        <f>T26*(1+Assumptions!$G$33)</f>
        <v>619.23813760094231</v>
      </c>
      <c r="W26" s="91">
        <f t="shared" si="6"/>
        <v>9489.0808195371064</v>
      </c>
    </row>
    <row r="27" spans="1:55">
      <c r="A27" s="3" t="s">
        <v>125</v>
      </c>
      <c r="B27" s="127">
        <f>Assumptions!G40*(1+Assumptions!$G$33)</f>
        <v>331.91867714285718</v>
      </c>
      <c r="C27" s="91">
        <f>B27*(1+Assumptions!$G$33)</f>
        <v>341.87623745714291</v>
      </c>
      <c r="D27" s="91">
        <f>C27*(1+Assumptions!$G$33)</f>
        <v>352.13252458085719</v>
      </c>
      <c r="E27" s="91">
        <f>D27*(1+Assumptions!$G$33)</f>
        <v>362.69650031828292</v>
      </c>
      <c r="F27" s="91">
        <f>E27*(1+Assumptions!$G$33)</f>
        <v>373.57739532783143</v>
      </c>
      <c r="G27" s="91">
        <f>F27*(1+Assumptions!$G$33)</f>
        <v>384.78471718766639</v>
      </c>
      <c r="H27" s="91">
        <f>G27*(1+Assumptions!$G$33)</f>
        <v>396.3282587032964</v>
      </c>
      <c r="I27" s="91">
        <f>H27*(1+Assumptions!$G$33)</f>
        <v>408.21810646439531</v>
      </c>
      <c r="J27" s="91">
        <f>I27*(1+Assumptions!$G$33)</f>
        <v>420.46464965832718</v>
      </c>
      <c r="K27" s="91">
        <f>J27*(1+Assumptions!$G$33)</f>
        <v>433.07858914807701</v>
      </c>
      <c r="L27" s="91">
        <f>K27*(1+Assumptions!$G$33)</f>
        <v>446.07094682251932</v>
      </c>
      <c r="M27" s="91">
        <f>L27*(1+Assumptions!$G$33)</f>
        <v>459.45307522719492</v>
      </c>
      <c r="N27" s="91">
        <f>M27*(1+Assumptions!$G$33)</f>
        <v>473.23666748401075</v>
      </c>
      <c r="O27" s="91">
        <f>N27*(1+Assumptions!$G$33)</f>
        <v>487.4337675085311</v>
      </c>
      <c r="P27" s="91">
        <f>O27*(1+Assumptions!$G$33)</f>
        <v>502.05678053378705</v>
      </c>
      <c r="Q27" s="91">
        <f>P27*(1+Assumptions!$G$33)</f>
        <v>517.11848394980063</v>
      </c>
      <c r="R27" s="91">
        <f>Q27*(1+Assumptions!$G$33)</f>
        <v>532.6320384682947</v>
      </c>
      <c r="S27" s="91">
        <f>R27*(1+Assumptions!$G$33)</f>
        <v>548.61099962234357</v>
      </c>
      <c r="T27" s="91">
        <f>S27*(1+Assumptions!$G$33)</f>
        <v>565.06932961101393</v>
      </c>
      <c r="U27" s="91">
        <f>T27*(1+Assumptions!$G$33)</f>
        <v>582.02140949934437</v>
      </c>
      <c r="W27" s="91">
        <f t="shared" si="6"/>
        <v>8918.7791547155739</v>
      </c>
    </row>
    <row r="28" spans="1:55">
      <c r="A28" s="3" t="s">
        <v>224</v>
      </c>
      <c r="B28" s="486">
        <v>174.46</v>
      </c>
      <c r="C28" s="486">
        <v>348.92</v>
      </c>
      <c r="D28" s="486">
        <v>436.15</v>
      </c>
      <c r="E28" s="486">
        <v>436.15</v>
      </c>
      <c r="F28" s="486">
        <v>436.15</v>
      </c>
      <c r="G28" s="486">
        <v>523.38</v>
      </c>
      <c r="H28" s="486">
        <v>523.38</v>
      </c>
      <c r="I28" s="486">
        <v>523.38</v>
      </c>
      <c r="J28" s="486">
        <v>523.38</v>
      </c>
      <c r="K28" s="486">
        <v>523.38</v>
      </c>
      <c r="L28" s="486">
        <v>523.38</v>
      </c>
      <c r="M28" s="486">
        <v>523.38</v>
      </c>
      <c r="N28" s="486">
        <v>872.3</v>
      </c>
      <c r="O28" s="486">
        <v>872.3</v>
      </c>
      <c r="P28" s="486">
        <v>1308.45</v>
      </c>
      <c r="Q28" s="486">
        <v>743.93104499999993</v>
      </c>
      <c r="R28" s="486">
        <v>758.80966589999991</v>
      </c>
      <c r="S28" s="486">
        <v>773.98585921799997</v>
      </c>
      <c r="T28" s="486">
        <v>789.46557640235994</v>
      </c>
      <c r="U28" s="486">
        <v>805.25488793040722</v>
      </c>
      <c r="W28" s="91">
        <f t="shared" si="6"/>
        <v>12419.987034450767</v>
      </c>
    </row>
    <row r="29" spans="1:55" s="16" customFormat="1">
      <c r="A29" s="3" t="s">
        <v>219</v>
      </c>
      <c r="B29" s="146">
        <f>B86</f>
        <v>604.85093011793992</v>
      </c>
      <c r="C29" s="146">
        <f t="shared" ref="C29:U29" si="7">C86</f>
        <v>586.14420032047792</v>
      </c>
      <c r="D29" s="146">
        <f t="shared" si="7"/>
        <v>567.43747052301592</v>
      </c>
      <c r="E29" s="146">
        <f t="shared" si="7"/>
        <v>548.7307407255538</v>
      </c>
      <c r="F29" s="146">
        <f t="shared" si="7"/>
        <v>530.0240109280918</v>
      </c>
      <c r="G29" s="146">
        <f t="shared" si="7"/>
        <v>511.31728113062979</v>
      </c>
      <c r="H29" s="146">
        <f t="shared" si="7"/>
        <v>492.61055133316773</v>
      </c>
      <c r="I29" s="146">
        <f t="shared" si="7"/>
        <v>473.90382153570573</v>
      </c>
      <c r="J29" s="146">
        <f t="shared" si="7"/>
        <v>455.19709173824367</v>
      </c>
      <c r="K29" s="146">
        <f t="shared" si="7"/>
        <v>436.49036194078167</v>
      </c>
      <c r="L29" s="146">
        <f t="shared" si="7"/>
        <v>417.78363214331966</v>
      </c>
      <c r="M29" s="146">
        <f t="shared" si="7"/>
        <v>399.0769023458576</v>
      </c>
      <c r="N29" s="146">
        <f t="shared" si="7"/>
        <v>380.3701725483956</v>
      </c>
      <c r="O29" s="146">
        <f t="shared" si="7"/>
        <v>361.66344275093354</v>
      </c>
      <c r="P29" s="146">
        <f t="shared" si="7"/>
        <v>342.95671295347154</v>
      </c>
      <c r="Q29" s="146">
        <f t="shared" si="7"/>
        <v>324.24998315600942</v>
      </c>
      <c r="R29" s="146">
        <f t="shared" si="7"/>
        <v>305.54325335854736</v>
      </c>
      <c r="S29" s="146">
        <f t="shared" si="7"/>
        <v>286.8365235610853</v>
      </c>
      <c r="T29" s="146">
        <f t="shared" si="7"/>
        <v>268.12979376362324</v>
      </c>
      <c r="U29" s="146">
        <f t="shared" si="7"/>
        <v>249.42306396616118</v>
      </c>
      <c r="V29" s="91"/>
      <c r="W29" s="91">
        <f t="shared" si="6"/>
        <v>8542.7399408410129</v>
      </c>
    </row>
    <row r="30" spans="1:55">
      <c r="A30" s="3" t="s">
        <v>72</v>
      </c>
      <c r="B30" s="127">
        <f t="shared" ref="B30:U30" si="8">SUM(B23:B29)</f>
        <v>3229.8024701179402</v>
      </c>
      <c r="C30" s="127">
        <f t="shared" si="8"/>
        <v>3459.070486520478</v>
      </c>
      <c r="D30" s="127">
        <f t="shared" si="8"/>
        <v>3603.3139453090162</v>
      </c>
      <c r="E30" s="127">
        <f t="shared" si="8"/>
        <v>3662.5990097551344</v>
      </c>
      <c r="F30" s="127">
        <f t="shared" si="8"/>
        <v>3724.2238280285592</v>
      </c>
      <c r="G30" s="127">
        <f t="shared" si="8"/>
        <v>3875.4885927441119</v>
      </c>
      <c r="H30" s="127">
        <f t="shared" si="8"/>
        <v>3942.0056022950539</v>
      </c>
      <c r="I30" s="127">
        <f t="shared" si="8"/>
        <v>4011.0793240264493</v>
      </c>
      <c r="J30" s="127">
        <f t="shared" si="8"/>
        <v>4082.7864593037093</v>
      </c>
      <c r="K30" s="127">
        <f t="shared" si="8"/>
        <v>4157.2060105332112</v>
      </c>
      <c r="L30" s="127">
        <f t="shared" si="8"/>
        <v>4234.4193501935224</v>
      </c>
      <c r="M30" s="127">
        <f t="shared" si="8"/>
        <v>4314.5102919375659</v>
      </c>
      <c r="N30" s="127">
        <f t="shared" si="8"/>
        <v>4746.4851638278551</v>
      </c>
      <c r="O30" s="127">
        <f t="shared" si="8"/>
        <v>4832.592883768777</v>
      </c>
      <c r="P30" s="127">
        <f t="shared" si="8"/>
        <v>5357.9950372018511</v>
      </c>
      <c r="Q30" s="127">
        <f t="shared" si="8"/>
        <v>4885.9670021318398</v>
      </c>
      <c r="R30" s="127">
        <f t="shared" si="8"/>
        <v>4996.6724724536534</v>
      </c>
      <c r="S30" s="127">
        <f t="shared" si="8"/>
        <v>5111.1115225700451</v>
      </c>
      <c r="T30" s="127">
        <f t="shared" si="8"/>
        <v>5229.3931841506719</v>
      </c>
      <c r="U30" s="127">
        <f t="shared" si="8"/>
        <v>5351.6297003007976</v>
      </c>
      <c r="W30" s="91">
        <f t="shared" si="6"/>
        <v>86808.352337170232</v>
      </c>
    </row>
    <row r="31" spans="1:55" s="62" customFormat="1" outlineLevel="1">
      <c r="A31" s="5"/>
      <c r="B31" s="130"/>
      <c r="C31" s="13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W31" s="91"/>
    </row>
    <row r="32" spans="1:55" s="62" customFormat="1" ht="6.75" customHeight="1">
      <c r="A32" s="5"/>
      <c r="B32" s="130"/>
      <c r="C32" s="131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W32" s="91"/>
    </row>
    <row r="33" spans="1:23" s="57" customFormat="1">
      <c r="A33" s="1" t="s">
        <v>73</v>
      </c>
      <c r="B33" s="120">
        <f t="shared" ref="B33:U33" si="9">B20-B30</f>
        <v>30246.949846591495</v>
      </c>
      <c r="C33" s="120">
        <f t="shared" si="9"/>
        <v>30029.568322873925</v>
      </c>
      <c r="D33" s="120">
        <f t="shared" si="9"/>
        <v>29898.716734027232</v>
      </c>
      <c r="E33" s="120">
        <f t="shared" si="9"/>
        <v>36443.115118138005</v>
      </c>
      <c r="F33" s="120">
        <f t="shared" si="9"/>
        <v>38361.530612575814</v>
      </c>
      <c r="G33" s="120">
        <f t="shared" si="9"/>
        <v>38752.444534639566</v>
      </c>
      <c r="H33" s="120">
        <f t="shared" si="9"/>
        <v>39236.289982306123</v>
      </c>
      <c r="I33" s="120">
        <f t="shared" si="9"/>
        <v>39724.59405445397</v>
      </c>
      <c r="J33" s="120">
        <f t="shared" si="9"/>
        <v>40217.970945565205</v>
      </c>
      <c r="K33" s="120">
        <f t="shared" si="9"/>
        <v>40715.878875388364</v>
      </c>
      <c r="L33" s="120">
        <f t="shared" si="9"/>
        <v>41489.518549269917</v>
      </c>
      <c r="M33" s="120">
        <f t="shared" si="9"/>
        <v>42277.060729302008</v>
      </c>
      <c r="N33" s="120">
        <f t="shared" si="9"/>
        <v>42724.669172293798</v>
      </c>
      <c r="O33" s="120">
        <f t="shared" si="9"/>
        <v>43539.17645594947</v>
      </c>
      <c r="P33" s="120">
        <f t="shared" si="9"/>
        <v>43925.977758250257</v>
      </c>
      <c r="Q33" s="120">
        <f t="shared" si="9"/>
        <v>45112.208975378075</v>
      </c>
      <c r="R33" s="120">
        <f t="shared" si="9"/>
        <v>45720.130634296525</v>
      </c>
      <c r="S33" s="120">
        <f t="shared" si="9"/>
        <v>46333.351347981676</v>
      </c>
      <c r="T33" s="120">
        <f t="shared" si="9"/>
        <v>46954.111761559943</v>
      </c>
      <c r="U33" s="120">
        <f t="shared" si="9"/>
        <v>47581.630694567371</v>
      </c>
      <c r="W33" s="91">
        <f>SUM(B33:U33)</f>
        <v>809284.89510540885</v>
      </c>
    </row>
    <row r="34" spans="1:23" s="57" customFormat="1">
      <c r="A34" s="1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1"/>
    </row>
    <row r="35" spans="1:23">
      <c r="A35" s="3" t="s">
        <v>74</v>
      </c>
      <c r="B35" s="127">
        <f>Depreciation!C37</f>
        <v>7402.222213298397</v>
      </c>
      <c r="C35" s="127">
        <f>Depreciation!D37</f>
        <v>7402.222213298397</v>
      </c>
      <c r="D35" s="127">
        <f>Depreciation!E37</f>
        <v>7402.222213298397</v>
      </c>
      <c r="E35" s="127">
        <f>Depreciation!F37</f>
        <v>7402.222213298397</v>
      </c>
      <c r="F35" s="127">
        <f>Depreciation!G37</f>
        <v>7402.222213298397</v>
      </c>
      <c r="G35" s="127">
        <f>Depreciation!H37</f>
        <v>7402.222213298397</v>
      </c>
      <c r="H35" s="127">
        <f>Depreciation!I37</f>
        <v>7402.222213298397</v>
      </c>
      <c r="I35" s="127">
        <f>Depreciation!J37</f>
        <v>7402.222213298397</v>
      </c>
      <c r="J35" s="127">
        <f>Depreciation!K37</f>
        <v>7402.222213298397</v>
      </c>
      <c r="K35" s="127">
        <f>Depreciation!L37</f>
        <v>7402.222213298397</v>
      </c>
      <c r="L35" s="127">
        <f>Depreciation!M37</f>
        <v>7402.222213298397</v>
      </c>
      <c r="M35" s="127">
        <f>Depreciation!N37</f>
        <v>7402.222213298397</v>
      </c>
      <c r="N35" s="127">
        <f>Depreciation!O37</f>
        <v>7402.222213298397</v>
      </c>
      <c r="O35" s="127">
        <f>Depreciation!P37</f>
        <v>7402.222213298397</v>
      </c>
      <c r="P35" s="127">
        <f>Depreciation!Q37</f>
        <v>7402.222213298397</v>
      </c>
      <c r="Q35" s="127">
        <f>Depreciation!R37</f>
        <v>7402.222213298397</v>
      </c>
      <c r="R35" s="127">
        <f>Depreciation!S37</f>
        <v>7402.222213298397</v>
      </c>
      <c r="S35" s="127">
        <f>Depreciation!T37</f>
        <v>7402.222213298397</v>
      </c>
      <c r="T35" s="127">
        <f>Depreciation!U37</f>
        <v>7402.222213298397</v>
      </c>
      <c r="U35" s="127">
        <f>Depreciation!V37</f>
        <v>7402.222213298397</v>
      </c>
      <c r="W35" s="91">
        <f>SUM(B35:U35)</f>
        <v>148044.44426596799</v>
      </c>
    </row>
    <row r="36" spans="1:23">
      <c r="A36" s="3"/>
      <c r="B36" s="127"/>
      <c r="C36" s="91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W36" s="91"/>
    </row>
    <row r="37" spans="1:23" s="57" customFormat="1">
      <c r="A37" s="1" t="s">
        <v>75</v>
      </c>
      <c r="B37" s="132">
        <f t="shared" ref="B37:U37" si="10">B33-B35</f>
        <v>22844.7276332931</v>
      </c>
      <c r="C37" s="132">
        <f t="shared" si="10"/>
        <v>22627.346109575526</v>
      </c>
      <c r="D37" s="132">
        <f t="shared" si="10"/>
        <v>22496.494520728833</v>
      </c>
      <c r="E37" s="132">
        <f t="shared" si="10"/>
        <v>29040.892904839609</v>
      </c>
      <c r="F37" s="132">
        <f t="shared" si="10"/>
        <v>30959.308399277419</v>
      </c>
      <c r="G37" s="132">
        <f t="shared" si="10"/>
        <v>31350.222321341171</v>
      </c>
      <c r="H37" s="132">
        <f t="shared" si="10"/>
        <v>31834.067769007728</v>
      </c>
      <c r="I37" s="132">
        <f t="shared" si="10"/>
        <v>32322.371841155575</v>
      </c>
      <c r="J37" s="132">
        <f t="shared" si="10"/>
        <v>32815.748732266809</v>
      </c>
      <c r="K37" s="132">
        <f t="shared" si="10"/>
        <v>33313.656662089968</v>
      </c>
      <c r="L37" s="132">
        <f t="shared" si="10"/>
        <v>34087.296335971521</v>
      </c>
      <c r="M37" s="132">
        <f t="shared" si="10"/>
        <v>34874.838516003612</v>
      </c>
      <c r="N37" s="132">
        <f t="shared" si="10"/>
        <v>35322.446958995402</v>
      </c>
      <c r="O37" s="132">
        <f t="shared" si="10"/>
        <v>36136.954242651074</v>
      </c>
      <c r="P37" s="132">
        <f t="shared" si="10"/>
        <v>36523.755544951862</v>
      </c>
      <c r="Q37" s="132">
        <f t="shared" si="10"/>
        <v>37709.986762079679</v>
      </c>
      <c r="R37" s="132">
        <f t="shared" si="10"/>
        <v>38317.90842099813</v>
      </c>
      <c r="S37" s="132">
        <f t="shared" si="10"/>
        <v>38931.12913468328</v>
      </c>
      <c r="T37" s="132">
        <f t="shared" si="10"/>
        <v>39551.889548261548</v>
      </c>
      <c r="U37" s="132">
        <f t="shared" si="10"/>
        <v>40179.408481268976</v>
      </c>
      <c r="W37" s="91">
        <f>SUM(B37:U37)</f>
        <v>661240.45083944092</v>
      </c>
    </row>
    <row r="38" spans="1:23" s="57" customFormat="1">
      <c r="A38" s="1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W38" s="91"/>
    </row>
    <row r="39" spans="1:23">
      <c r="A39" s="6" t="s">
        <v>76</v>
      </c>
      <c r="B39" s="127">
        <f>IS!B40*Allocation!$E$12</f>
        <v>13175.889275271256</v>
      </c>
      <c r="C39" s="127">
        <f>IS!C40*Allocation!$E$12</f>
        <v>12886.153354724187</v>
      </c>
      <c r="D39" s="127">
        <f>IS!D40*Allocation!$E$12</f>
        <v>12497.561825351298</v>
      </c>
      <c r="E39" s="127">
        <f>IS!E40*Allocation!$E$12</f>
        <v>12218.922372395427</v>
      </c>
      <c r="F39" s="127">
        <f>IS!F40*Allocation!$E$12</f>
        <v>11870.044520154855</v>
      </c>
      <c r="G39" s="127">
        <f>IS!G40*Allocation!$E$12</f>
        <v>11460.001092238786</v>
      </c>
      <c r="H39" s="127">
        <f>IS!H40*Allocation!$E$12</f>
        <v>10999.167487589197</v>
      </c>
      <c r="I39" s="127">
        <f>IS!I40*Allocation!$E$12</f>
        <v>10519.976109730305</v>
      </c>
      <c r="J39" s="127">
        <f>IS!J40*Allocation!$E$12</f>
        <v>9918.1869388429932</v>
      </c>
      <c r="K39" s="127">
        <f>IS!K40*Allocation!$E$12</f>
        <v>9254.6010278032336</v>
      </c>
      <c r="L39" s="127">
        <f>IS!L40*Allocation!$E$12</f>
        <v>8513.4299828566909</v>
      </c>
      <c r="M39" s="127">
        <f>IS!M40*Allocation!$E$12</f>
        <v>7647.93134918955</v>
      </c>
      <c r="N39" s="127">
        <f>IS!N40*Allocation!$E$12</f>
        <v>6739.4190251787113</v>
      </c>
      <c r="O39" s="127">
        <f>IS!O40*Allocation!$E$12</f>
        <v>5852.4135463397206</v>
      </c>
      <c r="P39" s="127">
        <f>IS!P40*Allocation!$E$12</f>
        <v>4954.229368315363</v>
      </c>
      <c r="Q39" s="127">
        <f>IS!Q40*Allocation!$E$12</f>
        <v>4023.3596459337873</v>
      </c>
      <c r="R39" s="127">
        <f>IS!R40*Allocation!$E$12</f>
        <v>3035.9888896261659</v>
      </c>
      <c r="S39" s="127">
        <f>IS!S40*Allocation!$E$12</f>
        <v>2104.9976596447486</v>
      </c>
      <c r="T39" s="127">
        <f>IS!T40*Allocation!$E$12</f>
        <v>1306.6927286896578</v>
      </c>
      <c r="U39" s="127">
        <f>IS!U40*Allocation!$E$12</f>
        <v>510.33191933202176</v>
      </c>
      <c r="W39" s="91">
        <f>SUM(B39:U39)</f>
        <v>159489.29811920799</v>
      </c>
    </row>
    <row r="40" spans="1:23" ht="6" customHeight="1">
      <c r="B40" s="67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W40" s="91"/>
    </row>
    <row r="41" spans="1:23" s="57" customFormat="1">
      <c r="A41" s="1" t="s">
        <v>77</v>
      </c>
      <c r="B41" s="132">
        <f t="shared" ref="B41:U41" si="11">B37-B39</f>
        <v>9668.8383580218433</v>
      </c>
      <c r="C41" s="132">
        <f t="shared" si="11"/>
        <v>9741.1927548513395</v>
      </c>
      <c r="D41" s="132">
        <f t="shared" si="11"/>
        <v>9998.9326953775344</v>
      </c>
      <c r="E41" s="132">
        <f t="shared" si="11"/>
        <v>16821.970532444182</v>
      </c>
      <c r="F41" s="132">
        <f t="shared" si="11"/>
        <v>19089.263879122562</v>
      </c>
      <c r="G41" s="132">
        <f t="shared" si="11"/>
        <v>19890.221229102382</v>
      </c>
      <c r="H41" s="132">
        <f t="shared" si="11"/>
        <v>20834.90028141853</v>
      </c>
      <c r="I41" s="132">
        <f t="shared" si="11"/>
        <v>21802.395731425269</v>
      </c>
      <c r="J41" s="132">
        <f t="shared" si="11"/>
        <v>22897.561793423818</v>
      </c>
      <c r="K41" s="132">
        <f t="shared" si="11"/>
        <v>24059.055634286735</v>
      </c>
      <c r="L41" s="132">
        <f t="shared" si="11"/>
        <v>25573.86635311483</v>
      </c>
      <c r="M41" s="132">
        <f t="shared" si="11"/>
        <v>27226.90716681406</v>
      </c>
      <c r="N41" s="132">
        <f t="shared" si="11"/>
        <v>28583.027933816691</v>
      </c>
      <c r="O41" s="132">
        <f t="shared" si="11"/>
        <v>30284.540696311353</v>
      </c>
      <c r="P41" s="132">
        <f t="shared" si="11"/>
        <v>31569.5261766365</v>
      </c>
      <c r="Q41" s="132">
        <f t="shared" si="11"/>
        <v>33686.627116145894</v>
      </c>
      <c r="R41" s="132">
        <f t="shared" si="11"/>
        <v>35281.919531371961</v>
      </c>
      <c r="S41" s="132">
        <f t="shared" si="11"/>
        <v>36826.131475038535</v>
      </c>
      <c r="T41" s="132">
        <f t="shared" si="11"/>
        <v>38245.196819571887</v>
      </c>
      <c r="U41" s="132">
        <f t="shared" si="11"/>
        <v>39669.076561936956</v>
      </c>
      <c r="W41" s="91">
        <f>SUM(B41:U41)</f>
        <v>501751.15272023284</v>
      </c>
    </row>
    <row r="42" spans="1:23" s="57" customFormat="1">
      <c r="A42" s="1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W42" s="91"/>
    </row>
    <row r="43" spans="1:23">
      <c r="A43" s="3" t="s">
        <v>78</v>
      </c>
      <c r="B43" s="127">
        <f>B41*-Assumptions!$G$47</f>
        <v>-580.13030148131054</v>
      </c>
      <c r="C43" s="127">
        <f>C41*-Assumptions!$G$47</f>
        <v>-584.47156529108031</v>
      </c>
      <c r="D43" s="127">
        <f>D41*-Assumptions!$G$47</f>
        <v>-599.935961722652</v>
      </c>
      <c r="E43" s="127">
        <f>E41*-Assumptions!$G$47</f>
        <v>-1009.3182319466509</v>
      </c>
      <c r="F43" s="127">
        <f>F41*-Assumptions!$G$47</f>
        <v>-1145.3558327473536</v>
      </c>
      <c r="G43" s="127">
        <f>G41*-Assumptions!$G$47</f>
        <v>-1193.413273746143</v>
      </c>
      <c r="H43" s="127">
        <f>H41*-Assumptions!$G$47</f>
        <v>-1250.0940168851118</v>
      </c>
      <c r="I43" s="127">
        <f>I41*-Assumptions!$G$47</f>
        <v>-1308.1437438855162</v>
      </c>
      <c r="J43" s="127">
        <f>J41*-Assumptions!$G$47</f>
        <v>-1373.853707605429</v>
      </c>
      <c r="K43" s="127">
        <f>K41*-Assumptions!$G$47</f>
        <v>-1443.543338057204</v>
      </c>
      <c r="L43" s="127">
        <f>L41*-Assumptions!$G$47</f>
        <v>-1534.4319811868897</v>
      </c>
      <c r="M43" s="127">
        <f>M41*-Assumptions!$G$47</f>
        <v>-1633.6144300088436</v>
      </c>
      <c r="N43" s="127">
        <f>N41*-Assumptions!$G$47</f>
        <v>-1714.9816760290014</v>
      </c>
      <c r="O43" s="127">
        <f>O41*-Assumptions!$G$47</f>
        <v>-1817.0724417786812</v>
      </c>
      <c r="P43" s="127">
        <f>P41*-Assumptions!$G$47</f>
        <v>-1894.1715705981899</v>
      </c>
      <c r="Q43" s="127">
        <f>Q41*-Assumptions!$G$47</f>
        <v>-2021.1976269687536</v>
      </c>
      <c r="R43" s="127">
        <f>R41*-Assumptions!$G$47</f>
        <v>-2116.9151718823177</v>
      </c>
      <c r="S43" s="127">
        <f>S41*-Assumptions!$G$47</f>
        <v>-2209.5678885023121</v>
      </c>
      <c r="T43" s="127">
        <f>T41*-Assumptions!$G$47</f>
        <v>-2294.7118091743132</v>
      </c>
      <c r="U43" s="127">
        <f>U41*-Assumptions!$G$47</f>
        <v>-2380.1445937162171</v>
      </c>
      <c r="W43" s="91">
        <f>SUM(B43:U43)</f>
        <v>-30105.069163213975</v>
      </c>
    </row>
    <row r="44" spans="1:23">
      <c r="A44" s="3" t="s">
        <v>79</v>
      </c>
      <c r="B44" s="121">
        <f>(B41+B43)*-Assumptions!$G$46</f>
        <v>-3181.0478197891862</v>
      </c>
      <c r="C44" s="121">
        <f>(C41+C43)*-Assumptions!$G$46</f>
        <v>-3204.8524163460906</v>
      </c>
      <c r="D44" s="121">
        <f>(D41+D43)*-Assumptions!$G$46</f>
        <v>-3289.6488567792085</v>
      </c>
      <c r="E44" s="121">
        <f>(E41+E43)*-Assumptions!$G$46</f>
        <v>-5534.4283051741359</v>
      </c>
      <c r="F44" s="121">
        <f>(F41+F43)*-Assumptions!$G$46</f>
        <v>-6280.3678162313217</v>
      </c>
      <c r="G44" s="121">
        <f>(G41+G43)*-Assumptions!$G$46</f>
        <v>-6543.8827843746831</v>
      </c>
      <c r="H44" s="121">
        <f>(H41+H43)*-Assumptions!$G$46</f>
        <v>-6854.6821925866961</v>
      </c>
      <c r="I44" s="121">
        <f>(I41+I43)*-Assumptions!$G$46</f>
        <v>-7172.9881956389127</v>
      </c>
      <c r="J44" s="121">
        <f>(J41+J43)*-Assumptions!$G$46</f>
        <v>-7533.2978300364366</v>
      </c>
      <c r="K44" s="121">
        <f>(K41+K43)*-Assumptions!$G$46</f>
        <v>-7915.4293036803356</v>
      </c>
      <c r="L44" s="121">
        <f>(L41+L43)*-Assumptions!$G$46</f>
        <v>-8413.8020301747802</v>
      </c>
      <c r="M44" s="121">
        <f>(M41+M43)*-Assumptions!$G$46</f>
        <v>-8957.6524578818262</v>
      </c>
      <c r="N44" s="121">
        <f>(N41+N43)*-Assumptions!$G$46</f>
        <v>-9403.8161902256907</v>
      </c>
      <c r="O44" s="121">
        <f>(O41+O43)*-Assumptions!$G$46</f>
        <v>-9963.6138890864349</v>
      </c>
      <c r="P44" s="121">
        <f>(P41+P43)*-Assumptions!$G$46</f>
        <v>-10386.374112113408</v>
      </c>
      <c r="Q44" s="121">
        <f>(Q41+Q43)*-Assumptions!$G$46</f>
        <v>-11082.900321211999</v>
      </c>
      <c r="R44" s="121">
        <f>(R41+R43)*-Assumptions!$G$46</f>
        <v>-11607.751525821373</v>
      </c>
      <c r="S44" s="121">
        <f>(S41+S43)*-Assumptions!$G$46</f>
        <v>-12115.797255287676</v>
      </c>
      <c r="T44" s="121">
        <f>(T41+T43)*-Assumptions!$G$46</f>
        <v>-12582.669753639151</v>
      </c>
      <c r="U44" s="121">
        <f>(U41+U43)*-Assumptions!$G$46</f>
        <v>-13051.126188877259</v>
      </c>
      <c r="W44" s="91">
        <f>SUM(B44:U44)</f>
        <v>-165076.12924495662</v>
      </c>
    </row>
    <row r="45" spans="1:23" ht="6" customHeight="1"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W45" s="91"/>
    </row>
    <row r="46" spans="1:23" s="64" customFormat="1" ht="15.75">
      <c r="A46" s="45" t="s">
        <v>256</v>
      </c>
      <c r="B46" s="134">
        <f t="shared" ref="B46:U46" si="12">SUM(B41:B44)</f>
        <v>5907.660236751346</v>
      </c>
      <c r="C46" s="134">
        <f t="shared" si="12"/>
        <v>5951.8687732141689</v>
      </c>
      <c r="D46" s="134">
        <f t="shared" si="12"/>
        <v>6109.3478768756731</v>
      </c>
      <c r="E46" s="134">
        <f t="shared" si="12"/>
        <v>10278.223995323395</v>
      </c>
      <c r="F46" s="134">
        <f t="shared" si="12"/>
        <v>11663.540230143884</v>
      </c>
      <c r="G46" s="134">
        <f t="shared" si="12"/>
        <v>12152.925170981554</v>
      </c>
      <c r="H46" s="134">
        <f t="shared" si="12"/>
        <v>12730.124071946721</v>
      </c>
      <c r="I46" s="134">
        <f t="shared" si="12"/>
        <v>13321.263791900839</v>
      </c>
      <c r="J46" s="134">
        <f t="shared" si="12"/>
        <v>13990.410255781953</v>
      </c>
      <c r="K46" s="134">
        <f t="shared" si="12"/>
        <v>14700.082992549196</v>
      </c>
      <c r="L46" s="134">
        <f t="shared" si="12"/>
        <v>15625.632341753162</v>
      </c>
      <c r="M46" s="134">
        <f t="shared" si="12"/>
        <v>16635.640278923391</v>
      </c>
      <c r="N46" s="134">
        <f t="shared" si="12"/>
        <v>17464.230067561999</v>
      </c>
      <c r="O46" s="134">
        <f t="shared" si="12"/>
        <v>18503.854365446237</v>
      </c>
      <c r="P46" s="134">
        <f t="shared" si="12"/>
        <v>19288.980493924901</v>
      </c>
      <c r="Q46" s="134">
        <f t="shared" si="12"/>
        <v>20582.529167965142</v>
      </c>
      <c r="R46" s="134">
        <f t="shared" si="12"/>
        <v>21557.252833668266</v>
      </c>
      <c r="S46" s="134">
        <f t="shared" si="12"/>
        <v>22500.766331248546</v>
      </c>
      <c r="T46" s="134">
        <f t="shared" si="12"/>
        <v>23367.815256758426</v>
      </c>
      <c r="U46" s="134">
        <f t="shared" si="12"/>
        <v>24237.805779343485</v>
      </c>
      <c r="W46" s="91">
        <f>SUM(B46:U46)</f>
        <v>306569.95431206224</v>
      </c>
    </row>
    <row r="47" spans="1:23" s="62" customFormat="1" ht="9" outlineLevel="1">
      <c r="A47" s="4"/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 spans="1:23">
      <c r="A48" s="1"/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3"/>
      <c r="B49" s="56"/>
      <c r="C49" s="5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8.75" outlineLevel="1">
      <c r="A50" s="55" t="s">
        <v>251</v>
      </c>
      <c r="B50" s="56"/>
      <c r="C50" s="59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outlineLevel="1">
      <c r="A51" s="1"/>
      <c r="B51" s="56"/>
      <c r="C51" s="59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2.75" customHeight="1" outlineLevel="1">
      <c r="A52" s="1"/>
      <c r="B52" s="56"/>
      <c r="C52" s="59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 spans="1:55" ht="12.75" customHeight="1" outlineLevel="1">
      <c r="A53" s="1"/>
      <c r="B53" s="56"/>
      <c r="C53" s="59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 spans="1:55" ht="13.5" outlineLevel="1" thickBot="1">
      <c r="A54" s="197" t="s">
        <v>65</v>
      </c>
      <c r="B54" s="8">
        <v>2001</v>
      </c>
      <c r="C54" s="8">
        <f t="shared" ref="C54:U54" si="13">B54+1</f>
        <v>2002</v>
      </c>
      <c r="D54" s="8">
        <f t="shared" si="13"/>
        <v>2003</v>
      </c>
      <c r="E54" s="8">
        <f t="shared" si="13"/>
        <v>2004</v>
      </c>
      <c r="F54" s="8">
        <f t="shared" si="13"/>
        <v>2005</v>
      </c>
      <c r="G54" s="8">
        <f t="shared" si="13"/>
        <v>2006</v>
      </c>
      <c r="H54" s="8">
        <f t="shared" si="13"/>
        <v>2007</v>
      </c>
      <c r="I54" s="8">
        <f t="shared" si="13"/>
        <v>2008</v>
      </c>
      <c r="J54" s="8">
        <f t="shared" si="13"/>
        <v>2009</v>
      </c>
      <c r="K54" s="8">
        <f t="shared" si="13"/>
        <v>2010</v>
      </c>
      <c r="L54" s="8">
        <f t="shared" si="13"/>
        <v>2011</v>
      </c>
      <c r="M54" s="8">
        <f t="shared" si="13"/>
        <v>2012</v>
      </c>
      <c r="N54" s="8">
        <f t="shared" si="13"/>
        <v>2013</v>
      </c>
      <c r="O54" s="8">
        <f t="shared" si="13"/>
        <v>2014</v>
      </c>
      <c r="P54" s="8">
        <f t="shared" si="13"/>
        <v>2015</v>
      </c>
      <c r="Q54" s="8">
        <f t="shared" si="13"/>
        <v>2016</v>
      </c>
      <c r="R54" s="8">
        <f t="shared" si="13"/>
        <v>2017</v>
      </c>
      <c r="S54" s="8">
        <f t="shared" si="13"/>
        <v>2018</v>
      </c>
      <c r="T54" s="8">
        <f t="shared" si="13"/>
        <v>2019</v>
      </c>
      <c r="U54" s="8">
        <f t="shared" si="13"/>
        <v>2020</v>
      </c>
      <c r="W54" s="425" t="s">
        <v>181</v>
      </c>
    </row>
    <row r="55" spans="1:55" outlineLevel="1">
      <c r="A55" s="12"/>
      <c r="B55" s="56"/>
      <c r="C55" s="59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W55" s="44"/>
    </row>
    <row r="56" spans="1:55" outlineLevel="1">
      <c r="A56" s="13" t="s">
        <v>293</v>
      </c>
      <c r="B56" s="67">
        <f>B33-B12</f>
        <v>22007.569762005587</v>
      </c>
      <c r="C56" s="67">
        <f>C33-C12</f>
        <v>21790.188238288014</v>
      </c>
      <c r="D56" s="67">
        <f>D33-D12</f>
        <v>21659.33664944132</v>
      </c>
      <c r="E56" s="56">
        <f t="shared" ref="E56:U56" si="14">E33</f>
        <v>36443.115118138005</v>
      </c>
      <c r="F56" s="56">
        <f t="shared" si="14"/>
        <v>38361.530612575814</v>
      </c>
      <c r="G56" s="56">
        <f t="shared" si="14"/>
        <v>38752.444534639566</v>
      </c>
      <c r="H56" s="56">
        <f t="shared" si="14"/>
        <v>39236.289982306123</v>
      </c>
      <c r="I56" s="56">
        <f t="shared" si="14"/>
        <v>39724.59405445397</v>
      </c>
      <c r="J56" s="56">
        <f t="shared" si="14"/>
        <v>40217.970945565205</v>
      </c>
      <c r="K56" s="56">
        <f t="shared" si="14"/>
        <v>40715.878875388364</v>
      </c>
      <c r="L56" s="56">
        <f t="shared" si="14"/>
        <v>41489.518549269917</v>
      </c>
      <c r="M56" s="56">
        <f t="shared" si="14"/>
        <v>42277.060729302008</v>
      </c>
      <c r="N56" s="56">
        <f t="shared" si="14"/>
        <v>42724.669172293798</v>
      </c>
      <c r="O56" s="56">
        <f t="shared" si="14"/>
        <v>43539.17645594947</v>
      </c>
      <c r="P56" s="56">
        <f t="shared" si="14"/>
        <v>43925.977758250257</v>
      </c>
      <c r="Q56" s="56">
        <f t="shared" si="14"/>
        <v>45112.208975378075</v>
      </c>
      <c r="R56" s="56">
        <f t="shared" si="14"/>
        <v>45720.130634296525</v>
      </c>
      <c r="S56" s="56">
        <f t="shared" si="14"/>
        <v>46333.351347981676</v>
      </c>
      <c r="T56" s="56">
        <f t="shared" si="14"/>
        <v>46954.111761559943</v>
      </c>
      <c r="U56" s="56">
        <f t="shared" si="14"/>
        <v>47581.630694567371</v>
      </c>
      <c r="W56" s="426">
        <f>SUM(B56:U56)</f>
        <v>784566.75485165115</v>
      </c>
    </row>
    <row r="57" spans="1:55">
      <c r="A57" s="13" t="s">
        <v>195</v>
      </c>
      <c r="B57" s="67">
        <f>B28</f>
        <v>174.46</v>
      </c>
      <c r="C57" s="67">
        <f t="shared" ref="C57:U57" si="15">C28</f>
        <v>348.92</v>
      </c>
      <c r="D57" s="67">
        <f t="shared" si="15"/>
        <v>436.15</v>
      </c>
      <c r="E57" s="67">
        <f t="shared" si="15"/>
        <v>436.15</v>
      </c>
      <c r="F57" s="67">
        <f t="shared" si="15"/>
        <v>436.15</v>
      </c>
      <c r="G57" s="67">
        <f t="shared" si="15"/>
        <v>523.38</v>
      </c>
      <c r="H57" s="67">
        <f t="shared" si="15"/>
        <v>523.38</v>
      </c>
      <c r="I57" s="67">
        <f t="shared" si="15"/>
        <v>523.38</v>
      </c>
      <c r="J57" s="67">
        <f t="shared" si="15"/>
        <v>523.38</v>
      </c>
      <c r="K57" s="67">
        <f t="shared" si="15"/>
        <v>523.38</v>
      </c>
      <c r="L57" s="67">
        <f t="shared" si="15"/>
        <v>523.38</v>
      </c>
      <c r="M57" s="67">
        <f t="shared" si="15"/>
        <v>523.38</v>
      </c>
      <c r="N57" s="67">
        <f t="shared" si="15"/>
        <v>872.3</v>
      </c>
      <c r="O57" s="67">
        <f t="shared" si="15"/>
        <v>872.3</v>
      </c>
      <c r="P57" s="67">
        <f t="shared" si="15"/>
        <v>1308.45</v>
      </c>
      <c r="Q57" s="67">
        <f t="shared" si="15"/>
        <v>743.93104499999993</v>
      </c>
      <c r="R57" s="67">
        <f t="shared" si="15"/>
        <v>758.80966589999991</v>
      </c>
      <c r="S57" s="67">
        <f t="shared" si="15"/>
        <v>773.98585921799997</v>
      </c>
      <c r="T57" s="67">
        <f t="shared" si="15"/>
        <v>789.46557640235994</v>
      </c>
      <c r="U57" s="67">
        <f t="shared" si="15"/>
        <v>805.25488793040722</v>
      </c>
      <c r="W57" s="426">
        <f>SUM(B57:U57)</f>
        <v>12419.987034450767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</row>
    <row r="58" spans="1:55">
      <c r="A58" s="13" t="s">
        <v>196</v>
      </c>
      <c r="B58" s="495">
        <v>-92.2251014</v>
      </c>
      <c r="C58" s="67">
        <f>-B57</f>
        <v>-174.46</v>
      </c>
      <c r="D58" s="67">
        <f t="shared" ref="D58:U58" si="16">-C57</f>
        <v>-348.92</v>
      </c>
      <c r="E58" s="67">
        <f t="shared" si="16"/>
        <v>-436.15</v>
      </c>
      <c r="F58" s="67">
        <f t="shared" si="16"/>
        <v>-436.15</v>
      </c>
      <c r="G58" s="67">
        <f t="shared" si="16"/>
        <v>-436.15</v>
      </c>
      <c r="H58" s="67">
        <f t="shared" si="16"/>
        <v>-523.38</v>
      </c>
      <c r="I58" s="67">
        <f t="shared" si="16"/>
        <v>-523.38</v>
      </c>
      <c r="J58" s="67">
        <f t="shared" si="16"/>
        <v>-523.38</v>
      </c>
      <c r="K58" s="67">
        <f t="shared" si="16"/>
        <v>-523.38</v>
      </c>
      <c r="L58" s="67">
        <f t="shared" si="16"/>
        <v>-523.38</v>
      </c>
      <c r="M58" s="67">
        <f t="shared" si="16"/>
        <v>-523.38</v>
      </c>
      <c r="N58" s="67">
        <f t="shared" si="16"/>
        <v>-523.38</v>
      </c>
      <c r="O58" s="67">
        <f t="shared" si="16"/>
        <v>-872.3</v>
      </c>
      <c r="P58" s="67">
        <f t="shared" si="16"/>
        <v>-872.3</v>
      </c>
      <c r="Q58" s="67">
        <f t="shared" si="16"/>
        <v>-1308.45</v>
      </c>
      <c r="R58" s="67">
        <f t="shared" si="16"/>
        <v>-743.93104499999993</v>
      </c>
      <c r="S58" s="67">
        <f t="shared" si="16"/>
        <v>-758.80966589999991</v>
      </c>
      <c r="T58" s="67">
        <f t="shared" si="16"/>
        <v>-773.98585921799997</v>
      </c>
      <c r="U58" s="67">
        <f t="shared" si="16"/>
        <v>-789.46557640235994</v>
      </c>
      <c r="W58" s="426">
        <f>SUM(B58:U58)</f>
        <v>-11706.957247920362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</row>
    <row r="59" spans="1:55" outlineLevel="1">
      <c r="A59" s="13" t="s">
        <v>81</v>
      </c>
      <c r="B59" s="424">
        <f>-Debt!B77*Allocation!$E$12</f>
        <v>-16724.580205685867</v>
      </c>
      <c r="C59" s="424">
        <f>-Debt!C77*Allocation!$E$12</f>
        <v>-16692.410562346307</v>
      </c>
      <c r="D59" s="424">
        <f>-Debt!D77*Allocation!$E$12</f>
        <v>-16590.003785426212</v>
      </c>
      <c r="E59" s="424">
        <f>-Debt!E77*Allocation!$E$12</f>
        <v>-14838.61356792482</v>
      </c>
      <c r="F59" s="424">
        <f>-Debt!F77*Allocation!$E$12</f>
        <v>-15475.972401060022</v>
      </c>
      <c r="G59" s="424">
        <f>-Debt!G77*Allocation!$E$12</f>
        <v>-15559.04731583184</v>
      </c>
      <c r="H59" s="424">
        <f>-Debt!H77*Allocation!$E$12</f>
        <v>-15468.052468198166</v>
      </c>
      <c r="I59" s="424">
        <f>-Debt!I77*Allocation!$E$12</f>
        <v>-15605.259018699129</v>
      </c>
      <c r="J59" s="424">
        <f>-Debt!J77*Allocation!$E$12</f>
        <v>-15496.588190499704</v>
      </c>
      <c r="K59" s="424">
        <f>-Debt!K77*Allocation!$E$12</f>
        <v>-15806.030437799431</v>
      </c>
      <c r="L59" s="424">
        <f>-Debt!L77*Allocation!$E$12</f>
        <v>-16438.546204626287</v>
      </c>
      <c r="M59" s="424">
        <f>-Debt!M77*Allocation!$E$12</f>
        <v>-15573.047570959148</v>
      </c>
      <c r="N59" s="424">
        <f>-Debt!N77*Allocation!$E$12</f>
        <v>-14664.53524694831</v>
      </c>
      <c r="O59" s="424">
        <f>-Debt!O77*Allocation!$E$12</f>
        <v>-13777.52976810932</v>
      </c>
      <c r="P59" s="424">
        <f>-Debt!P77*Allocation!$E$12</f>
        <v>-13275.601401173441</v>
      </c>
      <c r="Q59" s="424">
        <f>-Debt!Q77*Allocation!$E$12</f>
        <v>-12740.987489880346</v>
      </c>
      <c r="R59" s="424">
        <f>-Debt!R77*Allocation!$E$12</f>
        <v>-11753.616733572724</v>
      </c>
      <c r="S59" s="424">
        <f>-Debt!S77*Allocation!$E$12</f>
        <v>-9237.6022592373865</v>
      </c>
      <c r="T59" s="424">
        <f>-Debt!T77*Allocation!$E$12</f>
        <v>-8439.2973282822968</v>
      </c>
      <c r="U59" s="424">
        <f>-Debt!U77*Allocation!$E$12</f>
        <v>-6850.424896747707</v>
      </c>
      <c r="W59" s="426">
        <f>SUM(B59:U59)</f>
        <v>-281007.74685300852</v>
      </c>
    </row>
    <row r="60" spans="1:55" outlineLevel="1">
      <c r="A60" s="13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W60" s="427"/>
    </row>
    <row r="61" spans="1:55" s="57" customFormat="1" outlineLevel="1">
      <c r="A61" s="12" t="s">
        <v>82</v>
      </c>
      <c r="B61" s="136">
        <f t="shared" ref="B61:U61" si="17">SUM(B56:B59)</f>
        <v>5365.2244549197203</v>
      </c>
      <c r="C61" s="136">
        <f t="shared" si="17"/>
        <v>5272.2376759417057</v>
      </c>
      <c r="D61" s="136">
        <f t="shared" si="17"/>
        <v>5156.5628640151117</v>
      </c>
      <c r="E61" s="136">
        <f t="shared" si="17"/>
        <v>21604.501550213186</v>
      </c>
      <c r="F61" s="136">
        <f t="shared" si="17"/>
        <v>22885.558211515792</v>
      </c>
      <c r="G61" s="136">
        <f t="shared" si="17"/>
        <v>23280.62721880772</v>
      </c>
      <c r="H61" s="136">
        <f t="shared" si="17"/>
        <v>23768.237514107957</v>
      </c>
      <c r="I61" s="136">
        <f t="shared" si="17"/>
        <v>24119.335035754841</v>
      </c>
      <c r="J61" s="136">
        <f t="shared" si="17"/>
        <v>24721.382755065501</v>
      </c>
      <c r="K61" s="136">
        <f t="shared" si="17"/>
        <v>24909.848437588931</v>
      </c>
      <c r="L61" s="136">
        <f t="shared" si="17"/>
        <v>25050.972344643629</v>
      </c>
      <c r="M61" s="136">
        <f t="shared" si="17"/>
        <v>26704.013158342859</v>
      </c>
      <c r="N61" s="136">
        <f t="shared" si="17"/>
        <v>28409.053925345492</v>
      </c>
      <c r="O61" s="136">
        <f t="shared" si="17"/>
        <v>29761.646687840148</v>
      </c>
      <c r="P61" s="136">
        <f t="shared" si="17"/>
        <v>31086.526357076811</v>
      </c>
      <c r="Q61" s="136">
        <f t="shared" si="17"/>
        <v>31806.702530497729</v>
      </c>
      <c r="R61" s="136">
        <f t="shared" si="17"/>
        <v>33981.392521623806</v>
      </c>
      <c r="S61" s="136">
        <f t="shared" si="17"/>
        <v>37110.925282062293</v>
      </c>
      <c r="T61" s="136">
        <f t="shared" si="17"/>
        <v>38530.29415046201</v>
      </c>
      <c r="U61" s="136">
        <f t="shared" si="17"/>
        <v>40746.995109347714</v>
      </c>
      <c r="W61" s="426">
        <f>SUM(B61:U61)</f>
        <v>504272.03778517304</v>
      </c>
    </row>
    <row r="62" spans="1:55" outlineLevel="1">
      <c r="A62" s="12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W62" s="427"/>
    </row>
    <row r="63" spans="1:55" ht="15" outlineLevel="1">
      <c r="A63" s="13" t="s">
        <v>109</v>
      </c>
      <c r="B63" s="229">
        <f>-B105</f>
        <v>0</v>
      </c>
      <c r="C63" s="229">
        <f t="shared" ref="C63:U63" si="18">-C105</f>
        <v>0</v>
      </c>
      <c r="D63" s="229">
        <f t="shared" si="18"/>
        <v>0</v>
      </c>
      <c r="E63" s="229">
        <f t="shared" si="18"/>
        <v>0</v>
      </c>
      <c r="F63" s="229">
        <f t="shared" si="18"/>
        <v>0</v>
      </c>
      <c r="G63" s="229">
        <f t="shared" si="18"/>
        <v>-517.28755980683206</v>
      </c>
      <c r="H63" s="229">
        <f t="shared" si="18"/>
        <v>-917.98981351191844</v>
      </c>
      <c r="I63" s="229">
        <f t="shared" si="18"/>
        <v>-974.72388367135477</v>
      </c>
      <c r="J63" s="229">
        <f t="shared" si="18"/>
        <v>-1041.7495042322355</v>
      </c>
      <c r="K63" s="229">
        <f t="shared" si="18"/>
        <v>-1110.1234778430428</v>
      </c>
      <c r="L63" s="229">
        <f t="shared" si="18"/>
        <v>-1202.3277778136965</v>
      </c>
      <c r="M63" s="229">
        <f t="shared" si="18"/>
        <v>-1300.1945697946824</v>
      </c>
      <c r="N63" s="229">
        <f t="shared" si="18"/>
        <v>-1382.8774726558081</v>
      </c>
      <c r="O63" s="229">
        <f t="shared" si="18"/>
        <v>-1483.65258156452</v>
      </c>
      <c r="P63" s="229">
        <f t="shared" si="18"/>
        <v>-1562.0673672249966</v>
      </c>
      <c r="Q63" s="229">
        <f t="shared" si="18"/>
        <v>-2077.2121916811088</v>
      </c>
      <c r="R63" s="229">
        <f t="shared" si="18"/>
        <v>-2561.0485046802214</v>
      </c>
      <c r="S63" s="229">
        <f t="shared" si="18"/>
        <v>-2653.7012213002158</v>
      </c>
      <c r="T63" s="229">
        <f t="shared" si="18"/>
        <v>-2738.8451419722169</v>
      </c>
      <c r="U63" s="229">
        <f t="shared" si="18"/>
        <v>-2824.2779265141207</v>
      </c>
      <c r="W63" s="426">
        <f>SUM(B63:U63)</f>
        <v>-24348.078994266973</v>
      </c>
    </row>
    <row r="64" spans="1:55" outlineLevel="1">
      <c r="A64" s="13" t="s">
        <v>110</v>
      </c>
      <c r="B64" s="128">
        <f>-Allocation!$E$12*Tax!B24</f>
        <v>0</v>
      </c>
      <c r="C64" s="128">
        <f>-Allocation!$E$12*Tax!C24</f>
        <v>0</v>
      </c>
      <c r="D64" s="128">
        <f>-Allocation!$E$12*Tax!D24</f>
        <v>0</v>
      </c>
      <c r="E64" s="128">
        <f>-Allocation!$E$12*Tax!E24</f>
        <v>0</v>
      </c>
      <c r="F64" s="128">
        <f>-Allocation!$E$12*Tax!F24</f>
        <v>0</v>
      </c>
      <c r="G64" s="128">
        <f>-Allocation!$E$12*Tax!G24</f>
        <v>-1304.0035094065058</v>
      </c>
      <c r="H64" s="128">
        <f>-Allocation!$E$12*Tax!H24</f>
        <v>-5070.0878643600199</v>
      </c>
      <c r="I64" s="128">
        <f>-Allocation!$E$12*Tax!I24</f>
        <v>-5333.0713766175695</v>
      </c>
      <c r="J64" s="128">
        <f>-Allocation!$E$12*Tax!J24</f>
        <v>-5733.5383098060383</v>
      </c>
      <c r="K64" s="128">
        <f>-Allocation!$E$12*Tax!K24</f>
        <v>-6095.5696989911976</v>
      </c>
      <c r="L64" s="128">
        <f>-Allocation!$E$12*Tax!L24</f>
        <v>-6607.1394917617736</v>
      </c>
      <c r="M64" s="128">
        <f>-Allocation!$E$12*Tax!M24</f>
        <v>-7159.89608767352</v>
      </c>
      <c r="N64" s="128">
        <f>-Allocation!$E$12*Tax!N24</f>
        <v>-7716.8137745609265</v>
      </c>
      <c r="O64" s="128">
        <f>-Allocation!$E$12*Tax!O24</f>
        <v>-8261.3334703898709</v>
      </c>
      <c r="P64" s="128">
        <f>-Allocation!$E$12*Tax!P24</f>
        <v>-8800.1017466862613</v>
      </c>
      <c r="Q64" s="128">
        <f>-Allocation!$E$12*Tax!Q24</f>
        <v>-11532.277546678537</v>
      </c>
      <c r="R64" s="128">
        <f>-Allocation!$E$12*Tax!R24</f>
        <v>-14250.725881928443</v>
      </c>
      <c r="S64" s="128">
        <f>-Allocation!$E$12*Tax!S24</f>
        <v>-14751.7564848818</v>
      </c>
      <c r="T64" s="128">
        <f>-Allocation!$E$12*Tax!T24</f>
        <v>-15211.437636913504</v>
      </c>
      <c r="U64" s="128">
        <f>-Allocation!$E$12*Tax!U24</f>
        <v>-15673.158708168889</v>
      </c>
      <c r="W64" s="426">
        <f>SUM(B64:U64)</f>
        <v>-133500.91158882485</v>
      </c>
    </row>
    <row r="65" spans="1:23" outlineLevel="1">
      <c r="A65" s="13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W65" s="427"/>
    </row>
    <row r="66" spans="1:23" s="64" customFormat="1" ht="15.75" outlineLevel="1">
      <c r="A66" s="46" t="s">
        <v>83</v>
      </c>
      <c r="B66" s="137">
        <f t="shared" ref="B66:U66" si="19">B61+B64+B63</f>
        <v>5365.2244549197203</v>
      </c>
      <c r="C66" s="137">
        <f t="shared" si="19"/>
        <v>5272.2376759417057</v>
      </c>
      <c r="D66" s="137">
        <f t="shared" si="19"/>
        <v>5156.5628640151117</v>
      </c>
      <c r="E66" s="137">
        <f t="shared" si="19"/>
        <v>21604.501550213186</v>
      </c>
      <c r="F66" s="137">
        <f t="shared" si="19"/>
        <v>22885.558211515792</v>
      </c>
      <c r="G66" s="137">
        <f t="shared" si="19"/>
        <v>21459.336149594383</v>
      </c>
      <c r="H66" s="137">
        <f t="shared" si="19"/>
        <v>17780.15983623602</v>
      </c>
      <c r="I66" s="137">
        <f t="shared" si="19"/>
        <v>17811.539775465917</v>
      </c>
      <c r="J66" s="137">
        <f t="shared" si="19"/>
        <v>17946.094941027226</v>
      </c>
      <c r="K66" s="137">
        <f t="shared" si="19"/>
        <v>17704.155260754691</v>
      </c>
      <c r="L66" s="137">
        <f t="shared" si="19"/>
        <v>17241.505075068158</v>
      </c>
      <c r="M66" s="137">
        <f t="shared" si="19"/>
        <v>18243.922500874654</v>
      </c>
      <c r="N66" s="137">
        <f t="shared" si="19"/>
        <v>19309.362678128757</v>
      </c>
      <c r="O66" s="137">
        <f t="shared" si="19"/>
        <v>20016.660635885753</v>
      </c>
      <c r="P66" s="137">
        <f t="shared" si="19"/>
        <v>20724.357243165552</v>
      </c>
      <c r="Q66" s="137">
        <f t="shared" si="19"/>
        <v>18197.212792138082</v>
      </c>
      <c r="R66" s="137">
        <f t="shared" si="19"/>
        <v>17169.618135015142</v>
      </c>
      <c r="S66" s="137">
        <f t="shared" si="19"/>
        <v>19705.467575880277</v>
      </c>
      <c r="T66" s="137">
        <f t="shared" si="19"/>
        <v>20580.011371576285</v>
      </c>
      <c r="U66" s="137">
        <f t="shared" si="19"/>
        <v>22249.558474664704</v>
      </c>
      <c r="W66" s="426">
        <f>SUM(B66:U66)</f>
        <v>346423.04720208113</v>
      </c>
    </row>
    <row r="67" spans="1:23" outlineLevel="1">
      <c r="A67" s="68"/>
      <c r="B67" s="56"/>
      <c r="C67" s="59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23" outlineLevel="1">
      <c r="A68" s="68"/>
      <c r="B68" s="56"/>
      <c r="C68" s="59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</row>
    <row r="69" spans="1:23" outlineLevel="1">
      <c r="A69" s="6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</row>
    <row r="70" spans="1:23" ht="18.75" outlineLevel="1">
      <c r="A70" s="55" t="s">
        <v>226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3" outlineLevel="1">
      <c r="A71" s="57"/>
      <c r="B71" s="18"/>
      <c r="C71" s="18"/>
      <c r="D71" s="18"/>
      <c r="E71" s="18"/>
      <c r="F71" s="18"/>
      <c r="G71" s="138"/>
      <c r="H71" s="18"/>
      <c r="I71" s="18"/>
      <c r="J71" s="18"/>
      <c r="K71" s="18"/>
      <c r="L71" s="18"/>
      <c r="M71" s="138"/>
      <c r="N71" s="18"/>
      <c r="O71" s="18"/>
      <c r="P71" s="18"/>
      <c r="Q71" s="18"/>
      <c r="R71" s="18"/>
      <c r="S71" s="138"/>
      <c r="T71" s="18"/>
      <c r="U71" s="18"/>
    </row>
    <row r="72" spans="1:23" outlineLevel="1">
      <c r="A72" s="230"/>
      <c r="B72" s="248">
        <v>3</v>
      </c>
      <c r="C72" s="248">
        <v>4</v>
      </c>
      <c r="D72" s="248">
        <v>5</v>
      </c>
      <c r="E72" s="249">
        <v>6</v>
      </c>
      <c r="F72" s="248">
        <v>7</v>
      </c>
      <c r="G72" s="248">
        <v>8</v>
      </c>
      <c r="H72" s="248">
        <v>9</v>
      </c>
      <c r="I72" s="248">
        <v>10</v>
      </c>
      <c r="J72" s="248">
        <v>11</v>
      </c>
      <c r="K72" s="249">
        <v>12</v>
      </c>
      <c r="L72" s="248">
        <v>13</v>
      </c>
      <c r="M72" s="248">
        <v>14</v>
      </c>
      <c r="N72" s="248">
        <v>15</v>
      </c>
      <c r="O72" s="248">
        <v>16</v>
      </c>
      <c r="P72" s="248">
        <v>17</v>
      </c>
      <c r="Q72" s="249">
        <v>18</v>
      </c>
      <c r="R72" s="248">
        <v>19</v>
      </c>
      <c r="S72" s="248">
        <v>20</v>
      </c>
      <c r="T72" s="248">
        <v>21</v>
      </c>
      <c r="U72" s="248">
        <v>22</v>
      </c>
    </row>
    <row r="73" spans="1:23" ht="13.5" outlineLevel="1" thickBot="1">
      <c r="A73" s="197" t="s">
        <v>65</v>
      </c>
      <c r="B73" s="8">
        <v>2001</v>
      </c>
      <c r="C73" s="8">
        <v>2002</v>
      </c>
      <c r="D73" s="8">
        <v>2003</v>
      </c>
      <c r="E73" s="8">
        <v>2004</v>
      </c>
      <c r="F73" s="8">
        <v>2005</v>
      </c>
      <c r="G73" s="8">
        <v>2006</v>
      </c>
      <c r="H73" s="8">
        <v>2007</v>
      </c>
      <c r="I73" s="8">
        <v>2008</v>
      </c>
      <c r="J73" s="8">
        <v>2009</v>
      </c>
      <c r="K73" s="8">
        <v>2010</v>
      </c>
      <c r="L73" s="8">
        <v>2011</v>
      </c>
      <c r="M73" s="8">
        <v>2012</v>
      </c>
      <c r="N73" s="8">
        <v>2013</v>
      </c>
      <c r="O73" s="8">
        <v>2014</v>
      </c>
      <c r="P73" s="8">
        <v>2015</v>
      </c>
      <c r="Q73" s="8">
        <v>2016</v>
      </c>
      <c r="R73" s="8">
        <v>2017</v>
      </c>
      <c r="S73" s="8">
        <v>2018</v>
      </c>
      <c r="T73" s="8">
        <v>2019</v>
      </c>
      <c r="U73" s="8">
        <v>2020</v>
      </c>
    </row>
    <row r="74" spans="1:23" outlineLevel="1">
      <c r="A74" s="230"/>
      <c r="B74" s="255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 outlineLevel="1">
      <c r="A75" s="230"/>
      <c r="B75" s="25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>
      <c r="A76" s="231" t="s">
        <v>216</v>
      </c>
      <c r="B76" s="255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3" outlineLevel="1">
      <c r="A77" s="230"/>
      <c r="B77" s="255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3" outlineLevel="1">
      <c r="A78" s="57" t="s">
        <v>227</v>
      </c>
      <c r="B78" s="469">
        <f>Depreciation!C38</f>
        <v>239338.51822998148</v>
      </c>
      <c r="C78" s="469">
        <f>Depreciation!D38</f>
        <v>231936.29601668307</v>
      </c>
      <c r="D78" s="469">
        <f>Depreciation!E38</f>
        <v>224534.07380338467</v>
      </c>
      <c r="E78" s="469">
        <f>Depreciation!F38</f>
        <v>217131.85159008627</v>
      </c>
      <c r="F78" s="469">
        <f>Depreciation!G38</f>
        <v>209729.62937678787</v>
      </c>
      <c r="G78" s="469">
        <f>Depreciation!H38</f>
        <v>202327.40716348946</v>
      </c>
      <c r="H78" s="469">
        <f>Depreciation!I38</f>
        <v>194925.18495019106</v>
      </c>
      <c r="I78" s="469">
        <f>Depreciation!J38</f>
        <v>187522.96273689266</v>
      </c>
      <c r="J78" s="469">
        <f>Depreciation!K38</f>
        <v>180120.74052359426</v>
      </c>
      <c r="K78" s="469">
        <f>Depreciation!L38</f>
        <v>172718.51831029585</v>
      </c>
      <c r="L78" s="469">
        <f>Depreciation!M38</f>
        <v>165316.29609699745</v>
      </c>
      <c r="M78" s="469">
        <f>Depreciation!N38</f>
        <v>157914.07388369905</v>
      </c>
      <c r="N78" s="469">
        <f>Depreciation!O38</f>
        <v>150511.85167040065</v>
      </c>
      <c r="O78" s="469">
        <f>Depreciation!P38</f>
        <v>143109.62945710224</v>
      </c>
      <c r="P78" s="469">
        <f>Depreciation!Q38</f>
        <v>135707.40724380384</v>
      </c>
      <c r="Q78" s="469">
        <f>Depreciation!R38</f>
        <v>128305.18503050544</v>
      </c>
      <c r="R78" s="469">
        <f>Depreciation!S38</f>
        <v>120902.96281720704</v>
      </c>
      <c r="S78" s="469">
        <f>Depreciation!T38</f>
        <v>113500.74060390863</v>
      </c>
      <c r="T78" s="469">
        <f>Depreciation!U38</f>
        <v>106098.51839061023</v>
      </c>
      <c r="U78" s="469">
        <f>Depreciation!V38</f>
        <v>98696.29617731183</v>
      </c>
      <c r="W78" s="446">
        <f t="shared" ref="W78:W86" si="20">SUM(B78:U78)</f>
        <v>3380348.1440729327</v>
      </c>
    </row>
    <row r="79" spans="1:23" outlineLevel="1">
      <c r="A79" s="7" t="s">
        <v>214</v>
      </c>
      <c r="B79" s="469">
        <f>Depreciation!$B$36*'Summary Output'!$B$8</f>
        <v>101038.10544359939</v>
      </c>
      <c r="C79" s="469">
        <f>Depreciation!$B$36*'Summary Output'!$B$8</f>
        <v>101038.10544359939</v>
      </c>
      <c r="D79" s="469">
        <f>Depreciation!$B$36*'Summary Output'!$B$8</f>
        <v>101038.10544359939</v>
      </c>
      <c r="E79" s="469">
        <f>Depreciation!$B$36*'Summary Output'!$B$8</f>
        <v>101038.10544359939</v>
      </c>
      <c r="F79" s="469">
        <f>Depreciation!$B$36*'Summary Output'!$B$8</f>
        <v>101038.10544359939</v>
      </c>
      <c r="G79" s="469">
        <f>Depreciation!$B$36*'Summary Output'!$B$8</f>
        <v>101038.10544359939</v>
      </c>
      <c r="H79" s="469">
        <f>Depreciation!$B$36*'Summary Output'!$B$8</f>
        <v>101038.10544359939</v>
      </c>
      <c r="I79" s="469">
        <f>Depreciation!$B$36*'Summary Output'!$B$8</f>
        <v>101038.10544359939</v>
      </c>
      <c r="J79" s="469">
        <f>Depreciation!$B$36*'Summary Output'!$B$8</f>
        <v>101038.10544359939</v>
      </c>
      <c r="K79" s="469">
        <f>Depreciation!$B$36*'Summary Output'!$B$8</f>
        <v>101038.10544359939</v>
      </c>
      <c r="L79" s="469">
        <f>Depreciation!$B$36*'Summary Output'!$B$8</f>
        <v>101038.10544359939</v>
      </c>
      <c r="M79" s="469">
        <f>Depreciation!$B$36*'Summary Output'!$B$8</f>
        <v>101038.10544359939</v>
      </c>
      <c r="N79" s="469">
        <f>Depreciation!$B$36*'Summary Output'!$B$8</f>
        <v>101038.10544359939</v>
      </c>
      <c r="O79" s="469">
        <f>Depreciation!$B$36*'Summary Output'!$B$8</f>
        <v>101038.10544359939</v>
      </c>
      <c r="P79" s="469">
        <f>Depreciation!$B$36*'Summary Output'!$B$8</f>
        <v>101038.10544359939</v>
      </c>
      <c r="Q79" s="469">
        <f>Depreciation!$B$36*'Summary Output'!$B$8</f>
        <v>101038.10544359939</v>
      </c>
      <c r="R79" s="469">
        <f>Depreciation!$B$36*'Summary Output'!$B$8</f>
        <v>101038.10544359939</v>
      </c>
      <c r="S79" s="469">
        <f>Depreciation!$B$36*'Summary Output'!$B$8</f>
        <v>101038.10544359939</v>
      </c>
      <c r="T79" s="469">
        <f>Depreciation!$B$36*'Summary Output'!$B$8</f>
        <v>101038.10544359939</v>
      </c>
      <c r="U79" s="469">
        <f>Depreciation!$B$36*'Summary Output'!$B$8</f>
        <v>101038.10544359939</v>
      </c>
      <c r="W79" s="446">
        <f t="shared" si="20"/>
        <v>2020762.1088719878</v>
      </c>
    </row>
    <row r="80" spans="1:23" outlineLevel="1">
      <c r="A80" s="473" t="s">
        <v>221</v>
      </c>
      <c r="B80" s="470">
        <f>B46-B66</f>
        <v>542.43578183162572</v>
      </c>
      <c r="C80" s="470">
        <f t="shared" ref="C80:U80" si="21">C46-C66+B80</f>
        <v>1222.0668791040889</v>
      </c>
      <c r="D80" s="470">
        <f t="shared" si="21"/>
        <v>2174.8518919646503</v>
      </c>
      <c r="E80" s="470">
        <f t="shared" si="21"/>
        <v>-9151.4256629251413</v>
      </c>
      <c r="F80" s="470">
        <f t="shared" si="21"/>
        <v>-20373.443644297047</v>
      </c>
      <c r="G80" s="470">
        <f t="shared" si="21"/>
        <v>-29679.854622909876</v>
      </c>
      <c r="H80" s="470">
        <f t="shared" si="21"/>
        <v>-34729.890387199179</v>
      </c>
      <c r="I80" s="470">
        <f t="shared" si="21"/>
        <v>-39220.166370764258</v>
      </c>
      <c r="J80" s="470">
        <f t="shared" si="21"/>
        <v>-43175.851056009531</v>
      </c>
      <c r="K80" s="470">
        <f t="shared" si="21"/>
        <v>-46179.923324215022</v>
      </c>
      <c r="L80" s="470">
        <f t="shared" si="21"/>
        <v>-47795.796057530017</v>
      </c>
      <c r="M80" s="470">
        <f t="shared" si="21"/>
        <v>-49404.078279481284</v>
      </c>
      <c r="N80" s="470">
        <f t="shared" si="21"/>
        <v>-51249.210890048038</v>
      </c>
      <c r="O80" s="470">
        <f t="shared" si="21"/>
        <v>-52762.01716048755</v>
      </c>
      <c r="P80" s="470">
        <f t="shared" si="21"/>
        <v>-54197.393909728198</v>
      </c>
      <c r="Q80" s="470">
        <f t="shared" si="21"/>
        <v>-51812.077533901138</v>
      </c>
      <c r="R80" s="470">
        <f t="shared" si="21"/>
        <v>-47424.442835248017</v>
      </c>
      <c r="S80" s="470">
        <f t="shared" si="21"/>
        <v>-44629.144079879748</v>
      </c>
      <c r="T80" s="470">
        <f t="shared" si="21"/>
        <v>-41841.340194697608</v>
      </c>
      <c r="U80" s="470">
        <f t="shared" si="21"/>
        <v>-39853.09289001883</v>
      </c>
      <c r="W80" s="446">
        <f t="shared" si="20"/>
        <v>-699539.79434644012</v>
      </c>
    </row>
    <row r="81" spans="1:44" outlineLevel="1">
      <c r="A81" s="473" t="s">
        <v>222</v>
      </c>
      <c r="B81" s="471">
        <f>Debt!B73*Allocation!$E$12</f>
        <v>117969.75780338589</v>
      </c>
      <c r="C81" s="471">
        <f>Debt!C73*Allocation!$E$12</f>
        <v>114163.50059576378</v>
      </c>
      <c r="D81" s="471">
        <f>Debt!D73*Allocation!$E$12</f>
        <v>110071.05863568887</v>
      </c>
      <c r="E81" s="471">
        <f>Debt!E73*Allocation!$E$12</f>
        <v>107451.36744015946</v>
      </c>
      <c r="F81" s="471">
        <f>Debt!F73*Allocation!$E$12</f>
        <v>103845.4395592543</v>
      </c>
      <c r="G81" s="471">
        <f>Debt!G73*Allocation!$E$12</f>
        <v>99746.39333566124</v>
      </c>
      <c r="H81" s="471">
        <f>Debt!H73*Allocation!$E$12</f>
        <v>95277.508355052283</v>
      </c>
      <c r="I81" s="471">
        <f>Debt!I73*Allocation!$E$12</f>
        <v>90192.225446083452</v>
      </c>
      <c r="J81" s="471">
        <f>Debt!J73*Allocation!$E$12</f>
        <v>84613.824194426736</v>
      </c>
      <c r="K81" s="471">
        <f>Debt!K73*Allocation!$E$12</f>
        <v>78062.394784430537</v>
      </c>
      <c r="L81" s="471">
        <f>Debt!L73*Allocation!$E$12</f>
        <v>70137.27856266094</v>
      </c>
      <c r="M81" s="471">
        <f>Debt!M73*Allocation!$E$12</f>
        <v>62212.162340891344</v>
      </c>
      <c r="N81" s="471">
        <f>Debt!N73*Allocation!$E$12</f>
        <v>54287.046119121747</v>
      </c>
      <c r="O81" s="471">
        <f>Debt!O73*Allocation!$E$12</f>
        <v>46361.929897352151</v>
      </c>
      <c r="P81" s="471">
        <f>Debt!P73*Allocation!$E$12</f>
        <v>38040.557864494069</v>
      </c>
      <c r="Q81" s="471">
        <f>Debt!Q73*Allocation!$E$12</f>
        <v>29322.930020547512</v>
      </c>
      <c r="R81" s="471">
        <f>Debt!R73*Allocation!$E$12</f>
        <v>20605.302176600955</v>
      </c>
      <c r="S81" s="471">
        <f>Debt!S73*Allocation!$E$12</f>
        <v>13472.697577008317</v>
      </c>
      <c r="T81" s="471">
        <f>Debt!T73*Allocation!$E$12</f>
        <v>6340.0929774156784</v>
      </c>
      <c r="U81" s="471">
        <f>Debt!U73*Allocation!$E$12</f>
        <v>-6.7273278003251944E-12</v>
      </c>
      <c r="W81" s="446">
        <f t="shared" si="20"/>
        <v>1342173.4676859996</v>
      </c>
    </row>
    <row r="82" spans="1:44" outlineLevel="1">
      <c r="A82" s="57" t="s">
        <v>228</v>
      </c>
      <c r="B82" s="472">
        <f>SUM(B79:B81)</f>
        <v>219550.29902881689</v>
      </c>
      <c r="C82" s="472">
        <f t="shared" ref="C82:U82" si="22">SUM(C79:C81)</f>
        <v>216423.67291846726</v>
      </c>
      <c r="D82" s="472">
        <f t="shared" si="22"/>
        <v>213284.0159712529</v>
      </c>
      <c r="E82" s="472">
        <f t="shared" si="22"/>
        <v>199338.04722083372</v>
      </c>
      <c r="F82" s="472">
        <f t="shared" si="22"/>
        <v>184510.10135855665</v>
      </c>
      <c r="G82" s="472">
        <f t="shared" si="22"/>
        <v>171104.64415635075</v>
      </c>
      <c r="H82" s="472">
        <f t="shared" si="22"/>
        <v>161585.72341145249</v>
      </c>
      <c r="I82" s="472">
        <f t="shared" si="22"/>
        <v>152010.16451891858</v>
      </c>
      <c r="J82" s="472">
        <f t="shared" si="22"/>
        <v>142476.07858201658</v>
      </c>
      <c r="K82" s="472">
        <f t="shared" si="22"/>
        <v>132920.57690381492</v>
      </c>
      <c r="L82" s="472">
        <f t="shared" si="22"/>
        <v>123379.5879487303</v>
      </c>
      <c r="M82" s="472">
        <f t="shared" si="22"/>
        <v>113846.18950500945</v>
      </c>
      <c r="N82" s="472">
        <f t="shared" si="22"/>
        <v>104075.9406726731</v>
      </c>
      <c r="O82" s="472">
        <f t="shared" si="22"/>
        <v>94638.018180463987</v>
      </c>
      <c r="P82" s="472">
        <f t="shared" si="22"/>
        <v>84881.269398365257</v>
      </c>
      <c r="Q82" s="472">
        <f t="shared" si="22"/>
        <v>78548.957930245757</v>
      </c>
      <c r="R82" s="472">
        <f t="shared" si="22"/>
        <v>74218.964784952317</v>
      </c>
      <c r="S82" s="472">
        <f t="shared" si="22"/>
        <v>69881.658940727953</v>
      </c>
      <c r="T82" s="472">
        <f t="shared" si="22"/>
        <v>65536.858226317461</v>
      </c>
      <c r="U82" s="472">
        <f t="shared" si="22"/>
        <v>61185.012553580549</v>
      </c>
      <c r="W82" s="446">
        <f t="shared" si="20"/>
        <v>2663395.7822115468</v>
      </c>
    </row>
    <row r="83" spans="1:44" outlineLevel="1">
      <c r="A83" s="230"/>
      <c r="B83" s="472"/>
      <c r="C83" s="472"/>
      <c r="D83" s="472"/>
      <c r="E83" s="472"/>
      <c r="F83" s="472"/>
      <c r="G83" s="472"/>
      <c r="H83" s="472"/>
      <c r="I83" s="472"/>
      <c r="J83" s="472"/>
      <c r="K83" s="472"/>
      <c r="L83" s="472"/>
      <c r="M83" s="472"/>
      <c r="N83" s="472"/>
      <c r="O83" s="472"/>
      <c r="P83" s="472"/>
      <c r="Q83" s="472"/>
      <c r="R83" s="472"/>
      <c r="S83" s="472"/>
      <c r="T83" s="472"/>
      <c r="U83" s="472"/>
      <c r="W83" s="446"/>
    </row>
    <row r="84" spans="1:44" outlineLevel="1">
      <c r="A84" s="57" t="s">
        <v>246</v>
      </c>
      <c r="B84" s="472">
        <f>MAX(B82,B78)</f>
        <v>239338.51822998148</v>
      </c>
      <c r="C84" s="472">
        <f t="shared" ref="C84:U84" si="23">MAX(C82,C78)</f>
        <v>231936.29601668307</v>
      </c>
      <c r="D84" s="472">
        <f t="shared" si="23"/>
        <v>224534.07380338467</v>
      </c>
      <c r="E84" s="472">
        <f t="shared" si="23"/>
        <v>217131.85159008627</v>
      </c>
      <c r="F84" s="472">
        <f t="shared" si="23"/>
        <v>209729.62937678787</v>
      </c>
      <c r="G84" s="472">
        <f t="shared" si="23"/>
        <v>202327.40716348946</v>
      </c>
      <c r="H84" s="472">
        <f t="shared" si="23"/>
        <v>194925.18495019106</v>
      </c>
      <c r="I84" s="472">
        <f t="shared" si="23"/>
        <v>187522.96273689266</v>
      </c>
      <c r="J84" s="472">
        <f t="shared" si="23"/>
        <v>180120.74052359426</v>
      </c>
      <c r="K84" s="472">
        <f t="shared" si="23"/>
        <v>172718.51831029585</v>
      </c>
      <c r="L84" s="472">
        <f t="shared" si="23"/>
        <v>165316.29609699745</v>
      </c>
      <c r="M84" s="472">
        <f t="shared" si="23"/>
        <v>157914.07388369905</v>
      </c>
      <c r="N84" s="472">
        <f t="shared" si="23"/>
        <v>150511.85167040065</v>
      </c>
      <c r="O84" s="472">
        <f t="shared" si="23"/>
        <v>143109.62945710224</v>
      </c>
      <c r="P84" s="472">
        <f t="shared" si="23"/>
        <v>135707.40724380384</v>
      </c>
      <c r="Q84" s="472">
        <f t="shared" si="23"/>
        <v>128305.18503050544</v>
      </c>
      <c r="R84" s="472">
        <f t="shared" si="23"/>
        <v>120902.96281720704</v>
      </c>
      <c r="S84" s="472">
        <f t="shared" si="23"/>
        <v>113500.74060390863</v>
      </c>
      <c r="T84" s="472">
        <f t="shared" si="23"/>
        <v>106098.51839061023</v>
      </c>
      <c r="U84" s="472">
        <f t="shared" si="23"/>
        <v>98696.29617731183</v>
      </c>
      <c r="W84" s="446">
        <f t="shared" si="20"/>
        <v>3380348.1440729327</v>
      </c>
    </row>
    <row r="85" spans="1:44" outlineLevel="1">
      <c r="A85" s="473" t="s">
        <v>217</v>
      </c>
      <c r="B85" s="475">
        <f>Assumptions!$G$50</f>
        <v>2.5000000000000001E-3</v>
      </c>
      <c r="C85" s="475">
        <f>Assumptions!$G$51</f>
        <v>2.5000000000000001E-3</v>
      </c>
      <c r="D85" s="475">
        <f>Assumptions!$G$51</f>
        <v>2.5000000000000001E-3</v>
      </c>
      <c r="E85" s="475">
        <f>Assumptions!$G$51</f>
        <v>2.5000000000000001E-3</v>
      </c>
      <c r="F85" s="475">
        <f>Assumptions!$G$51</f>
        <v>2.5000000000000001E-3</v>
      </c>
      <c r="G85" s="475">
        <f>Assumptions!$G$51</f>
        <v>2.5000000000000001E-3</v>
      </c>
      <c r="H85" s="475">
        <f>Assumptions!$G$51</f>
        <v>2.5000000000000001E-3</v>
      </c>
      <c r="I85" s="475">
        <f>Assumptions!$G$51</f>
        <v>2.5000000000000001E-3</v>
      </c>
      <c r="J85" s="475">
        <f>Assumptions!$G$51</f>
        <v>2.5000000000000001E-3</v>
      </c>
      <c r="K85" s="475">
        <f>Assumptions!$G$51</f>
        <v>2.5000000000000001E-3</v>
      </c>
      <c r="L85" s="475">
        <f>Assumptions!$G$51</f>
        <v>2.5000000000000001E-3</v>
      </c>
      <c r="M85" s="475">
        <f>Assumptions!$G$51</f>
        <v>2.5000000000000001E-3</v>
      </c>
      <c r="N85" s="475">
        <f>Assumptions!$G$51</f>
        <v>2.5000000000000001E-3</v>
      </c>
      <c r="O85" s="475">
        <f>Assumptions!$G$51</f>
        <v>2.5000000000000001E-3</v>
      </c>
      <c r="P85" s="475">
        <f>Assumptions!$G$51</f>
        <v>2.5000000000000001E-3</v>
      </c>
      <c r="Q85" s="475">
        <f>Assumptions!$G$51</f>
        <v>2.5000000000000001E-3</v>
      </c>
      <c r="R85" s="475">
        <f>Assumptions!$G$51</f>
        <v>2.5000000000000001E-3</v>
      </c>
      <c r="S85" s="475">
        <f>Assumptions!$G$51</f>
        <v>2.5000000000000001E-3</v>
      </c>
      <c r="T85" s="475">
        <f>Assumptions!$G$51</f>
        <v>2.5000000000000001E-3</v>
      </c>
      <c r="U85" s="475">
        <f>Assumptions!$G$51</f>
        <v>2.5000000000000001E-3</v>
      </c>
      <c r="W85" s="446"/>
    </row>
    <row r="86" spans="1:44" outlineLevel="1">
      <c r="A86" s="230" t="s">
        <v>218</v>
      </c>
      <c r="B86" s="494">
        <v>604.85093011793992</v>
      </c>
      <c r="C86" s="494">
        <v>586.14420032047792</v>
      </c>
      <c r="D86" s="494">
        <v>567.43747052301592</v>
      </c>
      <c r="E86" s="494">
        <v>548.7307407255538</v>
      </c>
      <c r="F86" s="494">
        <v>530.0240109280918</v>
      </c>
      <c r="G86" s="494">
        <v>511.31728113062979</v>
      </c>
      <c r="H86" s="494">
        <v>492.61055133316773</v>
      </c>
      <c r="I86" s="494">
        <v>473.90382153570573</v>
      </c>
      <c r="J86" s="494">
        <v>455.19709173824367</v>
      </c>
      <c r="K86" s="494">
        <v>436.49036194078167</v>
      </c>
      <c r="L86" s="494">
        <v>417.78363214331966</v>
      </c>
      <c r="M86" s="494">
        <v>399.0769023458576</v>
      </c>
      <c r="N86" s="494">
        <v>380.3701725483956</v>
      </c>
      <c r="O86" s="494">
        <v>361.66344275093354</v>
      </c>
      <c r="P86" s="494">
        <v>342.95671295347154</v>
      </c>
      <c r="Q86" s="494">
        <v>324.24998315600942</v>
      </c>
      <c r="R86" s="494">
        <v>305.54325335854736</v>
      </c>
      <c r="S86" s="494">
        <v>286.8365235610853</v>
      </c>
      <c r="T86" s="494">
        <v>268.12979376362324</v>
      </c>
      <c r="U86" s="494">
        <v>249.42306396616118</v>
      </c>
      <c r="W86" s="446">
        <f t="shared" si="20"/>
        <v>8542.7399408410129</v>
      </c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outlineLevel="1">
      <c r="A87" s="473"/>
      <c r="B87" s="474"/>
      <c r="C87" s="474"/>
      <c r="D87" s="474"/>
      <c r="E87" s="474"/>
      <c r="F87" s="474"/>
      <c r="G87" s="474"/>
      <c r="H87" s="474"/>
      <c r="I87" s="474"/>
      <c r="J87" s="474"/>
      <c r="K87" s="474"/>
      <c r="L87" s="474"/>
      <c r="M87" s="474"/>
      <c r="N87" s="474"/>
      <c r="O87" s="474"/>
      <c r="P87" s="474"/>
      <c r="Q87" s="474"/>
      <c r="R87" s="474"/>
      <c r="S87" s="474"/>
      <c r="T87" s="474"/>
      <c r="U87" s="474"/>
    </row>
    <row r="88" spans="1:44" outlineLevel="1">
      <c r="A88" s="230"/>
      <c r="B88" s="255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44" outlineLevel="1">
      <c r="A89" s="231" t="s">
        <v>93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</row>
    <row r="90" spans="1:44" outlineLevel="1">
      <c r="A90" s="231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spans="1:44" outlineLevel="1">
      <c r="A91" s="21" t="s">
        <v>294</v>
      </c>
      <c r="B91" s="20">
        <f>B41-B12</f>
        <v>1429.4582734359337</v>
      </c>
      <c r="C91" s="20">
        <f>C41-C12</f>
        <v>1501.8126702654299</v>
      </c>
      <c r="D91" s="20">
        <f>D41-D12</f>
        <v>1759.5526107916248</v>
      </c>
      <c r="E91" s="20">
        <f t="shared" ref="E91:U91" si="24">E41</f>
        <v>16821.970532444182</v>
      </c>
      <c r="F91" s="20">
        <f t="shared" si="24"/>
        <v>19089.263879122562</v>
      </c>
      <c r="G91" s="20">
        <f t="shared" si="24"/>
        <v>19890.221229102382</v>
      </c>
      <c r="H91" s="20">
        <f t="shared" si="24"/>
        <v>20834.90028141853</v>
      </c>
      <c r="I91" s="20">
        <f t="shared" si="24"/>
        <v>21802.395731425269</v>
      </c>
      <c r="J91" s="20">
        <f t="shared" si="24"/>
        <v>22897.561793423818</v>
      </c>
      <c r="K91" s="20">
        <f t="shared" si="24"/>
        <v>24059.055634286735</v>
      </c>
      <c r="L91" s="20">
        <f t="shared" si="24"/>
        <v>25573.86635311483</v>
      </c>
      <c r="M91" s="20">
        <f t="shared" si="24"/>
        <v>27226.90716681406</v>
      </c>
      <c r="N91" s="20">
        <f t="shared" si="24"/>
        <v>28583.027933816691</v>
      </c>
      <c r="O91" s="20">
        <f t="shared" si="24"/>
        <v>30284.540696311353</v>
      </c>
      <c r="P91" s="20">
        <f t="shared" si="24"/>
        <v>31569.5261766365</v>
      </c>
      <c r="Q91" s="20">
        <f t="shared" si="24"/>
        <v>33686.627116145894</v>
      </c>
      <c r="R91" s="20">
        <f t="shared" si="24"/>
        <v>35281.919531371961</v>
      </c>
      <c r="S91" s="20">
        <f t="shared" si="24"/>
        <v>36826.131475038535</v>
      </c>
      <c r="T91" s="20">
        <f t="shared" si="24"/>
        <v>38245.196819571887</v>
      </c>
      <c r="U91" s="20">
        <f t="shared" si="24"/>
        <v>39669.076561936956</v>
      </c>
      <c r="W91" s="446">
        <f>SUM(B91:U91)</f>
        <v>477033.01246647513</v>
      </c>
    </row>
    <row r="92" spans="1:44" outlineLevel="1">
      <c r="A92" s="21" t="s">
        <v>146</v>
      </c>
      <c r="B92" s="20">
        <f>B35</f>
        <v>7402.222213298397</v>
      </c>
      <c r="C92" s="20">
        <f t="shared" ref="C92:U92" si="25">C35</f>
        <v>7402.222213298397</v>
      </c>
      <c r="D92" s="20">
        <f t="shared" si="25"/>
        <v>7402.222213298397</v>
      </c>
      <c r="E92" s="20">
        <f t="shared" si="25"/>
        <v>7402.222213298397</v>
      </c>
      <c r="F92" s="20">
        <f t="shared" si="25"/>
        <v>7402.222213298397</v>
      </c>
      <c r="G92" s="20">
        <f t="shared" si="25"/>
        <v>7402.222213298397</v>
      </c>
      <c r="H92" s="20">
        <f t="shared" si="25"/>
        <v>7402.222213298397</v>
      </c>
      <c r="I92" s="20">
        <f t="shared" si="25"/>
        <v>7402.222213298397</v>
      </c>
      <c r="J92" s="20">
        <f t="shared" si="25"/>
        <v>7402.222213298397</v>
      </c>
      <c r="K92" s="20">
        <f t="shared" si="25"/>
        <v>7402.222213298397</v>
      </c>
      <c r="L92" s="20">
        <f t="shared" si="25"/>
        <v>7402.222213298397</v>
      </c>
      <c r="M92" s="20">
        <f t="shared" si="25"/>
        <v>7402.222213298397</v>
      </c>
      <c r="N92" s="20">
        <f t="shared" si="25"/>
        <v>7402.222213298397</v>
      </c>
      <c r="O92" s="20">
        <f t="shared" si="25"/>
        <v>7402.222213298397</v>
      </c>
      <c r="P92" s="20">
        <f t="shared" si="25"/>
        <v>7402.222213298397</v>
      </c>
      <c r="Q92" s="20">
        <f t="shared" si="25"/>
        <v>7402.222213298397</v>
      </c>
      <c r="R92" s="20">
        <f t="shared" si="25"/>
        <v>7402.222213298397</v>
      </c>
      <c r="S92" s="20">
        <f t="shared" si="25"/>
        <v>7402.222213298397</v>
      </c>
      <c r="T92" s="20">
        <f t="shared" si="25"/>
        <v>7402.222213298397</v>
      </c>
      <c r="U92" s="20">
        <f t="shared" si="25"/>
        <v>7402.222213298397</v>
      </c>
      <c r="W92" s="446">
        <f>SUM(B92:U92)</f>
        <v>148044.44426596799</v>
      </c>
    </row>
    <row r="93" spans="1:44" ht="15" outlineLevel="1">
      <c r="A93" s="21" t="s">
        <v>237</v>
      </c>
      <c r="B93" s="234">
        <f>-Depreciation!C87-Depreciation!C112*Allocation!$E$12</f>
        <v>-10963.807008066344</v>
      </c>
      <c r="C93" s="234">
        <f>-Depreciation!D87-Depreciation!D112*Allocation!$E$12</f>
        <v>-20831.233315326052</v>
      </c>
      <c r="D93" s="234">
        <f>-Depreciation!E87-Depreciation!E112*Allocation!$E$12</f>
        <v>-18748.109983793449</v>
      </c>
      <c r="E93" s="234">
        <f>-Depreciation!F87-Depreciation!F112*Allocation!$E$12</f>
        <v>-16884.262792422167</v>
      </c>
      <c r="F93" s="234">
        <f>-Depreciation!G87-Depreciation!G112*Allocation!$E$12</f>
        <v>-15195.836513179951</v>
      </c>
      <c r="G93" s="234">
        <f>-Depreciation!H87-Depreciation!H112*Allocation!$E$12</f>
        <v>-13660.903532050663</v>
      </c>
      <c r="H93" s="234">
        <f>-Depreciation!I87-Depreciation!I112*Allocation!$E$12</f>
        <v>-12937.292269518284</v>
      </c>
      <c r="I93" s="234">
        <f>-Depreciation!J87-Depreciation!J112*Allocation!$E$12</f>
        <v>-12959.219883534417</v>
      </c>
      <c r="J93" s="234">
        <f>-Depreciation!K87-Depreciation!K112*Allocation!$E$12</f>
        <v>-12937.292269518284</v>
      </c>
      <c r="K93" s="234">
        <f>-Depreciation!L87-Depreciation!L112*Allocation!$E$12</f>
        <v>-12959.219883534417</v>
      </c>
      <c r="L93" s="234">
        <f>-Depreciation!M87-Depreciation!M112*Allocation!$E$12</f>
        <v>-12937.292269518284</v>
      </c>
      <c r="M93" s="234">
        <f>-Depreciation!N87-Depreciation!N112*Allocation!$E$12</f>
        <v>-12959.219883534417</v>
      </c>
      <c r="N93" s="234">
        <f>-Depreciation!O87-Depreciation!O112*Allocation!$E$12</f>
        <v>-12937.292269518284</v>
      </c>
      <c r="O93" s="234">
        <f>-Depreciation!P87-Depreciation!P112*Allocation!$E$12</f>
        <v>-12959.219883534417</v>
      </c>
      <c r="P93" s="234">
        <f>-Depreciation!Q87-Depreciation!Q112*Allocation!$E$12</f>
        <v>-12937.292269518284</v>
      </c>
      <c r="Q93" s="234">
        <f>-Depreciation!R87-Depreciation!R112*Allocation!$E$12</f>
        <v>-6468.6461347591421</v>
      </c>
      <c r="R93" s="234">
        <f>-Depreciation!S87-Depreciation!S112*Allocation!$E$12</f>
        <v>0</v>
      </c>
      <c r="S93" s="234">
        <f>-Depreciation!T87-Depreciation!T112*Allocation!$E$12</f>
        <v>0</v>
      </c>
      <c r="T93" s="234">
        <f>-Depreciation!U87-Depreciation!U112*Allocation!$E$12</f>
        <v>0</v>
      </c>
      <c r="U93" s="234">
        <f>-Depreciation!V87-Depreciation!V112*Allocation!$E$12</f>
        <v>0</v>
      </c>
      <c r="W93" s="447">
        <f>SUM(B93:U93)</f>
        <v>-219276.14016132685</v>
      </c>
    </row>
    <row r="94" spans="1:44" outlineLevel="1">
      <c r="A94" s="233" t="s">
        <v>145</v>
      </c>
      <c r="B94" s="22">
        <f t="shared" ref="B94:U94" si="26">SUM(B91:B93)</f>
        <v>-2132.126521332013</v>
      </c>
      <c r="C94" s="22">
        <f t="shared" si="26"/>
        <v>-11927.198431762225</v>
      </c>
      <c r="D94" s="22">
        <f t="shared" si="26"/>
        <v>-9586.3351597034271</v>
      </c>
      <c r="E94" s="22">
        <f t="shared" si="26"/>
        <v>7339.9299533204103</v>
      </c>
      <c r="F94" s="22">
        <f t="shared" si="26"/>
        <v>11295.649579241006</v>
      </c>
      <c r="G94" s="22">
        <f t="shared" si="26"/>
        <v>13631.539910350115</v>
      </c>
      <c r="H94" s="22">
        <f t="shared" si="26"/>
        <v>15299.830225198641</v>
      </c>
      <c r="I94" s="22">
        <f t="shared" si="26"/>
        <v>16245.398061189248</v>
      </c>
      <c r="J94" s="22">
        <f t="shared" si="26"/>
        <v>17362.491737203927</v>
      </c>
      <c r="K94" s="22">
        <f t="shared" si="26"/>
        <v>18502.057964050713</v>
      </c>
      <c r="L94" s="22">
        <f t="shared" si="26"/>
        <v>20038.796296894943</v>
      </c>
      <c r="M94" s="22">
        <f t="shared" si="26"/>
        <v>21669.909496578039</v>
      </c>
      <c r="N94" s="22">
        <f t="shared" si="26"/>
        <v>23047.957877596804</v>
      </c>
      <c r="O94" s="22">
        <f t="shared" si="26"/>
        <v>24727.543026075335</v>
      </c>
      <c r="P94" s="22">
        <f t="shared" si="26"/>
        <v>26034.456120416609</v>
      </c>
      <c r="Q94" s="22">
        <f t="shared" si="26"/>
        <v>34620.203194685149</v>
      </c>
      <c r="R94" s="22">
        <f t="shared" si="26"/>
        <v>42684.141744670356</v>
      </c>
      <c r="S94" s="22">
        <f t="shared" si="26"/>
        <v>44228.353688336931</v>
      </c>
      <c r="T94" s="22">
        <f t="shared" si="26"/>
        <v>45647.419032870283</v>
      </c>
      <c r="U94" s="22">
        <f t="shared" si="26"/>
        <v>47071.298775235351</v>
      </c>
      <c r="W94" s="446">
        <f>SUM(B94:U94)</f>
        <v>405801.31657111616</v>
      </c>
    </row>
    <row r="95" spans="1:44" outlineLevel="1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spans="1:44" outlineLevel="1">
      <c r="A96" s="21" t="s">
        <v>46</v>
      </c>
      <c r="B96" s="444">
        <f>Assumptions!$G$47</f>
        <v>0.06</v>
      </c>
      <c r="C96" s="444">
        <f>Assumptions!$G$47</f>
        <v>0.06</v>
      </c>
      <c r="D96" s="444">
        <f>Assumptions!$G$47</f>
        <v>0.06</v>
      </c>
      <c r="E96" s="444">
        <f>Assumptions!$G$47</f>
        <v>0.06</v>
      </c>
      <c r="F96" s="444">
        <f>Assumptions!$G$47</f>
        <v>0.06</v>
      </c>
      <c r="G96" s="444">
        <f>Assumptions!$G$47</f>
        <v>0.06</v>
      </c>
      <c r="H96" s="444">
        <f>Assumptions!$G$47</f>
        <v>0.06</v>
      </c>
      <c r="I96" s="444">
        <f>Assumptions!$G$47</f>
        <v>0.06</v>
      </c>
      <c r="J96" s="444">
        <f>Assumptions!$G$47</f>
        <v>0.06</v>
      </c>
      <c r="K96" s="444">
        <f>Assumptions!$G$47</f>
        <v>0.06</v>
      </c>
      <c r="L96" s="444">
        <f>Assumptions!$G$47</f>
        <v>0.06</v>
      </c>
      <c r="M96" s="444">
        <f>Assumptions!$G$47</f>
        <v>0.06</v>
      </c>
      <c r="N96" s="444">
        <f>Assumptions!$G$47</f>
        <v>0.06</v>
      </c>
      <c r="O96" s="444">
        <f>Assumptions!$G$47</f>
        <v>0.06</v>
      </c>
      <c r="P96" s="444">
        <f>Assumptions!$G$47</f>
        <v>0.06</v>
      </c>
      <c r="Q96" s="444">
        <f>Assumptions!$G$47</f>
        <v>0.06</v>
      </c>
      <c r="R96" s="444">
        <f>Assumptions!$G$47</f>
        <v>0.06</v>
      </c>
      <c r="S96" s="444">
        <f>Assumptions!$G$47</f>
        <v>0.06</v>
      </c>
      <c r="T96" s="444">
        <f>Assumptions!$G$47</f>
        <v>0.06</v>
      </c>
      <c r="U96" s="444">
        <f>Assumptions!$G$47</f>
        <v>0.06</v>
      </c>
    </row>
    <row r="97" spans="1:23" outlineLevel="1">
      <c r="A97" s="21" t="s">
        <v>147</v>
      </c>
      <c r="B97" s="20">
        <f>B94*B96</f>
        <v>-127.92759127992078</v>
      </c>
      <c r="C97" s="20">
        <f t="shared" ref="C97:U97" si="27">C94*C96</f>
        <v>-715.63190590573345</v>
      </c>
      <c r="D97" s="20">
        <f t="shared" si="27"/>
        <v>-575.18010958220555</v>
      </c>
      <c r="E97" s="20">
        <f t="shared" si="27"/>
        <v>440.3957971992246</v>
      </c>
      <c r="F97" s="20">
        <f t="shared" si="27"/>
        <v>677.73897475446029</v>
      </c>
      <c r="G97" s="20">
        <f t="shared" si="27"/>
        <v>817.89239462100682</v>
      </c>
      <c r="H97" s="20">
        <f t="shared" si="27"/>
        <v>917.98981351191844</v>
      </c>
      <c r="I97" s="20">
        <f t="shared" si="27"/>
        <v>974.72388367135477</v>
      </c>
      <c r="J97" s="20">
        <f t="shared" si="27"/>
        <v>1041.7495042322355</v>
      </c>
      <c r="K97" s="20">
        <f t="shared" si="27"/>
        <v>1110.1234778430428</v>
      </c>
      <c r="L97" s="20">
        <f t="shared" si="27"/>
        <v>1202.3277778136965</v>
      </c>
      <c r="M97" s="20">
        <f t="shared" si="27"/>
        <v>1300.1945697946824</v>
      </c>
      <c r="N97" s="20">
        <f t="shared" si="27"/>
        <v>1382.8774726558081</v>
      </c>
      <c r="O97" s="20">
        <f t="shared" si="27"/>
        <v>1483.65258156452</v>
      </c>
      <c r="P97" s="20">
        <f t="shared" si="27"/>
        <v>1562.0673672249966</v>
      </c>
      <c r="Q97" s="20">
        <f t="shared" si="27"/>
        <v>2077.2121916811088</v>
      </c>
      <c r="R97" s="20">
        <f t="shared" si="27"/>
        <v>2561.0485046802214</v>
      </c>
      <c r="S97" s="20">
        <f t="shared" si="27"/>
        <v>2653.7012213002158</v>
      </c>
      <c r="T97" s="20">
        <f t="shared" si="27"/>
        <v>2738.8451419722169</v>
      </c>
      <c r="U97" s="20">
        <f t="shared" si="27"/>
        <v>2824.2779265141207</v>
      </c>
    </row>
    <row r="98" spans="1:23" outlineLevel="1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spans="1:23" outlineLevel="1">
      <c r="A99" s="21" t="s">
        <v>148</v>
      </c>
      <c r="B99" s="20">
        <v>0</v>
      </c>
      <c r="C99" s="20">
        <f t="shared" ref="C99:U99" si="28">B103</f>
        <v>127.92759127992078</v>
      </c>
      <c r="D99" s="20">
        <f t="shared" si="28"/>
        <v>843.55949718565421</v>
      </c>
      <c r="E99" s="20">
        <f t="shared" si="28"/>
        <v>1418.7396067678596</v>
      </c>
      <c r="F99" s="20">
        <f t="shared" si="28"/>
        <v>978.34380956863504</v>
      </c>
      <c r="G99" s="20">
        <f t="shared" si="28"/>
        <v>300.60483481417475</v>
      </c>
      <c r="H99" s="20">
        <f t="shared" si="28"/>
        <v>0</v>
      </c>
      <c r="I99" s="20">
        <f t="shared" si="28"/>
        <v>0</v>
      </c>
      <c r="J99" s="20">
        <f t="shared" si="28"/>
        <v>0</v>
      </c>
      <c r="K99" s="20">
        <f t="shared" si="28"/>
        <v>0</v>
      </c>
      <c r="L99" s="20">
        <f t="shared" si="28"/>
        <v>0</v>
      </c>
      <c r="M99" s="20">
        <f t="shared" si="28"/>
        <v>0</v>
      </c>
      <c r="N99" s="20">
        <f>M103</f>
        <v>0</v>
      </c>
      <c r="O99" s="20">
        <f t="shared" si="28"/>
        <v>0</v>
      </c>
      <c r="P99" s="20">
        <f t="shared" si="28"/>
        <v>0</v>
      </c>
      <c r="Q99" s="20">
        <f t="shared" si="28"/>
        <v>0</v>
      </c>
      <c r="R99" s="20">
        <v>0</v>
      </c>
      <c r="S99" s="20">
        <f t="shared" si="28"/>
        <v>0</v>
      </c>
      <c r="T99" s="20">
        <f t="shared" si="28"/>
        <v>0</v>
      </c>
      <c r="U99" s="20">
        <f t="shared" si="28"/>
        <v>0</v>
      </c>
    </row>
    <row r="100" spans="1:23" outlineLevel="1">
      <c r="A100" s="21" t="s">
        <v>149</v>
      </c>
      <c r="B100" s="247">
        <f t="shared" ref="B100:U100" si="29">IF(B70&gt;2020,0,IF(B97&lt;0,-B97,0))</f>
        <v>127.92759127992078</v>
      </c>
      <c r="C100" s="247">
        <f t="shared" si="29"/>
        <v>715.63190590573345</v>
      </c>
      <c r="D100" s="247">
        <f t="shared" si="29"/>
        <v>575.18010958220555</v>
      </c>
      <c r="E100" s="247">
        <f t="shared" si="29"/>
        <v>0</v>
      </c>
      <c r="F100" s="247">
        <f t="shared" si="29"/>
        <v>0</v>
      </c>
      <c r="G100" s="247">
        <f t="shared" si="29"/>
        <v>0</v>
      </c>
      <c r="H100" s="247">
        <f t="shared" si="29"/>
        <v>0</v>
      </c>
      <c r="I100" s="247">
        <f t="shared" si="29"/>
        <v>0</v>
      </c>
      <c r="J100" s="247">
        <f t="shared" si="29"/>
        <v>0</v>
      </c>
      <c r="K100" s="247">
        <f t="shared" si="29"/>
        <v>0</v>
      </c>
      <c r="L100" s="247">
        <f t="shared" si="29"/>
        <v>0</v>
      </c>
      <c r="M100" s="247">
        <f t="shared" si="29"/>
        <v>0</v>
      </c>
      <c r="N100" s="247">
        <f t="shared" si="29"/>
        <v>0</v>
      </c>
      <c r="O100" s="247">
        <f t="shared" si="29"/>
        <v>0</v>
      </c>
      <c r="P100" s="247">
        <f t="shared" si="29"/>
        <v>0</v>
      </c>
      <c r="Q100" s="247">
        <f t="shared" si="29"/>
        <v>0</v>
      </c>
      <c r="R100" s="247">
        <f t="shared" si="29"/>
        <v>0</v>
      </c>
      <c r="S100" s="247">
        <f t="shared" si="29"/>
        <v>0</v>
      </c>
      <c r="T100" s="247">
        <f t="shared" si="29"/>
        <v>0</v>
      </c>
      <c r="U100" s="247">
        <f t="shared" si="29"/>
        <v>0</v>
      </c>
    </row>
    <row r="101" spans="1:23" outlineLevel="1">
      <c r="A101" s="21" t="s">
        <v>150</v>
      </c>
      <c r="B101" s="235">
        <v>0</v>
      </c>
      <c r="C101" s="235">
        <v>0</v>
      </c>
      <c r="D101" s="235">
        <v>0</v>
      </c>
      <c r="E101" s="235">
        <v>0</v>
      </c>
      <c r="F101" s="235">
        <v>0</v>
      </c>
      <c r="G101" s="235">
        <v>0</v>
      </c>
      <c r="H101" s="235">
        <v>0</v>
      </c>
      <c r="I101" s="235">
        <v>0</v>
      </c>
      <c r="J101" s="235">
        <v>0</v>
      </c>
      <c r="K101" s="235">
        <v>0</v>
      </c>
      <c r="L101" s="235">
        <v>0</v>
      </c>
      <c r="M101" s="235">
        <v>0</v>
      </c>
      <c r="N101" s="235">
        <v>0</v>
      </c>
      <c r="O101" s="235">
        <v>0</v>
      </c>
      <c r="P101" s="235">
        <v>0</v>
      </c>
      <c r="Q101" s="235">
        <v>0</v>
      </c>
      <c r="R101" s="235">
        <v>0</v>
      </c>
      <c r="S101" s="235">
        <v>0</v>
      </c>
      <c r="T101" s="20">
        <f>IF(L100&gt;(SUM(M102:S102)+SUM(L101:S101))*-1,L100-(SUM(L102:S102)+SUM(L101:S101))*-1,0)</f>
        <v>0</v>
      </c>
      <c r="U101" s="20">
        <f>IF(M100&gt;(SUM(N102:T102)+SUM(M101:T101))*-1,M100-(SUM(M102:T102)+SUM(M101:T101))*-1,0)</f>
        <v>0</v>
      </c>
    </row>
    <row r="102" spans="1:23" outlineLevel="1">
      <c r="A102" s="17" t="s">
        <v>151</v>
      </c>
      <c r="B102" s="236">
        <f t="shared" ref="B102:T102" si="30">IF(B97&lt;0,0,IF(B99&gt;B97,-B97,-B99))</f>
        <v>0</v>
      </c>
      <c r="C102" s="236">
        <f t="shared" si="30"/>
        <v>0</v>
      </c>
      <c r="D102" s="236">
        <f t="shared" si="30"/>
        <v>0</v>
      </c>
      <c r="E102" s="236">
        <f t="shared" si="30"/>
        <v>-440.3957971992246</v>
      </c>
      <c r="F102" s="236">
        <f t="shared" si="30"/>
        <v>-677.73897475446029</v>
      </c>
      <c r="G102" s="236">
        <f t="shared" si="30"/>
        <v>-300.60483481417475</v>
      </c>
      <c r="H102" s="236">
        <f t="shared" si="30"/>
        <v>0</v>
      </c>
      <c r="I102" s="236">
        <f t="shared" si="30"/>
        <v>0</v>
      </c>
      <c r="J102" s="236">
        <f t="shared" si="30"/>
        <v>0</v>
      </c>
      <c r="K102" s="236">
        <f t="shared" si="30"/>
        <v>0</v>
      </c>
      <c r="L102" s="236">
        <f t="shared" si="30"/>
        <v>0</v>
      </c>
      <c r="M102" s="236">
        <f t="shared" si="30"/>
        <v>0</v>
      </c>
      <c r="N102" s="236">
        <f t="shared" si="30"/>
        <v>0</v>
      </c>
      <c r="O102" s="236">
        <f t="shared" si="30"/>
        <v>0</v>
      </c>
      <c r="P102" s="236">
        <f t="shared" si="30"/>
        <v>0</v>
      </c>
      <c r="Q102" s="236">
        <f t="shared" si="30"/>
        <v>0</v>
      </c>
      <c r="R102" s="236">
        <f t="shared" si="30"/>
        <v>0</v>
      </c>
      <c r="S102" s="236">
        <f t="shared" si="30"/>
        <v>0</v>
      </c>
      <c r="T102" s="236">
        <f t="shared" si="30"/>
        <v>0</v>
      </c>
      <c r="U102" s="236">
        <f>IF(U97&lt;0,0,IF(U99&gt;U97,-U97,-U99))</f>
        <v>0</v>
      </c>
    </row>
    <row r="103" spans="1:23" outlineLevel="1">
      <c r="A103" s="17" t="s">
        <v>152</v>
      </c>
      <c r="B103" s="236">
        <f t="shared" ref="B103:U103" si="31">SUM(B99:B102)</f>
        <v>127.92759127992078</v>
      </c>
      <c r="C103" s="236">
        <f t="shared" si="31"/>
        <v>843.55949718565421</v>
      </c>
      <c r="D103" s="236">
        <f t="shared" si="31"/>
        <v>1418.7396067678596</v>
      </c>
      <c r="E103" s="236">
        <f t="shared" si="31"/>
        <v>978.34380956863504</v>
      </c>
      <c r="F103" s="236">
        <f t="shared" si="31"/>
        <v>300.60483481417475</v>
      </c>
      <c r="G103" s="236">
        <f t="shared" si="31"/>
        <v>0</v>
      </c>
      <c r="H103" s="236">
        <f t="shared" si="31"/>
        <v>0</v>
      </c>
      <c r="I103" s="236">
        <f t="shared" si="31"/>
        <v>0</v>
      </c>
      <c r="J103" s="236">
        <f t="shared" si="31"/>
        <v>0</v>
      </c>
      <c r="K103" s="236">
        <f t="shared" si="31"/>
        <v>0</v>
      </c>
      <c r="L103" s="236">
        <f t="shared" si="31"/>
        <v>0</v>
      </c>
      <c r="M103" s="236">
        <f t="shared" si="31"/>
        <v>0</v>
      </c>
      <c r="N103" s="236">
        <f t="shared" si="31"/>
        <v>0</v>
      </c>
      <c r="O103" s="236">
        <f t="shared" si="31"/>
        <v>0</v>
      </c>
      <c r="P103" s="236">
        <f t="shared" si="31"/>
        <v>0</v>
      </c>
      <c r="Q103" s="236">
        <f t="shared" si="31"/>
        <v>0</v>
      </c>
      <c r="R103" s="236">
        <f t="shared" si="31"/>
        <v>0</v>
      </c>
      <c r="S103" s="236">
        <f t="shared" si="31"/>
        <v>0</v>
      </c>
      <c r="T103" s="236">
        <f t="shared" si="31"/>
        <v>0</v>
      </c>
      <c r="U103" s="236">
        <f t="shared" si="31"/>
        <v>0</v>
      </c>
    </row>
    <row r="104" spans="1:23" outlineLevel="1">
      <c r="A104" s="17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</row>
    <row r="105" spans="1:23" ht="13.5" outlineLevel="1" thickBot="1">
      <c r="A105" s="32" t="s">
        <v>144</v>
      </c>
      <c r="B105" s="347">
        <f t="shared" ref="B105:U105" si="32">IF(B97&lt;0,0,B97+B102)</f>
        <v>0</v>
      </c>
      <c r="C105" s="347">
        <f t="shared" si="32"/>
        <v>0</v>
      </c>
      <c r="D105" s="347">
        <f t="shared" si="32"/>
        <v>0</v>
      </c>
      <c r="E105" s="347">
        <f t="shared" si="32"/>
        <v>0</v>
      </c>
      <c r="F105" s="347">
        <f t="shared" si="32"/>
        <v>0</v>
      </c>
      <c r="G105" s="347">
        <f t="shared" si="32"/>
        <v>517.28755980683206</v>
      </c>
      <c r="H105" s="347">
        <f t="shared" si="32"/>
        <v>917.98981351191844</v>
      </c>
      <c r="I105" s="347">
        <f t="shared" si="32"/>
        <v>974.72388367135477</v>
      </c>
      <c r="J105" s="347">
        <f t="shared" si="32"/>
        <v>1041.7495042322355</v>
      </c>
      <c r="K105" s="347">
        <f t="shared" si="32"/>
        <v>1110.1234778430428</v>
      </c>
      <c r="L105" s="347">
        <f t="shared" si="32"/>
        <v>1202.3277778136965</v>
      </c>
      <c r="M105" s="347">
        <f t="shared" si="32"/>
        <v>1300.1945697946824</v>
      </c>
      <c r="N105" s="347">
        <f t="shared" si="32"/>
        <v>1382.8774726558081</v>
      </c>
      <c r="O105" s="347">
        <f t="shared" si="32"/>
        <v>1483.65258156452</v>
      </c>
      <c r="P105" s="347">
        <f t="shared" si="32"/>
        <v>1562.0673672249966</v>
      </c>
      <c r="Q105" s="347">
        <f t="shared" si="32"/>
        <v>2077.2121916811088</v>
      </c>
      <c r="R105" s="347">
        <f t="shared" si="32"/>
        <v>2561.0485046802214</v>
      </c>
      <c r="S105" s="347">
        <f t="shared" si="32"/>
        <v>2653.7012213002158</v>
      </c>
      <c r="T105" s="347">
        <f t="shared" si="32"/>
        <v>2738.8451419722169</v>
      </c>
      <c r="U105" s="347">
        <f t="shared" si="32"/>
        <v>2824.2779265141207</v>
      </c>
      <c r="W105" s="446">
        <f>SUM(B105:U105)</f>
        <v>24348.078994266973</v>
      </c>
    </row>
    <row r="106" spans="1:23" outlineLevel="1">
      <c r="A106" s="7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7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ht="14.25" outlineLevel="1">
      <c r="A108" s="75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7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7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7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8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82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82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82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ht="15" customHeight="1" outlineLevel="1">
      <c r="A128" s="80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ht="14.25" customHeight="1" outlineLevel="1">
      <c r="A130" s="80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80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80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</row>
    <row r="133" spans="1:21" outlineLevel="1">
      <c r="A133" s="83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</row>
    <row r="134" spans="1:21" outlineLevel="1">
      <c r="A134" s="83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 outlineLevel="1">
      <c r="A135" s="83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 outlineLevel="1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 outlineLevel="1">
      <c r="A137" s="7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 outlineLevel="1">
      <c r="A138" s="7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 outlineLevel="1">
      <c r="A139" s="7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 ht="18.75" outlineLevel="1">
      <c r="A140" s="84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 outlineLevel="1">
      <c r="A141" s="5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57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7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7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2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outlineLevel="1">
      <c r="A146" s="80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79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78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6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0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7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79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7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79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6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6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79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82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8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78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79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79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79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80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81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9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82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82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8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80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0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80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80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7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</row>
    <row r="189" spans="1:21" outlineLevel="1">
      <c r="A189" s="7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</row>
    <row r="190" spans="1:21" outlineLevel="1">
      <c r="A190" s="7"/>
      <c r="B190" s="7"/>
      <c r="C190" s="7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</row>
    <row r="191" spans="1:21" ht="18.75" outlineLevel="1">
      <c r="A191" s="8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5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5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2"/>
      <c r="B195" s="9"/>
      <c r="C195" s="9"/>
      <c r="D195" s="9"/>
      <c r="E195" s="9"/>
      <c r="F195" s="9"/>
      <c r="G195" s="9"/>
      <c r="H195" s="9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5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86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7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57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57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57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7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7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7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7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7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6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6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6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86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86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57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7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57"/>
      <c r="B239" s="7"/>
      <c r="C239" s="59"/>
      <c r="D239" s="59"/>
      <c r="E239" s="59"/>
      <c r="F239" s="59"/>
      <c r="G239" s="59"/>
      <c r="H239" s="5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7"/>
      <c r="B240" s="7"/>
      <c r="C240" s="59"/>
      <c r="D240" s="59"/>
      <c r="E240" s="59"/>
      <c r="F240" s="59"/>
      <c r="G240" s="59"/>
      <c r="H240" s="5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57"/>
      <c r="B241" s="7"/>
      <c r="C241" s="59"/>
      <c r="D241" s="59"/>
      <c r="E241" s="59"/>
      <c r="F241" s="59"/>
      <c r="G241" s="59"/>
      <c r="H241" s="5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7"/>
      <c r="C242" s="59"/>
      <c r="D242" s="59"/>
      <c r="E242" s="59"/>
      <c r="F242" s="59"/>
      <c r="G242" s="59"/>
      <c r="H242" s="5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8.75" outlineLevel="1">
      <c r="A244" s="8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s="90" customFormat="1" outlineLevel="1">
      <c r="A248" s="89"/>
    </row>
    <row r="249" spans="1:21" outlineLevel="1">
      <c r="A249" s="5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91"/>
      <c r="D251" s="91"/>
      <c r="E251" s="91"/>
      <c r="F251" s="91"/>
      <c r="G251" s="91"/>
      <c r="H251" s="91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93"/>
      <c r="D252" s="93"/>
      <c r="E252" s="93"/>
      <c r="F252" s="93"/>
      <c r="G252" s="93"/>
      <c r="H252" s="93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5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8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94"/>
      <c r="B255" s="7"/>
      <c r="C255" s="59"/>
      <c r="D255" s="59"/>
      <c r="E255" s="59"/>
      <c r="F255" s="59"/>
      <c r="G255" s="59"/>
      <c r="H255" s="5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94"/>
      <c r="B256" s="7"/>
      <c r="C256" s="59"/>
      <c r="D256" s="59"/>
      <c r="E256" s="59"/>
      <c r="F256" s="59"/>
      <c r="G256" s="59"/>
      <c r="H256" s="5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94"/>
      <c r="B257" s="7"/>
      <c r="C257" s="59"/>
      <c r="D257" s="59"/>
      <c r="E257" s="59"/>
      <c r="F257" s="59"/>
      <c r="G257" s="59"/>
      <c r="H257" s="5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94"/>
      <c r="B258" s="7"/>
      <c r="C258" s="59"/>
      <c r="D258" s="59"/>
      <c r="E258" s="59"/>
      <c r="F258" s="59"/>
      <c r="G258" s="59"/>
      <c r="H258" s="5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94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95"/>
      <c r="D260" s="95"/>
      <c r="E260" s="95"/>
      <c r="F260" s="95"/>
      <c r="G260" s="95"/>
      <c r="H260" s="95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94"/>
      <c r="B261" s="7"/>
      <c r="C261" s="96"/>
      <c r="D261" s="96"/>
      <c r="E261" s="96"/>
      <c r="F261" s="96"/>
      <c r="G261" s="96"/>
      <c r="H261" s="9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94"/>
      <c r="B262" s="7"/>
      <c r="C262" s="96"/>
      <c r="D262" s="96"/>
      <c r="E262" s="96"/>
      <c r="F262" s="96"/>
      <c r="G262" s="96"/>
      <c r="H262" s="9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94"/>
      <c r="B263" s="7"/>
      <c r="C263" s="96"/>
      <c r="D263" s="96"/>
      <c r="E263" s="96"/>
      <c r="F263" s="96"/>
      <c r="G263" s="96"/>
      <c r="H263" s="9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4"/>
      <c r="B264" s="7"/>
      <c r="C264" s="96"/>
      <c r="D264" s="96"/>
      <c r="E264" s="96"/>
      <c r="F264" s="96"/>
      <c r="G264" s="96"/>
      <c r="H264" s="9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4"/>
      <c r="B265" s="7"/>
      <c r="C265" s="95"/>
      <c r="D265" s="95"/>
      <c r="E265" s="95"/>
      <c r="F265" s="95"/>
      <c r="G265" s="95"/>
      <c r="H265" s="95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5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59"/>
      <c r="D268" s="59"/>
      <c r="E268" s="59"/>
      <c r="F268" s="59"/>
      <c r="G268" s="59"/>
      <c r="H268" s="5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59"/>
      <c r="D269" s="59"/>
      <c r="E269" s="59"/>
      <c r="F269" s="59"/>
      <c r="G269" s="59"/>
      <c r="H269" s="5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7"/>
      <c r="B270" s="97"/>
      <c r="C270" s="59"/>
      <c r="D270" s="59"/>
      <c r="E270" s="59"/>
      <c r="F270" s="59"/>
      <c r="G270" s="59"/>
      <c r="H270" s="5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5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7"/>
      <c r="B273" s="7"/>
      <c r="C273" s="91"/>
      <c r="D273" s="91"/>
      <c r="E273" s="91"/>
      <c r="F273" s="91"/>
      <c r="G273" s="91"/>
      <c r="H273" s="91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1"/>
      <c r="D274" s="91"/>
      <c r="E274" s="91"/>
      <c r="F274" s="91"/>
      <c r="G274" s="91"/>
      <c r="H274" s="91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94"/>
      <c r="B275" s="7"/>
      <c r="C275" s="91"/>
      <c r="D275" s="91"/>
      <c r="E275" s="91"/>
      <c r="F275" s="91"/>
      <c r="G275" s="91"/>
      <c r="H275" s="9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94"/>
      <c r="B276" s="97"/>
      <c r="C276" s="91"/>
      <c r="D276" s="91"/>
      <c r="E276" s="91"/>
      <c r="F276" s="91"/>
      <c r="G276" s="91"/>
      <c r="H276" s="9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7"/>
      <c r="B281" s="7"/>
      <c r="C281" s="91"/>
      <c r="D281" s="91"/>
      <c r="E281" s="91"/>
      <c r="F281" s="91"/>
      <c r="G281" s="91"/>
      <c r="H281" s="91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57"/>
      <c r="B284" s="98"/>
      <c r="C284" s="98"/>
      <c r="D284" s="98"/>
      <c r="E284" s="98"/>
      <c r="F284" s="98"/>
      <c r="G284" s="98"/>
      <c r="H284" s="9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57"/>
      <c r="B285" s="97"/>
      <c r="C285" s="98"/>
      <c r="D285" s="98"/>
      <c r="E285" s="98"/>
      <c r="F285" s="98"/>
      <c r="G285" s="98"/>
      <c r="H285" s="9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57"/>
      <c r="B286" s="98"/>
      <c r="C286" s="98"/>
      <c r="D286" s="98"/>
      <c r="E286" s="98"/>
      <c r="F286" s="98"/>
      <c r="G286" s="98"/>
      <c r="H286" s="9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57"/>
      <c r="B287" s="7"/>
      <c r="C287" s="98"/>
      <c r="D287" s="98"/>
      <c r="E287" s="98"/>
      <c r="F287" s="98"/>
      <c r="G287" s="98"/>
      <c r="H287" s="9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5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5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87"/>
      <c r="D292" s="87"/>
      <c r="E292" s="87"/>
      <c r="F292" s="87"/>
      <c r="G292" s="87"/>
      <c r="H292" s="8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98"/>
      <c r="D293" s="98"/>
      <c r="E293" s="98"/>
      <c r="F293" s="98"/>
      <c r="G293" s="98"/>
      <c r="H293" s="9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99"/>
      <c r="D294" s="99"/>
      <c r="E294" s="99"/>
      <c r="F294" s="99"/>
      <c r="G294" s="99"/>
      <c r="H294" s="9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87"/>
      <c r="D295" s="87"/>
      <c r="E295" s="87"/>
      <c r="F295" s="87"/>
      <c r="G295" s="87"/>
      <c r="H295" s="8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99"/>
      <c r="D296" s="99"/>
      <c r="E296" s="99"/>
      <c r="F296" s="99"/>
      <c r="G296" s="99"/>
      <c r="H296" s="9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100"/>
      <c r="D297" s="100"/>
      <c r="E297" s="100"/>
      <c r="F297" s="100"/>
      <c r="G297" s="100"/>
      <c r="H297" s="10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7"/>
      <c r="B298" s="7"/>
      <c r="C298" s="100"/>
      <c r="D298" s="100"/>
      <c r="E298" s="100"/>
      <c r="F298" s="100"/>
      <c r="G298" s="100"/>
      <c r="H298" s="10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8.75" hidden="1" outlineLevel="2">
      <c r="A299" s="84"/>
      <c r="B299" s="7"/>
      <c r="C299" s="100"/>
      <c r="D299" s="100"/>
      <c r="E299" s="100"/>
      <c r="F299" s="100"/>
      <c r="G299" s="100"/>
      <c r="H299" s="10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idden="1" outlineLevel="2">
      <c r="A300" s="57"/>
      <c r="B300" s="7"/>
      <c r="C300" s="100"/>
      <c r="D300" s="100"/>
      <c r="E300" s="100"/>
      <c r="F300" s="100"/>
      <c r="G300" s="100"/>
      <c r="H300" s="10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idden="1" outlineLevel="2">
      <c r="A301" s="7"/>
      <c r="B301" s="7"/>
      <c r="C301" s="100"/>
      <c r="D301" s="100"/>
      <c r="E301" s="100"/>
      <c r="F301" s="100"/>
      <c r="G301" s="100"/>
      <c r="H301" s="10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idden="1" outlineLevel="2">
      <c r="A302" s="57"/>
      <c r="B302" s="11"/>
      <c r="C302" s="11"/>
      <c r="D302" s="10"/>
      <c r="E302" s="10"/>
      <c r="F302" s="11"/>
      <c r="G302" s="11"/>
      <c r="H302" s="10"/>
      <c r="I302" s="11"/>
      <c r="J302" s="11"/>
      <c r="K302" s="11"/>
      <c r="L302" s="10"/>
      <c r="M302" s="11"/>
      <c r="N302" s="11"/>
      <c r="O302" s="7"/>
      <c r="P302" s="7"/>
      <c r="Q302" s="7"/>
      <c r="R302" s="7"/>
      <c r="S302" s="7"/>
      <c r="T302" s="11"/>
      <c r="U302" s="7"/>
    </row>
    <row r="303" spans="1:21" hidden="1" outlineLevel="2">
      <c r="A303" s="5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idden="1" outlineLevel="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hidden="1" outlineLevel="2">
      <c r="A305" s="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7"/>
      <c r="P305" s="7"/>
      <c r="Q305" s="7"/>
      <c r="R305" s="7"/>
      <c r="S305" s="7"/>
      <c r="T305" s="87"/>
      <c r="U305" s="7"/>
    </row>
    <row r="306" spans="1:26" hidden="1" outlineLevel="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2">
      <c r="A307" s="7"/>
      <c r="B307" s="98"/>
      <c r="C307" s="98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7"/>
      <c r="P307" s="7"/>
      <c r="Q307" s="7"/>
      <c r="R307" s="7"/>
      <c r="S307" s="7"/>
      <c r="T307" s="87"/>
      <c r="U307" s="7"/>
    </row>
    <row r="308" spans="1:26" hidden="1" outlineLevel="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2">
      <c r="A309" s="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87"/>
      <c r="V309" s="87"/>
      <c r="W309" s="87"/>
      <c r="X309" s="87"/>
      <c r="Y309" s="87"/>
      <c r="Z309" s="87"/>
    </row>
    <row r="310" spans="1:26" hidden="1" outlineLevel="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2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7"/>
    </row>
    <row r="312" spans="1:26" hidden="1" outlineLevel="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2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87"/>
    </row>
    <row r="314" spans="1:26" hidden="1" outlineLevel="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hidden="1" outlineLevel="2">
      <c r="A315" s="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7"/>
      <c r="P315" s="7"/>
      <c r="Q315" s="7"/>
      <c r="R315" s="7"/>
      <c r="S315" s="7"/>
      <c r="T315" s="87"/>
      <c r="U315" s="87"/>
    </row>
    <row r="316" spans="1:26" hidden="1" outlineLevel="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outlineLevel="1" collapsed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outlineLevel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outlineLevel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ht="18.75" outlineLevel="1">
      <c r="A320" s="8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outlineLevel="1">
      <c r="A321" s="5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1">
      <c r="A322" s="5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outlineLevel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1">
      <c r="A324" s="2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 spans="1:21" outlineLevel="1">
      <c r="A325" s="5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86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5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5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5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5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86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5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86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86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86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2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5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5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 outlineLevel="1">
      <c r="A367" s="5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 outlineLevel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outlineLevel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8.75" outlineLevel="1">
      <c r="A370" s="8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outlineLevel="1">
      <c r="A371" s="5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outlineLevel="1">
      <c r="A372" s="5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outlineLevel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outlineLevel="1">
      <c r="A374" s="2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outlineLevel="1">
      <c r="A376" s="86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86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86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86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86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57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 outlineLevel="1">
      <c r="A384" s="86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5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5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7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</row>
    <row r="409" spans="1:21" outlineLevel="1">
      <c r="A409" s="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</row>
    <row r="410" spans="1:21" outlineLevel="1">
      <c r="A410" s="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 outlineLevel="1">
      <c r="A411" s="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 outlineLevel="1">
      <c r="A412" s="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 outlineLevel="1">
      <c r="A413" s="7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 outlineLevel="1">
      <c r="A414" s="57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 outlineLevel="1">
      <c r="A415" s="7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 outlineLevel="1">
      <c r="A416" s="7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 outlineLevel="1">
      <c r="A417" s="57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57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7"/>
      <c r="P426" s="7"/>
      <c r="Q426" s="7"/>
      <c r="R426" s="7"/>
      <c r="S426" s="7"/>
      <c r="T426" s="7"/>
      <c r="U426" s="7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7"/>
      <c r="P427" s="7"/>
      <c r="Q427" s="7"/>
      <c r="R427" s="7"/>
      <c r="S427" s="7"/>
      <c r="T427" s="7"/>
      <c r="U427" s="7"/>
    </row>
    <row r="428" spans="1:21" outlineLevel="1">
      <c r="A428" s="5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7"/>
      <c r="P428" s="7"/>
      <c r="Q428" s="7"/>
      <c r="R428" s="7"/>
      <c r="S428" s="7"/>
      <c r="T428" s="7"/>
      <c r="U428" s="7"/>
    </row>
    <row r="429" spans="1:21" outlineLevel="1">
      <c r="A429" s="5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7"/>
      <c r="P429" s="7"/>
      <c r="Q429" s="7"/>
      <c r="R429" s="7"/>
      <c r="S429" s="7"/>
      <c r="T429" s="7"/>
      <c r="U429" s="7"/>
    </row>
    <row r="430" spans="1:21" outlineLevel="1">
      <c r="A430" s="5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7"/>
      <c r="P430" s="7"/>
      <c r="Q430" s="7"/>
      <c r="R430" s="7"/>
      <c r="S430" s="7"/>
      <c r="T430" s="7"/>
      <c r="U430" s="7"/>
    </row>
    <row r="431" spans="1:21" outlineLevel="1">
      <c r="A431" s="57"/>
      <c r="B431" s="102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7"/>
      <c r="P431" s="7"/>
      <c r="Q431" s="7"/>
      <c r="R431" s="7"/>
      <c r="S431" s="7"/>
      <c r="T431" s="7"/>
      <c r="U431" s="7"/>
    </row>
    <row r="432" spans="1:21" outlineLevel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8.75" outlineLevel="1">
      <c r="A433" s="8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outlineLevel="1">
      <c r="A434" s="5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outlineLevel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outlineLevel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outlineLevel="1">
      <c r="A437" s="2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</row>
    <row r="438" spans="1:21" outlineLevel="1">
      <c r="A438" s="7"/>
      <c r="B438" s="7"/>
      <c r="C438" s="73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7"/>
      <c r="C439" s="73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7"/>
      <c r="P439" s="7"/>
      <c r="Q439" s="7"/>
      <c r="R439" s="7"/>
      <c r="S439" s="7"/>
      <c r="T439" s="7"/>
      <c r="U439" s="7"/>
    </row>
    <row r="440" spans="1:21" outlineLevel="1">
      <c r="A440" s="7"/>
      <c r="B440" s="7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3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7"/>
      <c r="P441" s="7"/>
      <c r="Q441" s="7"/>
      <c r="R441" s="7"/>
      <c r="S441" s="7"/>
      <c r="T441" s="7"/>
      <c r="U441" s="7"/>
    </row>
    <row r="442" spans="1:21" outlineLevel="1">
      <c r="A442" s="7"/>
      <c r="B442" s="7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"/>
      <c r="P442" s="7"/>
      <c r="Q442" s="7"/>
      <c r="R442" s="7"/>
      <c r="S442" s="7"/>
      <c r="T442" s="7"/>
      <c r="U442" s="7"/>
    </row>
    <row r="443" spans="1:21" outlineLevel="1">
      <c r="A443" s="7"/>
      <c r="B443" s="7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"/>
      <c r="P443" s="7"/>
      <c r="Q443" s="7"/>
      <c r="R443" s="7"/>
      <c r="S443" s="7"/>
      <c r="T443" s="7"/>
      <c r="U443" s="7"/>
    </row>
    <row r="444" spans="1:21" outlineLevel="1">
      <c r="A444" s="94"/>
      <c r="B444" s="7"/>
      <c r="C444" s="73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7"/>
      <c r="P444" s="7"/>
      <c r="Q444" s="7"/>
      <c r="R444" s="7"/>
      <c r="S444" s="7"/>
      <c r="T444" s="7"/>
      <c r="U444" s="7"/>
    </row>
    <row r="445" spans="1:21" outlineLevel="1">
      <c r="A445" s="94"/>
      <c r="B445" s="7"/>
      <c r="C445" s="73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7"/>
      <c r="P445" s="7"/>
      <c r="Q445" s="7"/>
      <c r="R445" s="7"/>
      <c r="S445" s="7"/>
      <c r="T445" s="7"/>
      <c r="U445" s="7"/>
    </row>
    <row r="446" spans="1:21" outlineLevel="1">
      <c r="A446" s="57"/>
      <c r="B446" s="7"/>
      <c r="C446" s="7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outlineLevel="1">
      <c r="A447" s="7"/>
      <c r="B447" s="102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7"/>
      <c r="P447" s="7"/>
      <c r="Q447" s="7"/>
      <c r="R447" s="7"/>
      <c r="S447" s="7"/>
      <c r="T447" s="7"/>
      <c r="U447" s="7"/>
    </row>
    <row r="448" spans="1:21" outlineLevel="1">
      <c r="A448" s="7"/>
      <c r="B448" s="7"/>
      <c r="C448" s="7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outlineLevel="1">
      <c r="A449" s="57"/>
      <c r="B449" s="7"/>
      <c r="C449" s="73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3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7"/>
      <c r="P450" s="7"/>
      <c r="Q450" s="7"/>
      <c r="R450" s="7"/>
      <c r="S450" s="7"/>
      <c r="T450" s="7"/>
      <c r="U450" s="7"/>
    </row>
    <row r="451" spans="1:21" outlineLevel="1">
      <c r="A451" s="57"/>
      <c r="B451" s="7"/>
      <c r="C451" s="73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outlineLevel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s="106" customFormat="1" ht="18.75" outlineLevel="1">
      <c r="A454" s="104"/>
      <c r="B454" s="105"/>
      <c r="C454" s="105"/>
    </row>
    <row r="455" spans="1:21" s="106" customFormat="1" outlineLevel="1">
      <c r="A455" s="105"/>
      <c r="B455" s="107"/>
      <c r="C455" s="108"/>
      <c r="D455" s="105"/>
      <c r="E455" s="109"/>
    </row>
    <row r="456" spans="1:21" s="106" customFormat="1" outlineLevel="1">
      <c r="A456" s="105"/>
      <c r="B456" s="110"/>
      <c r="C456" s="88"/>
      <c r="D456" s="88"/>
      <c r="E456" s="109"/>
    </row>
    <row r="457" spans="1:21" s="106" customFormat="1" outlineLevel="1">
      <c r="A457" s="105"/>
      <c r="B457" s="88"/>
      <c r="C457" s="109"/>
      <c r="D457" s="88"/>
      <c r="E457" s="110"/>
    </row>
    <row r="458" spans="1:21" s="106" customFormat="1" outlineLevel="1">
      <c r="A458" s="111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</row>
    <row r="459" spans="1:21" s="106" customFormat="1" outlineLevel="1">
      <c r="A459" s="80"/>
      <c r="B459" s="105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79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 outlineLevel="1">
      <c r="A462" s="7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78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 s="6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80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113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113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113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11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8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11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80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80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80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0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79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79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80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82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</row>
    <row r="485" spans="1:21" s="106" customFormat="1" outlineLevel="1">
      <c r="A485" s="79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ht="13.9" customHeight="1" outlineLevel="1">
      <c r="A486" s="78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16" customFormat="1" outlineLevel="1">
      <c r="A487" s="115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78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79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79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80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16" customFormat="1" outlineLevel="1">
      <c r="A494" s="117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outlineLevel="1">
      <c r="A495" s="79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06" customFormat="1" outlineLevel="1">
      <c r="A496" s="8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8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 outlineLevel="1">
      <c r="A498" s="8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16" customFormat="1" outlineLevel="1">
      <c r="A500" s="115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8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 outlineLevel="1">
      <c r="A503" s="78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16" customFormat="1" outlineLevel="1">
      <c r="A504" s="117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 s="80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16" customFormat="1" outlineLevel="1">
      <c r="A506" s="117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 s="80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 s="80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06" customFormat="1" outlineLevel="1">
      <c r="A509" s="80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outlineLevel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outlineLevel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outlineLevel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8.75" outlineLevel="1">
      <c r="A513" s="8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5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118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7"/>
      <c r="N515" s="7"/>
      <c r="O515" s="7"/>
      <c r="P515" s="7"/>
      <c r="Q515" s="7"/>
      <c r="R515" s="7"/>
      <c r="S515" s="7"/>
      <c r="T515" s="7"/>
      <c r="U515" s="7"/>
    </row>
    <row r="516" spans="1:21" outlineLevel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outlineLevel="1">
      <c r="A517" s="2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2">
      <c r="A518" s="5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2">
      <c r="A519" s="86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2">
      <c r="A520" s="86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2">
      <c r="A521" s="119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2">
      <c r="A522" s="86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2">
      <c r="A523" s="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2">
      <c r="A524" s="5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2">
      <c r="A525" s="86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2">
      <c r="A526" s="86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86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86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2">
      <c r="A541" s="5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1" collapsed="1">
      <c r="A543" s="5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1">
      <c r="A544" s="5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1">
      <c r="A545" s="5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1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1">
      <c r="A547" s="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1">
      <c r="A548" s="5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1">
      <c r="A549" s="5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outlineLevel="1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outlineLevel="1">
      <c r="A551" s="5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</sheetData>
  <pageMargins left="0.18" right="0.17" top="0.37" bottom="0.4" header="0.17" footer="0.21"/>
  <pageSetup scale="42" orientation="landscape" r:id="rId1"/>
  <headerFooter alignWithMargins="0">
    <oddHeader>&amp;L&amp;12Enron's Generation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V742"/>
  <sheetViews>
    <sheetView zoomScale="75" zoomScaleNormal="75" workbookViewId="0"/>
  </sheetViews>
  <sheetFormatPr defaultRowHeight="12.75" outlineLevelRow="2" outlineLevelCol="1"/>
  <cols>
    <col min="1" max="1" width="40.71093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25" width="9.140625" style="7"/>
    <col min="26" max="26" width="7.85546875" style="7" customWidth="1"/>
    <col min="27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95</v>
      </c>
      <c r="B2" s="391"/>
      <c r="C2" s="391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7" t="s">
        <v>65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66</v>
      </c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58"/>
      <c r="W7" s="58"/>
      <c r="X7" s="58"/>
      <c r="Y7" s="503">
        <f>SUM(Z7:AS7)-SUM(Z8:AS8)</f>
        <v>0</v>
      </c>
      <c r="Z7" s="504">
        <f>B10+B11</f>
        <v>717.94296000000008</v>
      </c>
      <c r="AA7" s="504">
        <f>C10+C11</f>
        <v>739.48124880000012</v>
      </c>
      <c r="AB7" s="504">
        <f>D10+D11</f>
        <v>761.66568626400021</v>
      </c>
      <c r="AC7" s="504">
        <f t="shared" ref="AC7:AS7" si="1">E16</f>
        <v>446.86301385192007</v>
      </c>
      <c r="AD7" s="504">
        <f t="shared" si="1"/>
        <v>460.26890426747764</v>
      </c>
      <c r="AE7" s="504">
        <f t="shared" si="1"/>
        <v>474.07697139550191</v>
      </c>
      <c r="AF7" s="504">
        <f t="shared" si="1"/>
        <v>488.29928053736705</v>
      </c>
      <c r="AG7" s="504">
        <f t="shared" si="1"/>
        <v>502.94825895348799</v>
      </c>
      <c r="AH7" s="504">
        <f t="shared" si="1"/>
        <v>518.03670672209273</v>
      </c>
      <c r="AI7" s="504">
        <f t="shared" si="1"/>
        <v>533.57780792375536</v>
      </c>
      <c r="AJ7" s="504">
        <f t="shared" si="1"/>
        <v>549.58514216146807</v>
      </c>
      <c r="AK7" s="504">
        <f t="shared" si="1"/>
        <v>566.07269642631206</v>
      </c>
      <c r="AL7" s="504">
        <f t="shared" si="1"/>
        <v>583.05487731910137</v>
      </c>
      <c r="AM7" s="504">
        <f t="shared" si="1"/>
        <v>600.54652363867444</v>
      </c>
      <c r="AN7" s="504">
        <f t="shared" si="1"/>
        <v>618.56291934783485</v>
      </c>
      <c r="AO7" s="504">
        <f t="shared" si="1"/>
        <v>637.11980692826978</v>
      </c>
      <c r="AP7" s="504">
        <f t="shared" si="1"/>
        <v>656.23340113611778</v>
      </c>
      <c r="AQ7" s="504">
        <f t="shared" si="1"/>
        <v>675.92040317020133</v>
      </c>
      <c r="AR7" s="504">
        <f t="shared" si="1"/>
        <v>696.19801526530739</v>
      </c>
      <c r="AS7" s="504">
        <f t="shared" si="1"/>
        <v>717.08395572326663</v>
      </c>
    </row>
    <row r="8" spans="1:55">
      <c r="A8" s="364" t="s">
        <v>159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534">
        <v>0</v>
      </c>
      <c r="Z8" s="533">
        <f>B24+B25</f>
        <v>717.94296000000008</v>
      </c>
      <c r="AA8" s="533">
        <f>C24+C25</f>
        <v>739.48124880000012</v>
      </c>
      <c r="AB8" s="533">
        <f>D24+D25</f>
        <v>761.66568626400021</v>
      </c>
      <c r="AC8" s="533">
        <f t="shared" ref="AC8:AS8" si="2">E24+1/3*E25</f>
        <v>446.86301385192007</v>
      </c>
      <c r="AD8" s="533">
        <f t="shared" si="2"/>
        <v>460.26890426747769</v>
      </c>
      <c r="AE8" s="533">
        <f t="shared" si="2"/>
        <v>474.07697139550197</v>
      </c>
      <c r="AF8" s="533">
        <f t="shared" si="2"/>
        <v>488.29928053736711</v>
      </c>
      <c r="AG8" s="533">
        <f t="shared" si="2"/>
        <v>502.94825895348811</v>
      </c>
      <c r="AH8" s="533">
        <f t="shared" si="2"/>
        <v>518.03670672209273</v>
      </c>
      <c r="AI8" s="533">
        <f t="shared" si="2"/>
        <v>533.57780792375547</v>
      </c>
      <c r="AJ8" s="533">
        <f t="shared" si="2"/>
        <v>549.58514216146818</v>
      </c>
      <c r="AK8" s="533">
        <f t="shared" si="2"/>
        <v>566.07269642631218</v>
      </c>
      <c r="AL8" s="533">
        <f t="shared" si="2"/>
        <v>583.05487731910148</v>
      </c>
      <c r="AM8" s="533">
        <f t="shared" si="2"/>
        <v>600.54652363867467</v>
      </c>
      <c r="AN8" s="533">
        <f t="shared" si="2"/>
        <v>618.56291934783496</v>
      </c>
      <c r="AO8" s="533">
        <f t="shared" si="2"/>
        <v>637.1198069282699</v>
      </c>
      <c r="AP8" s="533">
        <f t="shared" si="2"/>
        <v>656.23340113611789</v>
      </c>
      <c r="AQ8" s="533">
        <f t="shared" si="2"/>
        <v>675.92040317020155</v>
      </c>
      <c r="AR8" s="533">
        <f t="shared" si="2"/>
        <v>696.1980152653075</v>
      </c>
      <c r="AS8" s="533">
        <f t="shared" si="2"/>
        <v>717.08395572326685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67</v>
      </c>
      <c r="B9" s="56">
        <f>'Power Price Assumption'!D49*12*Assumptions!$H$9</f>
        <v>22560</v>
      </c>
      <c r="C9" s="56">
        <f>'Power Price Assumption'!E49*12*Assumptions!$H$9</f>
        <v>22560</v>
      </c>
      <c r="D9" s="56">
        <f>'Power Price Assumption'!F49*12*Assumptions!$H$9</f>
        <v>22560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67680</v>
      </c>
      <c r="X9" s="16"/>
      <c r="Y9" s="503"/>
      <c r="Z9" s="535">
        <f>Z7-Z8</f>
        <v>0</v>
      </c>
      <c r="AA9" s="535">
        <f t="shared" ref="AA9:AS9" si="3">AA7-AA8</f>
        <v>0</v>
      </c>
      <c r="AB9" s="535">
        <f t="shared" si="3"/>
        <v>0</v>
      </c>
      <c r="AC9" s="535">
        <f t="shared" si="3"/>
        <v>0</v>
      </c>
      <c r="AD9" s="535">
        <f t="shared" si="3"/>
        <v>0</v>
      </c>
      <c r="AE9" s="535">
        <f t="shared" si="3"/>
        <v>0</v>
      </c>
      <c r="AF9" s="535">
        <f t="shared" si="3"/>
        <v>0</v>
      </c>
      <c r="AG9" s="535">
        <f t="shared" si="3"/>
        <v>0</v>
      </c>
      <c r="AH9" s="535">
        <f t="shared" si="3"/>
        <v>0</v>
      </c>
      <c r="AI9" s="535">
        <f t="shared" si="3"/>
        <v>0</v>
      </c>
      <c r="AJ9" s="535">
        <f t="shared" si="3"/>
        <v>0</v>
      </c>
      <c r="AK9" s="535">
        <f t="shared" si="3"/>
        <v>0</v>
      </c>
      <c r="AL9" s="535">
        <f t="shared" si="3"/>
        <v>0</v>
      </c>
      <c r="AM9" s="535">
        <f t="shared" si="3"/>
        <v>0</v>
      </c>
      <c r="AN9" s="535">
        <f t="shared" si="3"/>
        <v>0</v>
      </c>
      <c r="AO9" s="535">
        <f t="shared" si="3"/>
        <v>0</v>
      </c>
      <c r="AP9" s="535">
        <f t="shared" si="3"/>
        <v>0</v>
      </c>
      <c r="AQ9" s="535">
        <f t="shared" si="3"/>
        <v>0</v>
      </c>
      <c r="AR9" s="535">
        <f t="shared" si="3"/>
        <v>0</v>
      </c>
      <c r="AS9" s="535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242</v>
      </c>
      <c r="B10" s="56">
        <f>Assumptions!H23*Assumptions!H21/1000*(1+Assumptions!$H$33)</f>
        <v>254.44296000000008</v>
      </c>
      <c r="C10" s="56">
        <f>B10*(1+Assumptions!$H$33)</f>
        <v>262.07624880000009</v>
      </c>
      <c r="D10" s="56">
        <f>C10*(1+Assumptions!$H$33)</f>
        <v>269.93853626400011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786.45774506400016</v>
      </c>
      <c r="X10" s="16"/>
      <c r="Y10" s="16"/>
      <c r="Z10" s="16"/>
      <c r="AA10" s="16"/>
      <c r="AB10" s="17"/>
      <c r="AC10" s="17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171</v>
      </c>
      <c r="B11" s="127">
        <f>Assumptions!$H$22*Assumptions!$H$11*Assumptions!$H$8/1000*(1+Assumptions!$H$33)</f>
        <v>463.5</v>
      </c>
      <c r="C11" s="91">
        <f>B11*(1+Assumptions!$H$33)</f>
        <v>477.40500000000003</v>
      </c>
      <c r="D11" s="91">
        <f>C11*(1+Assumptions!$H$33)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280</v>
      </c>
      <c r="B12" s="127">
        <f>'Contract Amortization'!$C$35*0.9/3</f>
        <v>9562.4729172636908</v>
      </c>
      <c r="C12" s="127">
        <f>'Contract Amortization'!$C$35*0.9/3</f>
        <v>9562.4729172636908</v>
      </c>
      <c r="D12" s="127">
        <f>'Contract Amortization'!$C$35*0.9/3</f>
        <v>9562.4729172636908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28687.418751791072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7"/>
      <c r="AC13" s="17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64" t="s">
        <v>183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3"/>
      <c r="S14" s="443"/>
      <c r="T14" s="443"/>
      <c r="U14" s="443"/>
      <c r="W14" s="91"/>
      <c r="X14" s="16"/>
      <c r="Y14" s="16"/>
      <c r="Z14" s="16"/>
      <c r="AA14" s="16"/>
      <c r="AB14" s="17"/>
      <c r="AC14" s="17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67</v>
      </c>
      <c r="B15" s="19">
        <v>0</v>
      </c>
      <c r="C15" s="19">
        <v>0</v>
      </c>
      <c r="D15" s="19">
        <v>0</v>
      </c>
      <c r="E15" s="19">
        <f>'Power Price Assumption'!G49*Assumptions!$H$9*12</f>
        <v>38581.023753148518</v>
      </c>
      <c r="F15" s="19">
        <f>'Power Price Assumption'!H49*Assumptions!$H$9*12</f>
        <v>40210.726030066122</v>
      </c>
      <c r="G15" s="19">
        <f>'Power Price Assumption'!I49*Assumptions!$H$9*12</f>
        <v>41026.882625900711</v>
      </c>
      <c r="H15" s="19">
        <f>'Power Price Assumption'!J49*Assumptions!$H$9*12</f>
        <v>41861.038056793652</v>
      </c>
      <c r="I15" s="19">
        <f>'Power Price Assumption'!K49*Assumptions!$H$9*12</f>
        <v>42711.006451935536</v>
      </c>
      <c r="J15" s="19">
        <f>'Power Price Assumption'!L49*Assumptions!$H$9*12</f>
        <v>43578.450718146996</v>
      </c>
      <c r="K15" s="19">
        <f>'Power Price Assumption'!M49*Assumptions!$H$9*12</f>
        <v>44463.779017184934</v>
      </c>
      <c r="L15" s="19">
        <f>'Power Price Assumption'!N49*Assumptions!$H$9*12</f>
        <v>45191.18796404497</v>
      </c>
      <c r="M15" s="19">
        <f>'Power Price Assumption'!O49*Assumptions!$H$9*12</f>
        <v>45929.786995225448</v>
      </c>
      <c r="N15" s="19">
        <f>'Power Price Assumption'!P49*Assumptions!$H$9*12</f>
        <v>46681.377703608712</v>
      </c>
      <c r="O15" s="19">
        <f>'Power Price Assumption'!Q49*Assumptions!$H$9*12</f>
        <v>47444.750578394734</v>
      </c>
      <c r="P15" s="19">
        <f>'Power Price Assumption'!R49*Assumptions!$H$9*12</f>
        <v>48220.17682389605</v>
      </c>
      <c r="Q15" s="19">
        <f>'Power Price Assumption'!S49*Assumptions!$H$9*12</f>
        <v>48779.814503706948</v>
      </c>
      <c r="R15" s="19">
        <f>'Power Price Assumption'!T49*Assumptions!$H$9*12</f>
        <v>49345.413839642686</v>
      </c>
      <c r="S15" s="19">
        <f>'Power Price Assumption'!U49*Assumptions!$H$9*12</f>
        <v>49917.302303793236</v>
      </c>
      <c r="T15" s="19">
        <f>'Power Price Assumption'!V49*Assumptions!$H$9*12</f>
        <v>50495.835854482546</v>
      </c>
      <c r="U15" s="19">
        <f>'Power Price Assumption'!W49*Assumptions!$H$9*12</f>
        <v>51081.400776819544</v>
      </c>
      <c r="W15" s="91">
        <f t="shared" ref="W15:W20" si="4">SUM(B15:U15)</f>
        <v>775519.9539967915</v>
      </c>
      <c r="X15" s="16"/>
      <c r="Y15" s="16"/>
      <c r="Z15" s="16"/>
      <c r="AA15" s="16"/>
      <c r="AB15" s="17"/>
      <c r="AC15" s="17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68</v>
      </c>
      <c r="B16" s="19">
        <v>0</v>
      </c>
      <c r="C16" s="19">
        <v>0</v>
      </c>
      <c r="D16" s="19">
        <v>0</v>
      </c>
      <c r="E16" s="127">
        <f>1/3*Assumptions!$H$22*Assumptions!$H$11*Assumptions!$H$8/1000*(1+Assumptions!$H$33)^(E5-2000)+Assumptions!$H$23*Assumptions!$H$21*(1+Assumptions!$H$33)^(E5-2000)/1000</f>
        <v>446.86301385192007</v>
      </c>
      <c r="F16" s="127">
        <f>1/3*Assumptions!$H$22*Assumptions!$H$11*Assumptions!$H$8/1000*(1+Assumptions!$H$33)^(F5-2000)+Assumptions!$H$23*Assumptions!$H$21*(1+Assumptions!$H$33)^(F5-2000)/1000</f>
        <v>460.26890426747764</v>
      </c>
      <c r="G16" s="127">
        <f>1/3*Assumptions!$H$22*Assumptions!$H$11*Assumptions!$H$8/1000*(1+Assumptions!$H$33)^(G5-2000)+Assumptions!$H$23*Assumptions!$H$21*(1+Assumptions!$H$33)^(G5-2000)/1000</f>
        <v>474.07697139550191</v>
      </c>
      <c r="H16" s="127">
        <f>1/3*Assumptions!$H$22*Assumptions!$H$11*Assumptions!$H$8/1000*(1+Assumptions!$H$33)^(H5-2000)+Assumptions!$H$23*Assumptions!$H$21*(1+Assumptions!$H$33)^(H5-2000)/1000</f>
        <v>488.29928053736705</v>
      </c>
      <c r="I16" s="127">
        <f>1/3*Assumptions!$H$22*Assumptions!$H$11*Assumptions!$H$8/1000*(1+Assumptions!$H$33)^(I5-2000)+Assumptions!$H$23*Assumptions!$H$21*(1+Assumptions!$H$33)^(I5-2000)/1000</f>
        <v>502.94825895348799</v>
      </c>
      <c r="J16" s="127">
        <f>1/3*Assumptions!$H$22*Assumptions!$H$11*Assumptions!$H$8/1000*(1+Assumptions!$H$33)^(J5-2000)+Assumptions!$H$23*Assumptions!$H$21*(1+Assumptions!$H$33)^(J5-2000)/1000</f>
        <v>518.03670672209273</v>
      </c>
      <c r="K16" s="127">
        <f>1/3*Assumptions!$H$22*Assumptions!$H$11*Assumptions!$H$8/1000*(1+Assumptions!$H$33)^(K5-2000)+Assumptions!$H$23*Assumptions!$H$21*(1+Assumptions!$H$33)^(K5-2000)/1000</f>
        <v>533.57780792375536</v>
      </c>
      <c r="L16" s="127">
        <f>1/3*Assumptions!$H$22*Assumptions!$H$11*Assumptions!$H$8/1000*(1+Assumptions!$H$33)^(L5-2000)+Assumptions!$H$23*Assumptions!$H$21*(1+Assumptions!$H$33)^(L5-2000)/1000</f>
        <v>549.58514216146807</v>
      </c>
      <c r="M16" s="127">
        <f>1/3*Assumptions!$H$22*Assumptions!$H$11*Assumptions!$H$8/1000*(1+Assumptions!$H$33)^(M5-2000)+Assumptions!$H$23*Assumptions!$H$21*(1+Assumptions!$H$33)^(M5-2000)/1000</f>
        <v>566.07269642631206</v>
      </c>
      <c r="N16" s="127">
        <f>1/3*Assumptions!$H$22*Assumptions!$H$11*Assumptions!$H$8/1000*(1+Assumptions!$H$33)^(N5-2000)+Assumptions!$H$23*Assumptions!$H$21*(1+Assumptions!$H$33)^(N5-2000)/1000</f>
        <v>583.05487731910137</v>
      </c>
      <c r="O16" s="127">
        <f>1/3*Assumptions!$H$22*Assumptions!$H$11*Assumptions!$H$8/1000*(1+Assumptions!$H$33)^(O5-2000)+Assumptions!$H$23*Assumptions!$H$21*(1+Assumptions!$H$33)^(O5-2000)/1000</f>
        <v>600.54652363867444</v>
      </c>
      <c r="P16" s="127">
        <f>1/3*Assumptions!$H$22*Assumptions!$H$11*Assumptions!$H$8/1000*(1+Assumptions!$H$33)^(P5-2000)+Assumptions!$H$23*Assumptions!$H$21*(1+Assumptions!$H$33)^(P5-2000)/1000</f>
        <v>618.56291934783485</v>
      </c>
      <c r="Q16" s="127">
        <f>1/3*Assumptions!$H$22*Assumptions!$H$11*Assumptions!$H$8/1000*(1+Assumptions!$H$33)^(Q5-2000)+Assumptions!$H$23*Assumptions!$H$21*(1+Assumptions!$H$33)^(Q5-2000)/1000</f>
        <v>637.11980692826978</v>
      </c>
      <c r="R16" s="127">
        <f>1/3*Assumptions!$H$22*Assumptions!$H$11*Assumptions!$H$8/1000*(1+Assumptions!$H$33)^(R5-2000)+Assumptions!$H$23*Assumptions!$H$21*(1+Assumptions!$H$33)^(R5-2000)/1000</f>
        <v>656.23340113611778</v>
      </c>
      <c r="S16" s="127">
        <f>1/3*Assumptions!$H$22*Assumptions!$H$11*Assumptions!$H$8/1000*(1+Assumptions!$H$33)^(S5-2000)+Assumptions!$H$23*Assumptions!$H$21*(1+Assumptions!$H$33)^(S5-2000)/1000</f>
        <v>675.92040317020133</v>
      </c>
      <c r="T16" s="127">
        <f>1/3*Assumptions!$H$22*Assumptions!$H$11*Assumptions!$H$8/1000*(1+Assumptions!$H$33)^(T5-2000)+Assumptions!$H$23*Assumptions!$H$21*(1+Assumptions!$H$33)^(T5-2000)/1000</f>
        <v>696.19801526530739</v>
      </c>
      <c r="U16" s="127">
        <f>1/3*Assumptions!$H$22*Assumptions!$H$11*Assumptions!$H$8/1000*(1+Assumptions!$H$33)^(U5-2000)+Assumptions!$H$23*Assumptions!$H$21*(1+Assumptions!$H$33)^(U5-2000)/1000</f>
        <v>717.08395572326663</v>
      </c>
      <c r="W16" s="91">
        <f t="shared" si="4"/>
        <v>9724.4486847681565</v>
      </c>
      <c r="X16" s="16"/>
      <c r="Y16" s="16"/>
      <c r="Z16" s="16"/>
      <c r="AA16" s="16"/>
      <c r="AB16" s="17"/>
      <c r="AC16" s="17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 t="s">
        <v>69</v>
      </c>
      <c r="B17" s="19">
        <v>0</v>
      </c>
      <c r="C17" s="19">
        <v>0</v>
      </c>
      <c r="D17" s="19">
        <v>0</v>
      </c>
      <c r="E17" s="56">
        <f>Assumptions!$H$27*Assumptions!$H$23/1000</f>
        <v>82.344000000000008</v>
      </c>
      <c r="F17" s="56">
        <f>Assumptions!$H$27*Assumptions!$H$23/1000</f>
        <v>82.344000000000008</v>
      </c>
      <c r="G17" s="56">
        <f>Assumptions!$H$27*Assumptions!$H$23/1000</f>
        <v>82.344000000000008</v>
      </c>
      <c r="H17" s="56">
        <f>Assumptions!$H$27*Assumptions!$H$23/1000</f>
        <v>82.344000000000008</v>
      </c>
      <c r="I17" s="56">
        <f>Assumptions!$H$27*Assumptions!$H$23/1000</f>
        <v>82.344000000000008</v>
      </c>
      <c r="J17" s="56">
        <f>Assumptions!$H$27*Assumptions!$H$23/1000</f>
        <v>82.344000000000008</v>
      </c>
      <c r="K17" s="56">
        <f>Assumptions!$H$27*Assumptions!$H$23/1000</f>
        <v>82.344000000000008</v>
      </c>
      <c r="L17" s="56">
        <f>Assumptions!$H$27*Assumptions!$H$23/1000</f>
        <v>82.344000000000008</v>
      </c>
      <c r="M17" s="56">
        <f>Assumptions!$H$27*Assumptions!$H$23/1000</f>
        <v>82.344000000000008</v>
      </c>
      <c r="N17" s="56">
        <f>Assumptions!$H$27*Assumptions!$H$23/1000</f>
        <v>82.344000000000008</v>
      </c>
      <c r="O17" s="56">
        <f>Assumptions!$H$27*Assumptions!$H$23/1000</f>
        <v>82.344000000000008</v>
      </c>
      <c r="P17" s="56">
        <f>Assumptions!$H$27*Assumptions!$H$23/1000</f>
        <v>82.344000000000008</v>
      </c>
      <c r="Q17" s="56">
        <f>Assumptions!$H$27*Assumptions!$H$23/1000</f>
        <v>82.344000000000008</v>
      </c>
      <c r="R17" s="56">
        <f>Assumptions!$H$27*Assumptions!$H$23/1000</f>
        <v>82.344000000000008</v>
      </c>
      <c r="S17" s="56">
        <f>Assumptions!$H$27*Assumptions!$H$23/1000</f>
        <v>82.344000000000008</v>
      </c>
      <c r="T17" s="56">
        <f>Assumptions!$H$27*Assumptions!$H$23/1000</f>
        <v>82.344000000000008</v>
      </c>
      <c r="U17" s="56">
        <f>Assumptions!$H$27*Assumptions!$H$23/1000</f>
        <v>82.344000000000008</v>
      </c>
      <c r="W17" s="91">
        <f t="shared" si="4"/>
        <v>1399.8480000000004</v>
      </c>
      <c r="X17" s="16"/>
      <c r="Y17" s="16"/>
      <c r="Z17" s="16"/>
      <c r="AA17" s="16"/>
      <c r="AB17" s="17"/>
      <c r="AC17" s="17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/>
      <c r="W18" s="91">
        <f t="shared" si="4"/>
        <v>0</v>
      </c>
      <c r="X18" s="16"/>
      <c r="Y18" s="16"/>
      <c r="Z18" s="16"/>
      <c r="AA18" s="16"/>
      <c r="AB18" s="17"/>
      <c r="AC18" s="17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194</v>
      </c>
      <c r="B19" s="201">
        <f>(SUM(B9:B11)-SUM(B23:B29))*'Summary Output'!$B$31/4</f>
        <v>254.12671753571431</v>
      </c>
      <c r="C19" s="201">
        <f>(SUM(C9:C11)-SUM(C23:C29))*'Summary Output'!$B$31/4</f>
        <v>251.81568156178571</v>
      </c>
      <c r="D19" s="201">
        <f>(SUM(D9:D11)-SUM(D23:D29))*'Summary Output'!$B$31/4</f>
        <v>249.71869713363927</v>
      </c>
      <c r="E19" s="201">
        <f>(SUM(E9:E17)-SUM(E23:E29))*'Summary Output'!$B$31/4</f>
        <v>444.9137380495049</v>
      </c>
      <c r="F19" s="201">
        <f>(SUM(F9:F17)-SUM(F23:F29))*'Summary Output'!$B$31/4</f>
        <v>463.61633512002936</v>
      </c>
      <c r="G19" s="201">
        <f>(SUM(G9:G17)-SUM(G23:G29))*'Summary Output'!$B$31/4</f>
        <v>471.21665048528786</v>
      </c>
      <c r="H19" s="201">
        <f>(SUM(H9:H17)-SUM(H23:H29))*'Summary Output'!$B$31/4</f>
        <v>478.38485427629553</v>
      </c>
      <c r="I19" s="201">
        <f>(SUM(I9:I17)-SUM(I23:I29))*'Summary Output'!$B$31/4</f>
        <v>486.4704711975603</v>
      </c>
      <c r="J19" s="201">
        <f>(SUM(J9:J17)-SUM(J23:J29))*'Summary Output'!$B$31/4</f>
        <v>495.99174424165449</v>
      </c>
      <c r="K19" s="201">
        <f>(SUM(K9:K17)-SUM(K23:K29))*'Summary Output'!$B$31/4</f>
        <v>506.67781478757325</v>
      </c>
      <c r="L19" s="201">
        <f>(SUM(L9:L17)-SUM(L23:L29))*'Summary Output'!$B$31/4</f>
        <v>512.58974918550655</v>
      </c>
      <c r="M19" s="201">
        <f>(SUM(M9:M17)-SUM(M23:M29))*'Summary Output'!$B$31/4</f>
        <v>520.54314243931083</v>
      </c>
      <c r="N19" s="201">
        <f>(SUM(N9:N17)-SUM(N23:N29))*'Summary Output'!$B$31/4</f>
        <v>528.62013394407154</v>
      </c>
      <c r="O19" s="201">
        <f>(SUM(O9:O17)-SUM(O23:O29))*'Summary Output'!$B$31/4</f>
        <v>536.80486575836562</v>
      </c>
      <c r="P19" s="201">
        <f>(SUM(P9:P17)-SUM(P23:P29))*'Summary Output'!$B$31/4</f>
        <v>545.0995418329851</v>
      </c>
      <c r="Q19" s="201">
        <f>(SUM(Q9:Q17)-SUM(Q23:Q29))*'Summary Output'!$B$31/4</f>
        <v>550.65491627664971</v>
      </c>
      <c r="R19" s="201">
        <f>(SUM(R9:R17)-SUM(R23:R29))*'Summary Output'!$B$31/4</f>
        <v>556.24160852525586</v>
      </c>
      <c r="S19" s="201">
        <f>(SUM(S9:S17)-SUM(S23:S29))*'Summary Output'!$B$31/4</f>
        <v>561.86241589302949</v>
      </c>
      <c r="T19" s="201">
        <f>(SUM(T9:T17)-SUM(T23:T29))*'Summary Output'!$B$31/4</f>
        <v>567.5204528895141</v>
      </c>
      <c r="U19" s="201">
        <f>(SUM(U9:U17)-SUM(U23:U29))*'Summary Output'!$B$31/4</f>
        <v>573.21917305998113</v>
      </c>
      <c r="W19" s="91">
        <f t="shared" si="4"/>
        <v>9556.0887041937131</v>
      </c>
      <c r="X19" s="16"/>
      <c r="Y19" s="16"/>
      <c r="Z19" s="16"/>
      <c r="AA19" s="16"/>
      <c r="AB19" s="17"/>
      <c r="AC19" s="17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3" t="s">
        <v>70</v>
      </c>
      <c r="B20" s="56">
        <f>SUM(B9:B19)</f>
        <v>33094.542594799401</v>
      </c>
      <c r="C20" s="56">
        <f t="shared" ref="C20:U20" si="5">SUM(C9:C19)</f>
        <v>33113.769847625474</v>
      </c>
      <c r="D20" s="56">
        <f t="shared" si="5"/>
        <v>33133.85730066133</v>
      </c>
      <c r="E20" s="56">
        <f t="shared" si="5"/>
        <v>39555.144505049946</v>
      </c>
      <c r="F20" s="56">
        <f t="shared" si="5"/>
        <v>41216.955269453625</v>
      </c>
      <c r="G20" s="56">
        <f t="shared" si="5"/>
        <v>42054.520247781496</v>
      </c>
      <c r="H20" s="56">
        <f t="shared" si="5"/>
        <v>42910.066191607308</v>
      </c>
      <c r="I20" s="56">
        <f t="shared" si="5"/>
        <v>43782.76918208658</v>
      </c>
      <c r="J20" s="56">
        <f t="shared" si="5"/>
        <v>44674.823169110743</v>
      </c>
      <c r="K20" s="56">
        <f t="shared" si="5"/>
        <v>45586.378639896262</v>
      </c>
      <c r="L20" s="56">
        <f t="shared" si="5"/>
        <v>46335.706855391945</v>
      </c>
      <c r="M20" s="56">
        <f t="shared" si="5"/>
        <v>47098.746834091064</v>
      </c>
      <c r="N20" s="56">
        <f t="shared" si="5"/>
        <v>47875.396714871888</v>
      </c>
      <c r="O20" s="56">
        <f t="shared" si="5"/>
        <v>48664.445967791769</v>
      </c>
      <c r="P20" s="56">
        <f t="shared" si="5"/>
        <v>49466.18328507687</v>
      </c>
      <c r="Q20" s="56">
        <f t="shared" si="5"/>
        <v>50049.933226911868</v>
      </c>
      <c r="R20" s="56">
        <f t="shared" si="5"/>
        <v>50640.232849304055</v>
      </c>
      <c r="S20" s="56">
        <f t="shared" si="5"/>
        <v>51237.429122856469</v>
      </c>
      <c r="T20" s="56">
        <f t="shared" si="5"/>
        <v>51841.89832263736</v>
      </c>
      <c r="U20" s="56">
        <f t="shared" si="5"/>
        <v>52454.047905602791</v>
      </c>
      <c r="W20" s="91">
        <f t="shared" si="4"/>
        <v>894786.84803260828</v>
      </c>
      <c r="X20" s="16"/>
      <c r="Y20" s="16"/>
      <c r="Z20" s="16"/>
      <c r="AA20" s="16"/>
      <c r="AB20" s="17"/>
      <c r="AC20" s="17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s="62" customFormat="1" ht="12" customHeight="1">
      <c r="A21" s="4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1" t="s">
        <v>71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W22" s="91"/>
    </row>
    <row r="23" spans="1:55">
      <c r="A23" s="3" t="s">
        <v>55</v>
      </c>
      <c r="B23" s="127">
        <f>Assumptions!H36*(1+Assumptions!$H$33)</f>
        <v>1561.2639942857145</v>
      </c>
      <c r="C23" s="91">
        <f>B23*(1+Assumptions!$H$33)</f>
        <v>1608.101914114286</v>
      </c>
      <c r="D23" s="91">
        <f>C23*(1+Assumptions!$H$33)</f>
        <v>1656.3449715377146</v>
      </c>
      <c r="E23" s="91">
        <f>D23*(1+Assumptions!$H$33)</f>
        <v>1706.0353206838461</v>
      </c>
      <c r="F23" s="91">
        <f>E23*(1+Assumptions!$H$33)</f>
        <v>1757.2163803043616</v>
      </c>
      <c r="G23" s="91">
        <f>F23*(1+Assumptions!$H$33)</f>
        <v>1809.9328717134924</v>
      </c>
      <c r="H23" s="91">
        <f>G23*(1+Assumptions!$H$33)</f>
        <v>1864.2308578648972</v>
      </c>
      <c r="I23" s="91">
        <f>H23*(1+Assumptions!$H$33)</f>
        <v>1920.1577836008441</v>
      </c>
      <c r="J23" s="91">
        <f>I23*(1+Assumptions!$H$33)</f>
        <v>1977.7625171088696</v>
      </c>
      <c r="K23" s="91">
        <f>J23*(1+Assumptions!$H$33)</f>
        <v>2037.0953926221357</v>
      </c>
      <c r="L23" s="91">
        <f>K23*(1+Assumptions!$H$33)</f>
        <v>2098.2082544007999</v>
      </c>
      <c r="M23" s="91">
        <f>L23*(1+Assumptions!$H$33)</f>
        <v>2161.154502032824</v>
      </c>
      <c r="N23" s="91">
        <f>M23*(1+Assumptions!$H$33)</f>
        <v>2225.9891370938089</v>
      </c>
      <c r="O23" s="91">
        <f>N23*(1+Assumptions!$H$33)</f>
        <v>2292.7688112066235</v>
      </c>
      <c r="P23" s="91">
        <f>O23*(1+Assumptions!$H$33)</f>
        <v>2361.551875542822</v>
      </c>
      <c r="Q23" s="91">
        <f>P23*(1+Assumptions!$H$33)</f>
        <v>2432.3984318091066</v>
      </c>
      <c r="R23" s="91">
        <f>Q23*(1+Assumptions!$H$33)</f>
        <v>2505.3703847633797</v>
      </c>
      <c r="S23" s="91">
        <f>R23*(1+Assumptions!$H$33)</f>
        <v>2580.531496306281</v>
      </c>
      <c r="T23" s="91">
        <f>S23*(1+Assumptions!$H$33)</f>
        <v>2657.9474411954698</v>
      </c>
      <c r="U23" s="91">
        <f>T23*(1+Assumptions!$H$33)</f>
        <v>2737.6858644313338</v>
      </c>
      <c r="W23" s="91">
        <f t="shared" ref="W23:W30" si="6">SUM(B23:U23)</f>
        <v>41951.748202618604</v>
      </c>
    </row>
    <row r="24" spans="1:55">
      <c r="A24" s="3" t="s">
        <v>56</v>
      </c>
      <c r="B24" s="127">
        <f>Assumptions!$H$37*(1+Assumptions!$H$33)</f>
        <v>254.44296000000008</v>
      </c>
      <c r="C24" s="56">
        <f>B24*(1+Assumptions!$H$33)</f>
        <v>262.07624880000009</v>
      </c>
      <c r="D24" s="56">
        <f>C24*(1+Assumptions!$H$33)</f>
        <v>269.93853626400011</v>
      </c>
      <c r="E24" s="127">
        <f>Assumptions!$H$23*Assumptions!$H$31*(1+Assumptions!$H$33)^(E5-2000)/1000</f>
        <v>278.03669235192007</v>
      </c>
      <c r="F24" s="127">
        <f>Assumptions!$H$23*Assumptions!$H$31*(1+Assumptions!$H$33)^(F5-2000)/1000</f>
        <v>286.37779312247767</v>
      </c>
      <c r="G24" s="127">
        <f>Assumptions!$H$23*Assumptions!$H$31*(1+Assumptions!$H$33)^(G5-2000)/1000</f>
        <v>294.96912691615194</v>
      </c>
      <c r="H24" s="127">
        <f>Assumptions!$H$23*Assumptions!$H$31*(1+Assumptions!$H$33)^(H5-2000)/1000</f>
        <v>303.81820072363655</v>
      </c>
      <c r="I24" s="127">
        <f>Assumptions!$H$23*Assumptions!$H$31*(1+Assumptions!$H$33)^(I5-2000)/1000</f>
        <v>312.93274674534558</v>
      </c>
      <c r="J24" s="127">
        <f>Assumptions!$H$23*Assumptions!$H$31*(1+Assumptions!$H$33)^(J5-2000)/1000</f>
        <v>322.320729147706</v>
      </c>
      <c r="K24" s="127">
        <f>Assumptions!$H$23*Assumptions!$H$31*(1+Assumptions!$H$33)^(K5-2000)/1000</f>
        <v>331.99035102213713</v>
      </c>
      <c r="L24" s="127">
        <f>Assumptions!$H$23*Assumptions!$H$31*(1+Assumptions!$H$33)^(L5-2000)/1000</f>
        <v>341.95006155280129</v>
      </c>
      <c r="M24" s="127">
        <f>Assumptions!$H$23*Assumptions!$H$31*(1+Assumptions!$H$33)^(M5-2000)/1000</f>
        <v>352.2085633993853</v>
      </c>
      <c r="N24" s="127">
        <f>Assumptions!$H$23*Assumptions!$H$31*(1+Assumptions!$H$33)^(N5-2000)/1000</f>
        <v>362.77482030136679</v>
      </c>
      <c r="O24" s="127">
        <f>Assumptions!$H$23*Assumptions!$H$31*(1+Assumptions!$H$33)^(O5-2000)/1000</f>
        <v>373.65806491040786</v>
      </c>
      <c r="P24" s="127">
        <f>Assumptions!$H$23*Assumptions!$H$31*(1+Assumptions!$H$33)^(P5-2000)/1000</f>
        <v>384.86780685772015</v>
      </c>
      <c r="Q24" s="127">
        <f>Assumptions!$H$23*Assumptions!$H$31*(1+Assumptions!$H$33)^(Q5-2000)/1000</f>
        <v>396.41384106345168</v>
      </c>
      <c r="R24" s="127">
        <f>Assumptions!$H$23*Assumptions!$H$31*(1+Assumptions!$H$33)^(R5-2000)/1000</f>
        <v>408.30625629535518</v>
      </c>
      <c r="S24" s="127">
        <f>Assumptions!$H$23*Assumptions!$H$31*(1+Assumptions!$H$33)^(S5-2000)/1000</f>
        <v>420.55544398421586</v>
      </c>
      <c r="T24" s="127">
        <f>Assumptions!$H$23*Assumptions!$H$31*(1+Assumptions!$H$33)^(T5-2000)/1000</f>
        <v>433.17210730374234</v>
      </c>
      <c r="U24" s="127">
        <f>Assumptions!$H$23*Assumptions!$H$31*(1+Assumptions!$H$33)^(U5-2000)/1000</f>
        <v>446.16727052285461</v>
      </c>
      <c r="W24" s="91">
        <f t="shared" si="6"/>
        <v>6836.9776212846764</v>
      </c>
    </row>
    <row r="25" spans="1:55">
      <c r="A25" s="3" t="s">
        <v>57</v>
      </c>
      <c r="B25" s="127">
        <f>Assumptions!$H$32*Assumptions!$H$11*Assumptions!$H$8/1000*(1+Assumptions!$H$33)</f>
        <v>463.5</v>
      </c>
      <c r="C25" s="91">
        <f>B25*(1+Assumptions!$H$33)</f>
        <v>477.40500000000003</v>
      </c>
      <c r="D25" s="91">
        <f>C25*(1+Assumptions!$H$33)</f>
        <v>491.72715000000005</v>
      </c>
      <c r="E25" s="91">
        <f>D25*(1+Assumptions!$H$33)</f>
        <v>506.47896450000007</v>
      </c>
      <c r="F25" s="91">
        <f>E25*(1+Assumptions!$H$33)</f>
        <v>521.67333343500013</v>
      </c>
      <c r="G25" s="91">
        <f>F25*(1+Assumptions!$H$33)</f>
        <v>537.32353343805016</v>
      </c>
      <c r="H25" s="91">
        <f>G25*(1+Assumptions!$H$33)</f>
        <v>553.44323944119174</v>
      </c>
      <c r="I25" s="91">
        <f>H25*(1+Assumptions!$H$33)</f>
        <v>570.04653662442752</v>
      </c>
      <c r="J25" s="91">
        <f>I25*(1+Assumptions!$H$33)</f>
        <v>587.14793272316035</v>
      </c>
      <c r="K25" s="91">
        <f>J25*(1+Assumptions!$H$33)</f>
        <v>604.76237070485513</v>
      </c>
      <c r="L25" s="91">
        <f>K25*(1+Assumptions!$H$33)</f>
        <v>622.90524182600075</v>
      </c>
      <c r="M25" s="91">
        <f>L25*(1+Assumptions!$H$33)</f>
        <v>641.59239908078075</v>
      </c>
      <c r="N25" s="91">
        <f>M25*(1+Assumptions!$H$33)</f>
        <v>660.84017105320424</v>
      </c>
      <c r="O25" s="91">
        <f>N25*(1+Assumptions!$H$33)</f>
        <v>680.66537618480038</v>
      </c>
      <c r="P25" s="91">
        <f>O25*(1+Assumptions!$H$33)</f>
        <v>701.08533747034437</v>
      </c>
      <c r="Q25" s="91">
        <f>P25*(1+Assumptions!$H$33)</f>
        <v>722.11789759445469</v>
      </c>
      <c r="R25" s="91">
        <f>Q25*(1+Assumptions!$H$33)</f>
        <v>743.78143452228835</v>
      </c>
      <c r="S25" s="91">
        <f>R25*(1+Assumptions!$H$33)</f>
        <v>766.09487755795703</v>
      </c>
      <c r="T25" s="91">
        <f>S25*(1+Assumptions!$H$33)</f>
        <v>789.07772388469573</v>
      </c>
      <c r="U25" s="91">
        <f>T25*(1+Assumptions!$H$33)</f>
        <v>812.75005560123657</v>
      </c>
      <c r="W25" s="91">
        <f t="shared" si="6"/>
        <v>12454.418575642445</v>
      </c>
    </row>
    <row r="26" spans="1:55">
      <c r="A26" s="3" t="s">
        <v>124</v>
      </c>
      <c r="B26" s="127">
        <f>Assumptions!H39*(1+Assumptions!$H$33)</f>
        <v>353.14285714285717</v>
      </c>
      <c r="C26" s="91">
        <f>B26*(1+Assumptions!$H$33)</f>
        <v>363.73714285714289</v>
      </c>
      <c r="D26" s="91">
        <f>C26*(1+Assumptions!$H$33)</f>
        <v>374.64925714285721</v>
      </c>
      <c r="E26" s="91">
        <f>D26*(1+Assumptions!$H$33)</f>
        <v>385.88873485714294</v>
      </c>
      <c r="F26" s="91">
        <f>E26*(1+Assumptions!$H$33)</f>
        <v>397.46539690285721</v>
      </c>
      <c r="G26" s="91">
        <f>F26*(1+Assumptions!$H$33)</f>
        <v>409.38935880994296</v>
      </c>
      <c r="H26" s="91">
        <f>G26*(1+Assumptions!$H$33)</f>
        <v>421.67103957424126</v>
      </c>
      <c r="I26" s="91">
        <f>H26*(1+Assumptions!$H$33)</f>
        <v>434.32117076146852</v>
      </c>
      <c r="J26" s="91">
        <f>I26*(1+Assumptions!$H$33)</f>
        <v>447.35080588431259</v>
      </c>
      <c r="K26" s="91">
        <f>J26*(1+Assumptions!$H$33)</f>
        <v>460.77133006084199</v>
      </c>
      <c r="L26" s="91">
        <f>K26*(1+Assumptions!$H$33)</f>
        <v>474.59446996266729</v>
      </c>
      <c r="M26" s="91">
        <f>L26*(1+Assumptions!$H$33)</f>
        <v>488.83230406154735</v>
      </c>
      <c r="N26" s="91">
        <f>M26*(1+Assumptions!$H$33)</f>
        <v>503.49727318339376</v>
      </c>
      <c r="O26" s="91">
        <f>N26*(1+Assumptions!$H$33)</f>
        <v>518.60219137889555</v>
      </c>
      <c r="P26" s="91">
        <f>O26*(1+Assumptions!$H$33)</f>
        <v>534.16025712026249</v>
      </c>
      <c r="Q26" s="91">
        <f>P26*(1+Assumptions!$H$33)</f>
        <v>550.18506483387034</v>
      </c>
      <c r="R26" s="91">
        <f>Q26*(1+Assumptions!$H$33)</f>
        <v>566.69061677888646</v>
      </c>
      <c r="S26" s="91">
        <f>R26*(1+Assumptions!$H$33)</f>
        <v>583.69133528225302</v>
      </c>
      <c r="T26" s="91">
        <f>S26*(1+Assumptions!$H$33)</f>
        <v>601.20207534072063</v>
      </c>
      <c r="U26" s="91">
        <f>T26*(1+Assumptions!$H$33)</f>
        <v>619.23813760094231</v>
      </c>
      <c r="W26" s="91">
        <f t="shared" si="6"/>
        <v>9489.0808195371064</v>
      </c>
    </row>
    <row r="27" spans="1:55">
      <c r="A27" s="3" t="s">
        <v>125</v>
      </c>
      <c r="B27" s="127">
        <f>Assumptions!H40*(1+Assumptions!$H$33)</f>
        <v>315.45574571428568</v>
      </c>
      <c r="C27" s="91">
        <f>B27*(1+Assumptions!$H$33)</f>
        <v>324.91941808571426</v>
      </c>
      <c r="D27" s="91">
        <f>C27*(1+Assumptions!$H$33)</f>
        <v>334.66700062828568</v>
      </c>
      <c r="E27" s="91">
        <f>D27*(1+Assumptions!$H$33)</f>
        <v>344.70701064713427</v>
      </c>
      <c r="F27" s="91">
        <f>E27*(1+Assumptions!$H$33)</f>
        <v>355.04822096654829</v>
      </c>
      <c r="G27" s="91">
        <f>F27*(1+Assumptions!$H$33)</f>
        <v>365.69966759554472</v>
      </c>
      <c r="H27" s="91">
        <f>G27*(1+Assumptions!$H$33)</f>
        <v>376.6706576234111</v>
      </c>
      <c r="I27" s="91">
        <f>H27*(1+Assumptions!$H$33)</f>
        <v>387.97077735211343</v>
      </c>
      <c r="J27" s="91">
        <f>I27*(1+Assumptions!$H$33)</f>
        <v>399.60990067267682</v>
      </c>
      <c r="K27" s="91">
        <f>J27*(1+Assumptions!$H$33)</f>
        <v>411.59819769285713</v>
      </c>
      <c r="L27" s="91">
        <f>K27*(1+Assumptions!$H$33)</f>
        <v>423.94614362364285</v>
      </c>
      <c r="M27" s="91">
        <f>L27*(1+Assumptions!$H$33)</f>
        <v>436.66452793235214</v>
      </c>
      <c r="N27" s="91">
        <f>M27*(1+Assumptions!$H$33)</f>
        <v>449.76446377032272</v>
      </c>
      <c r="O27" s="91">
        <f>N27*(1+Assumptions!$H$33)</f>
        <v>463.25739768343243</v>
      </c>
      <c r="P27" s="91">
        <f>O27*(1+Assumptions!$H$33)</f>
        <v>477.15511961393543</v>
      </c>
      <c r="Q27" s="91">
        <f>P27*(1+Assumptions!$H$33)</f>
        <v>491.46977320235351</v>
      </c>
      <c r="R27" s="91">
        <f>Q27*(1+Assumptions!$H$33)</f>
        <v>506.2138663984241</v>
      </c>
      <c r="S27" s="91">
        <f>R27*(1+Assumptions!$H$33)</f>
        <v>521.40028239037679</v>
      </c>
      <c r="T27" s="91">
        <f>S27*(1+Assumptions!$H$33)</f>
        <v>537.04229086208807</v>
      </c>
      <c r="U27" s="91">
        <f>T27*(1+Assumptions!$H$33)</f>
        <v>553.15355958795067</v>
      </c>
      <c r="W27" s="91">
        <f t="shared" si="6"/>
        <v>8476.4140220434492</v>
      </c>
    </row>
    <row r="28" spans="1:55">
      <c r="A28" s="3" t="s">
        <v>224</v>
      </c>
      <c r="B28" s="486">
        <v>0</v>
      </c>
      <c r="C28" s="486">
        <v>117.98699999999999</v>
      </c>
      <c r="D28" s="486">
        <v>216.84299999999999</v>
      </c>
      <c r="E28" s="486">
        <v>295.98500000000001</v>
      </c>
      <c r="F28" s="486">
        <v>346.25099999999998</v>
      </c>
      <c r="G28" s="486">
        <v>468.65699999999998</v>
      </c>
      <c r="H28" s="486">
        <v>641.05899999999997</v>
      </c>
      <c r="I28" s="486">
        <v>753.23199999999997</v>
      </c>
      <c r="J28" s="486">
        <v>765.3</v>
      </c>
      <c r="K28" s="486">
        <v>699.25800000000004</v>
      </c>
      <c r="L28" s="486">
        <v>854.33299999999997</v>
      </c>
      <c r="M28" s="486">
        <v>854.3</v>
      </c>
      <c r="N28" s="486">
        <v>854.3</v>
      </c>
      <c r="O28" s="486">
        <v>854.3</v>
      </c>
      <c r="P28" s="486">
        <v>854.3</v>
      </c>
      <c r="Q28" s="486">
        <v>854.3</v>
      </c>
      <c r="R28" s="486">
        <v>854.3</v>
      </c>
      <c r="S28" s="486">
        <v>854.3</v>
      </c>
      <c r="T28" s="486">
        <v>854.3</v>
      </c>
      <c r="U28" s="486">
        <v>854.3</v>
      </c>
      <c r="W28" s="91">
        <f t="shared" si="6"/>
        <v>12847.604999999996</v>
      </c>
    </row>
    <row r="29" spans="1:55" s="16" customFormat="1">
      <c r="A29" s="3" t="s">
        <v>219</v>
      </c>
      <c r="B29" s="146">
        <v>0</v>
      </c>
      <c r="C29" s="146">
        <v>0</v>
      </c>
      <c r="D29" s="146">
        <v>0</v>
      </c>
      <c r="E29" s="146">
        <v>0</v>
      </c>
      <c r="F29" s="146">
        <v>0</v>
      </c>
      <c r="G29" s="146">
        <v>0</v>
      </c>
      <c r="H29" s="146">
        <v>0</v>
      </c>
      <c r="I29" s="146">
        <v>0</v>
      </c>
      <c r="J29" s="146">
        <v>0</v>
      </c>
      <c r="K29" s="146">
        <v>0</v>
      </c>
      <c r="L29" s="146">
        <v>0</v>
      </c>
      <c r="M29" s="146">
        <v>0</v>
      </c>
      <c r="N29" s="146">
        <v>0</v>
      </c>
      <c r="O29" s="146">
        <v>0</v>
      </c>
      <c r="P29" s="146">
        <v>0</v>
      </c>
      <c r="Q29" s="146">
        <v>0</v>
      </c>
      <c r="R29" s="146">
        <v>0</v>
      </c>
      <c r="S29" s="146">
        <v>0</v>
      </c>
      <c r="T29" s="146">
        <v>0</v>
      </c>
      <c r="U29" s="146">
        <v>0</v>
      </c>
      <c r="V29" s="91"/>
      <c r="W29" s="91">
        <f t="shared" si="6"/>
        <v>0</v>
      </c>
      <c r="AB29" s="17"/>
      <c r="AC29" s="17"/>
    </row>
    <row r="30" spans="1:55" ht="12" customHeight="1">
      <c r="A30" s="3" t="s">
        <v>72</v>
      </c>
      <c r="B30" s="127">
        <f t="shared" ref="B30:U30" si="7">SUM(B23:B29)</f>
        <v>2947.8055571428572</v>
      </c>
      <c r="C30" s="127">
        <f t="shared" si="7"/>
        <v>3154.2267238571435</v>
      </c>
      <c r="D30" s="127">
        <f t="shared" si="7"/>
        <v>3344.1699155728575</v>
      </c>
      <c r="E30" s="127">
        <f t="shared" si="7"/>
        <v>3517.1317230400432</v>
      </c>
      <c r="F30" s="127">
        <f t="shared" si="7"/>
        <v>3664.0321247312449</v>
      </c>
      <c r="G30" s="127">
        <f t="shared" si="7"/>
        <v>3885.9715584731825</v>
      </c>
      <c r="H30" s="127">
        <f t="shared" si="7"/>
        <v>4160.8929952273775</v>
      </c>
      <c r="I30" s="127">
        <f t="shared" si="7"/>
        <v>4378.6610150841989</v>
      </c>
      <c r="J30" s="127">
        <f t="shared" si="7"/>
        <v>4499.491885536725</v>
      </c>
      <c r="K30" s="127">
        <f t="shared" si="7"/>
        <v>4545.4756421028269</v>
      </c>
      <c r="L30" s="127">
        <f t="shared" si="7"/>
        <v>4815.937171365912</v>
      </c>
      <c r="M30" s="127">
        <f t="shared" si="7"/>
        <v>4934.7522965068893</v>
      </c>
      <c r="N30" s="127">
        <f t="shared" si="7"/>
        <v>5057.1658654020966</v>
      </c>
      <c r="O30" s="127">
        <f t="shared" si="7"/>
        <v>5183.2518413641601</v>
      </c>
      <c r="P30" s="127">
        <f t="shared" si="7"/>
        <v>5313.1203966050844</v>
      </c>
      <c r="Q30" s="127">
        <f t="shared" si="7"/>
        <v>5446.8850085032373</v>
      </c>
      <c r="R30" s="127">
        <f t="shared" si="7"/>
        <v>5584.6625587583339</v>
      </c>
      <c r="S30" s="127">
        <f t="shared" si="7"/>
        <v>5726.5734355210834</v>
      </c>
      <c r="T30" s="127">
        <f t="shared" si="7"/>
        <v>5872.7416385867173</v>
      </c>
      <c r="U30" s="127">
        <f t="shared" si="7"/>
        <v>6023.2948877443177</v>
      </c>
      <c r="W30" s="91">
        <f t="shared" si="6"/>
        <v>92056.244241126275</v>
      </c>
    </row>
    <row r="31" spans="1:55" s="62" customFormat="1" outlineLevel="1">
      <c r="A31" s="5"/>
      <c r="B31" s="143"/>
      <c r="C31" s="13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W31" s="91"/>
    </row>
    <row r="32" spans="1:55" s="62" customFormat="1" ht="6.75" customHeight="1">
      <c r="A32" s="5"/>
      <c r="B32" s="130"/>
      <c r="C32" s="131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W32" s="91"/>
    </row>
    <row r="33" spans="1:23" s="57" customFormat="1">
      <c r="A33" s="1" t="s">
        <v>73</v>
      </c>
      <c r="B33" s="120">
        <f t="shared" ref="B33:U33" si="8">B20-B30</f>
        <v>30146.737037656545</v>
      </c>
      <c r="C33" s="120">
        <f t="shared" si="8"/>
        <v>29959.54312376833</v>
      </c>
      <c r="D33" s="120">
        <f t="shared" si="8"/>
        <v>29789.687385088473</v>
      </c>
      <c r="E33" s="120">
        <f t="shared" si="8"/>
        <v>36038.012782009901</v>
      </c>
      <c r="F33" s="120">
        <f t="shared" si="8"/>
        <v>37552.923144722379</v>
      </c>
      <c r="G33" s="120">
        <f t="shared" si="8"/>
        <v>38168.548689308314</v>
      </c>
      <c r="H33" s="120">
        <f t="shared" si="8"/>
        <v>38749.173196379932</v>
      </c>
      <c r="I33" s="120">
        <f t="shared" si="8"/>
        <v>39404.108167002385</v>
      </c>
      <c r="J33" s="120">
        <f t="shared" si="8"/>
        <v>40175.331283574022</v>
      </c>
      <c r="K33" s="120">
        <f t="shared" si="8"/>
        <v>41040.902997793433</v>
      </c>
      <c r="L33" s="120">
        <f t="shared" si="8"/>
        <v>41519.769684026032</v>
      </c>
      <c r="M33" s="120">
        <f t="shared" si="8"/>
        <v>42163.994537584178</v>
      </c>
      <c r="N33" s="120">
        <f t="shared" si="8"/>
        <v>42818.230849469794</v>
      </c>
      <c r="O33" s="120">
        <f t="shared" si="8"/>
        <v>43481.19412642761</v>
      </c>
      <c r="P33" s="120">
        <f t="shared" si="8"/>
        <v>44153.062888471788</v>
      </c>
      <c r="Q33" s="120">
        <f t="shared" si="8"/>
        <v>44603.048218408629</v>
      </c>
      <c r="R33" s="120">
        <f t="shared" si="8"/>
        <v>45055.570290545722</v>
      </c>
      <c r="S33" s="120">
        <f t="shared" si="8"/>
        <v>45510.855687335388</v>
      </c>
      <c r="T33" s="120">
        <f t="shared" si="8"/>
        <v>45969.156684050642</v>
      </c>
      <c r="U33" s="120">
        <f t="shared" si="8"/>
        <v>46430.753017858471</v>
      </c>
      <c r="W33" s="91">
        <f>SUM(B33:U33)</f>
        <v>802730.60379148193</v>
      </c>
    </row>
    <row r="34" spans="1:23" s="57" customFormat="1">
      <c r="A34" s="1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1"/>
    </row>
    <row r="35" spans="1:23">
      <c r="A35" s="3" t="s">
        <v>74</v>
      </c>
      <c r="B35" s="127">
        <f>Depreciation!C45</f>
        <v>6973.6749870130461</v>
      </c>
      <c r="C35" s="127">
        <f>Depreciation!D45</f>
        <v>6973.6749870130461</v>
      </c>
      <c r="D35" s="127">
        <f>Depreciation!E45</f>
        <v>6973.6749870130461</v>
      </c>
      <c r="E35" s="127">
        <f>Depreciation!F45</f>
        <v>6973.6749870130461</v>
      </c>
      <c r="F35" s="127">
        <f>Depreciation!G45</f>
        <v>6973.6749870130461</v>
      </c>
      <c r="G35" s="127">
        <f>Depreciation!H45</f>
        <v>6973.6749870130461</v>
      </c>
      <c r="H35" s="127">
        <f>Depreciation!I45</f>
        <v>6973.6749870130461</v>
      </c>
      <c r="I35" s="127">
        <f>Depreciation!J45</f>
        <v>6973.6749870130461</v>
      </c>
      <c r="J35" s="127">
        <f>Depreciation!K45</f>
        <v>6973.6749870130461</v>
      </c>
      <c r="K35" s="127">
        <f>Depreciation!L45</f>
        <v>6973.6749870130461</v>
      </c>
      <c r="L35" s="127">
        <f>Depreciation!M45</f>
        <v>6973.6749870130461</v>
      </c>
      <c r="M35" s="127">
        <f>Depreciation!N45</f>
        <v>6973.6749870130461</v>
      </c>
      <c r="N35" s="127">
        <f>Depreciation!O45</f>
        <v>6973.6749870130461</v>
      </c>
      <c r="O35" s="127">
        <f>Depreciation!P45</f>
        <v>6973.6749870130461</v>
      </c>
      <c r="P35" s="127">
        <f>Depreciation!Q45</f>
        <v>6973.6749870130461</v>
      </c>
      <c r="Q35" s="127">
        <f>Depreciation!R45</f>
        <v>6973.6749870130461</v>
      </c>
      <c r="R35" s="127">
        <f>Depreciation!S45</f>
        <v>6973.6749870130461</v>
      </c>
      <c r="S35" s="127">
        <f>Depreciation!T45</f>
        <v>6973.6749870130461</v>
      </c>
      <c r="T35" s="127">
        <f>Depreciation!U45</f>
        <v>6973.6749870130461</v>
      </c>
      <c r="U35" s="127">
        <f>Depreciation!V45</f>
        <v>6973.6749870130461</v>
      </c>
      <c r="W35" s="91">
        <f>SUM(B35:U35)</f>
        <v>139473.49974026092</v>
      </c>
    </row>
    <row r="36" spans="1:23">
      <c r="A36" s="3"/>
      <c r="B36" s="127"/>
      <c r="C36" s="91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W36" s="91"/>
    </row>
    <row r="37" spans="1:23" s="57" customFormat="1">
      <c r="A37" s="1" t="s">
        <v>75</v>
      </c>
      <c r="B37" s="132">
        <f t="shared" ref="B37:U37" si="9">B33-B35</f>
        <v>23173.062050643501</v>
      </c>
      <c r="C37" s="132">
        <f t="shared" si="9"/>
        <v>22985.868136755285</v>
      </c>
      <c r="D37" s="132">
        <f t="shared" si="9"/>
        <v>22816.012398075429</v>
      </c>
      <c r="E37" s="132">
        <f t="shared" si="9"/>
        <v>29064.337794996856</v>
      </c>
      <c r="F37" s="132">
        <f t="shared" si="9"/>
        <v>30579.248157709335</v>
      </c>
      <c r="G37" s="132">
        <f t="shared" si="9"/>
        <v>31194.87370229527</v>
      </c>
      <c r="H37" s="132">
        <f t="shared" si="9"/>
        <v>31775.498209366888</v>
      </c>
      <c r="I37" s="132">
        <f t="shared" si="9"/>
        <v>32430.433179989341</v>
      </c>
      <c r="J37" s="132">
        <f t="shared" si="9"/>
        <v>33201.656296560977</v>
      </c>
      <c r="K37" s="132">
        <f t="shared" si="9"/>
        <v>34067.228010780389</v>
      </c>
      <c r="L37" s="132">
        <f t="shared" si="9"/>
        <v>34546.094697012988</v>
      </c>
      <c r="M37" s="132">
        <f t="shared" si="9"/>
        <v>35190.319550571134</v>
      </c>
      <c r="N37" s="132">
        <f t="shared" si="9"/>
        <v>35844.555862456749</v>
      </c>
      <c r="O37" s="132">
        <f t="shared" si="9"/>
        <v>36507.519139414566</v>
      </c>
      <c r="P37" s="132">
        <f t="shared" si="9"/>
        <v>37179.387901458744</v>
      </c>
      <c r="Q37" s="132">
        <f t="shared" si="9"/>
        <v>37629.373231395584</v>
      </c>
      <c r="R37" s="132">
        <f t="shared" si="9"/>
        <v>38081.895303532678</v>
      </c>
      <c r="S37" s="132">
        <f t="shared" si="9"/>
        <v>38537.180700322344</v>
      </c>
      <c r="T37" s="132">
        <f t="shared" si="9"/>
        <v>38995.481697037598</v>
      </c>
      <c r="U37" s="132">
        <f t="shared" si="9"/>
        <v>39457.078030845427</v>
      </c>
      <c r="W37" s="91">
        <f>SUM(B37:U37)</f>
        <v>663257.10405122116</v>
      </c>
    </row>
    <row r="38" spans="1:23" s="57" customFormat="1">
      <c r="A38" s="1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W38" s="91"/>
    </row>
    <row r="39" spans="1:23">
      <c r="A39" s="6" t="s">
        <v>76</v>
      </c>
      <c r="B39" s="127">
        <f>IS!B40*Allocation!$E$13</f>
        <v>12773.474927493447</v>
      </c>
      <c r="C39" s="127">
        <f>IS!C40*Allocation!$E$13</f>
        <v>12492.58804089459</v>
      </c>
      <c r="D39" s="127">
        <f>IS!D40*Allocation!$E$13</f>
        <v>12115.864765996035</v>
      </c>
      <c r="E39" s="127">
        <f>IS!E40*Allocation!$E$13</f>
        <v>11845.735441759663</v>
      </c>
      <c r="F39" s="127">
        <f>IS!F40*Allocation!$E$13</f>
        <v>11507.512919905555</v>
      </c>
      <c r="G39" s="127">
        <f>IS!G40*Allocation!$E$13</f>
        <v>11109.992924386201</v>
      </c>
      <c r="H39" s="127">
        <f>IS!H40*Allocation!$E$13</f>
        <v>10663.233971593105</v>
      </c>
      <c r="I39" s="127">
        <f>IS!I40*Allocation!$E$13</f>
        <v>10198.677923597203</v>
      </c>
      <c r="J39" s="127">
        <f>IS!J40*Allocation!$E$13</f>
        <v>9615.2684302893667</v>
      </c>
      <c r="K39" s="127">
        <f>IS!K40*Allocation!$E$13</f>
        <v>8971.9495756893411</v>
      </c>
      <c r="L39" s="127">
        <f>IS!L40*Allocation!$E$13</f>
        <v>8253.4151707761775</v>
      </c>
      <c r="M39" s="127">
        <f>IS!M40*Allocation!$E$13</f>
        <v>7414.3503557981039</v>
      </c>
      <c r="N39" s="127">
        <f>IS!N40*Allocation!$E$13</f>
        <v>6533.5855626504053</v>
      </c>
      <c r="O39" s="127">
        <f>IS!O40*Allocation!$E$13</f>
        <v>5673.6707585875201</v>
      </c>
      <c r="P39" s="127">
        <f>IS!P40*Allocation!$E$13</f>
        <v>4802.9186720624721</v>
      </c>
      <c r="Q39" s="127">
        <f>IS!Q40*Allocation!$E$13</f>
        <v>3900.4793139904496</v>
      </c>
      <c r="R39" s="127">
        <f>IS!R40*Allocation!$E$13</f>
        <v>2943.2645608651055</v>
      </c>
      <c r="S39" s="127">
        <f>IS!S40*Allocation!$E$13</f>
        <v>2040.7074062445799</v>
      </c>
      <c r="T39" s="127">
        <f>IS!T40*Allocation!$E$13</f>
        <v>1266.7840825879828</v>
      </c>
      <c r="U39" s="127">
        <f>IS!U40*Allocation!$E$13</f>
        <v>494.74550370741377</v>
      </c>
      <c r="W39" s="91">
        <f>SUM(B39:U39)</f>
        <v>154618.22030887473</v>
      </c>
    </row>
    <row r="40" spans="1:23" ht="6" customHeight="1">
      <c r="B40" s="67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W40" s="91"/>
    </row>
    <row r="41" spans="1:23" s="57" customFormat="1">
      <c r="A41" s="1" t="s">
        <v>77</v>
      </c>
      <c r="B41" s="132">
        <f t="shared" ref="B41:U41" si="10">B37-B39</f>
        <v>10399.587123150053</v>
      </c>
      <c r="C41" s="132">
        <f t="shared" si="10"/>
        <v>10493.280095860695</v>
      </c>
      <c r="D41" s="132">
        <f t="shared" si="10"/>
        <v>10700.147632079394</v>
      </c>
      <c r="E41" s="132">
        <f t="shared" si="10"/>
        <v>17218.602353237191</v>
      </c>
      <c r="F41" s="132">
        <f t="shared" si="10"/>
        <v>19071.735237803779</v>
      </c>
      <c r="G41" s="132">
        <f t="shared" si="10"/>
        <v>20084.880777909071</v>
      </c>
      <c r="H41" s="132">
        <f t="shared" si="10"/>
        <v>21112.264237773783</v>
      </c>
      <c r="I41" s="132">
        <f t="shared" si="10"/>
        <v>22231.755256392138</v>
      </c>
      <c r="J41" s="132">
        <f t="shared" si="10"/>
        <v>23586.387866271609</v>
      </c>
      <c r="K41" s="132">
        <f t="shared" si="10"/>
        <v>25095.278435091048</v>
      </c>
      <c r="L41" s="132">
        <f t="shared" si="10"/>
        <v>26292.67952623681</v>
      </c>
      <c r="M41" s="132">
        <f t="shared" si="10"/>
        <v>27775.969194773032</v>
      </c>
      <c r="N41" s="132">
        <f t="shared" si="10"/>
        <v>29310.970299806344</v>
      </c>
      <c r="O41" s="132">
        <f t="shared" si="10"/>
        <v>30833.848380827047</v>
      </c>
      <c r="P41" s="132">
        <f t="shared" si="10"/>
        <v>32376.469229396273</v>
      </c>
      <c r="Q41" s="132">
        <f t="shared" si="10"/>
        <v>33728.893917405134</v>
      </c>
      <c r="R41" s="132">
        <f t="shared" si="10"/>
        <v>35138.63074266757</v>
      </c>
      <c r="S41" s="132">
        <f t="shared" si="10"/>
        <v>36496.473294077761</v>
      </c>
      <c r="T41" s="132">
        <f t="shared" si="10"/>
        <v>37728.697614449615</v>
      </c>
      <c r="U41" s="132">
        <f t="shared" si="10"/>
        <v>38962.332527138016</v>
      </c>
      <c r="W41" s="91">
        <f>SUM(B41:U41)</f>
        <v>508638.88374234643</v>
      </c>
    </row>
    <row r="42" spans="1:23" s="57" customFormat="1">
      <c r="A42" s="1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W42" s="91"/>
    </row>
    <row r="43" spans="1:23">
      <c r="A43" s="3" t="s">
        <v>78</v>
      </c>
      <c r="B43" s="127">
        <f>B41*-Assumptions!$H$47</f>
        <v>-467.98142054175236</v>
      </c>
      <c r="C43" s="127">
        <f>C41*-Assumptions!$H$47</f>
        <v>-472.19760431373123</v>
      </c>
      <c r="D43" s="127">
        <f>D41*-Assumptions!$H$47</f>
        <v>-481.50664344357267</v>
      </c>
      <c r="E43" s="127">
        <f>E41*-Assumptions!$H$47</f>
        <v>-774.83710589567352</v>
      </c>
      <c r="F43" s="127">
        <f>F41*-Assumptions!$H$47</f>
        <v>-858.22808570117002</v>
      </c>
      <c r="G43" s="127">
        <f>G41*-Assumptions!$H$47</f>
        <v>-903.81963500590814</v>
      </c>
      <c r="H43" s="127">
        <f>H41*-Assumptions!$H$47</f>
        <v>-950.05189069982021</v>
      </c>
      <c r="I43" s="127">
        <f>I41*-Assumptions!$H$47</f>
        <v>-1000.4289865376462</v>
      </c>
      <c r="J43" s="127">
        <f>J41*-Assumptions!$H$47</f>
        <v>-1061.3874539822223</v>
      </c>
      <c r="K43" s="127">
        <f>K41*-Assumptions!$H$47</f>
        <v>-1129.2875295790971</v>
      </c>
      <c r="L43" s="127">
        <f>L41*-Assumptions!$H$47</f>
        <v>-1183.1705786806565</v>
      </c>
      <c r="M43" s="127">
        <f>M41*-Assumptions!$H$47</f>
        <v>-1249.9186137647864</v>
      </c>
      <c r="N43" s="127">
        <f>N41*-Assumptions!$H$47</f>
        <v>-1318.9936634912854</v>
      </c>
      <c r="O43" s="127">
        <f>O41*-Assumptions!$H$47</f>
        <v>-1387.5231771372171</v>
      </c>
      <c r="P43" s="127">
        <f>P41*-Assumptions!$H$47</f>
        <v>-1456.9411153228323</v>
      </c>
      <c r="Q43" s="127">
        <f>Q41*-Assumptions!$H$47</f>
        <v>-1517.800226283231</v>
      </c>
      <c r="R43" s="127">
        <f>R41*-Assumptions!$H$47</f>
        <v>-1581.2383834200407</v>
      </c>
      <c r="S43" s="127">
        <f>S41*-Assumptions!$H$47</f>
        <v>-1642.3412982334992</v>
      </c>
      <c r="T43" s="127">
        <f>T41*-Assumptions!$H$47</f>
        <v>-1697.7913926502326</v>
      </c>
      <c r="U43" s="127">
        <f>U41*-Assumptions!$H$47</f>
        <v>-1753.3049637212107</v>
      </c>
      <c r="W43" s="91">
        <f>SUM(B43:U43)</f>
        <v>-22888.749768405585</v>
      </c>
    </row>
    <row r="44" spans="1:23">
      <c r="A44" s="3" t="s">
        <v>79</v>
      </c>
      <c r="B44" s="121">
        <f>(B41+B43)*-Assumptions!$H$46</f>
        <v>-3476.0619959129053</v>
      </c>
      <c r="C44" s="121">
        <f>(C41+C43)*-Assumptions!$H$46</f>
        <v>-3507.3788720414373</v>
      </c>
      <c r="D44" s="121">
        <f>(D41+D43)*-Assumptions!$H$46</f>
        <v>-3576.5243460225374</v>
      </c>
      <c r="E44" s="121">
        <f>(E41+E43)*-Assumptions!$H$46</f>
        <v>-5755.3178365695312</v>
      </c>
      <c r="F44" s="121">
        <f>(F41+F43)*-Assumptions!$H$46</f>
        <v>-6374.7275032359139</v>
      </c>
      <c r="G44" s="121">
        <f>(G41+G43)*-Assumptions!$H$46</f>
        <v>-6713.3714000161071</v>
      </c>
      <c r="H44" s="121">
        <f>(H41+H43)*-Assumptions!$H$46</f>
        <v>-7056.7743214758875</v>
      </c>
      <c r="I44" s="121">
        <f>(I41+I43)*-Assumptions!$H$46</f>
        <v>-7430.9641944490722</v>
      </c>
      <c r="J44" s="121">
        <f>(J41+J43)*-Assumptions!$H$46</f>
        <v>-7883.7501443012852</v>
      </c>
      <c r="K44" s="121">
        <f>(K41+K43)*-Assumptions!$H$46</f>
        <v>-8388.0968169291828</v>
      </c>
      <c r="L44" s="121">
        <f>(L41+L43)*-Assumptions!$H$46</f>
        <v>-8788.3281316446537</v>
      </c>
      <c r="M44" s="121">
        <f>(M41+M43)*-Assumptions!$H$46</f>
        <v>-9284.1177033528857</v>
      </c>
      <c r="N44" s="121">
        <f>(N41+N43)*-Assumptions!$H$46</f>
        <v>-9797.1918227102706</v>
      </c>
      <c r="O44" s="121">
        <f>(O41+O43)*-Assumptions!$H$46</f>
        <v>-10306.21382129144</v>
      </c>
      <c r="P44" s="121">
        <f>(P41+P43)*-Assumptions!$H$46</f>
        <v>-10821.834839925703</v>
      </c>
      <c r="Q44" s="121">
        <f>(Q41+Q43)*-Assumptions!$H$46</f>
        <v>-11273.882791892665</v>
      </c>
      <c r="R44" s="121">
        <f>(R41+R43)*-Assumptions!$H$46</f>
        <v>-11745.087325736637</v>
      </c>
      <c r="S44" s="121">
        <f>(S41+S43)*-Assumptions!$H$46</f>
        <v>-12198.946198545491</v>
      </c>
      <c r="T44" s="121">
        <f>(T41+T43)*-Assumptions!$H$46</f>
        <v>-12610.817177629784</v>
      </c>
      <c r="U44" s="121">
        <f>(U41+U43)*-Assumptions!$H$46</f>
        <v>-13023.159647195882</v>
      </c>
      <c r="W44" s="91">
        <f>SUM(B44:U44)</f>
        <v>-170012.54689087931</v>
      </c>
    </row>
    <row r="45" spans="1:23" ht="6" customHeight="1">
      <c r="B45" s="127"/>
      <c r="C45" s="91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W45" s="91"/>
    </row>
    <row r="46" spans="1:23" s="64" customFormat="1" ht="15.75">
      <c r="A46" s="45" t="s">
        <v>256</v>
      </c>
      <c r="B46" s="134">
        <f t="shared" ref="B46:U46" si="11">SUM(B41:B44)</f>
        <v>6455.5437066953964</v>
      </c>
      <c r="C46" s="134">
        <f t="shared" si="11"/>
        <v>6513.7036195055261</v>
      </c>
      <c r="D46" s="134">
        <f t="shared" si="11"/>
        <v>6642.1166426132841</v>
      </c>
      <c r="E46" s="134">
        <f t="shared" si="11"/>
        <v>10688.447410771987</v>
      </c>
      <c r="F46" s="134">
        <f t="shared" si="11"/>
        <v>11838.779648866697</v>
      </c>
      <c r="G46" s="134">
        <f t="shared" si="11"/>
        <v>12467.689742887056</v>
      </c>
      <c r="H46" s="134">
        <f t="shared" si="11"/>
        <v>13105.438025598076</v>
      </c>
      <c r="I46" s="134">
        <f t="shared" si="11"/>
        <v>13800.362075405421</v>
      </c>
      <c r="J46" s="134">
        <f t="shared" si="11"/>
        <v>14641.250267988104</v>
      </c>
      <c r="K46" s="134">
        <f t="shared" si="11"/>
        <v>15577.894088582767</v>
      </c>
      <c r="L46" s="134">
        <f t="shared" si="11"/>
        <v>16321.180815911501</v>
      </c>
      <c r="M46" s="134">
        <f t="shared" si="11"/>
        <v>17241.932877655359</v>
      </c>
      <c r="N46" s="134">
        <f t="shared" si="11"/>
        <v>18194.784813604791</v>
      </c>
      <c r="O46" s="134">
        <f t="shared" si="11"/>
        <v>19140.111382398391</v>
      </c>
      <c r="P46" s="134">
        <f t="shared" si="11"/>
        <v>20097.693274147736</v>
      </c>
      <c r="Q46" s="134">
        <f t="shared" si="11"/>
        <v>20937.210899229238</v>
      </c>
      <c r="R46" s="134">
        <f t="shared" si="11"/>
        <v>21812.305033510896</v>
      </c>
      <c r="S46" s="134">
        <f t="shared" si="11"/>
        <v>22655.185797298771</v>
      </c>
      <c r="T46" s="134">
        <f t="shared" si="11"/>
        <v>23420.089044169603</v>
      </c>
      <c r="U46" s="134">
        <f t="shared" si="11"/>
        <v>24185.867916220923</v>
      </c>
      <c r="W46" s="91">
        <f>SUM(B46:U46)</f>
        <v>315737.58708306152</v>
      </c>
    </row>
    <row r="47" spans="1:23" s="62" customFormat="1" ht="9" outlineLevel="1">
      <c r="A47" s="4"/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 spans="1:23">
      <c r="A48" s="1"/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3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8.75" outlineLevel="1">
      <c r="A50" s="55" t="s">
        <v>96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2.75" customHeight="1" outlineLevel="1">
      <c r="A52" s="1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 spans="1:55" ht="12.75" customHeight="1" outlineLevel="1">
      <c r="A53" s="1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 spans="1:55" ht="13.5" outlineLevel="1" thickBot="1">
      <c r="A54" s="197" t="s">
        <v>65</v>
      </c>
      <c r="B54" s="8">
        <v>2001</v>
      </c>
      <c r="C54" s="8">
        <f t="shared" ref="C54:U54" si="12">B54+1</f>
        <v>2002</v>
      </c>
      <c r="D54" s="8">
        <f t="shared" si="12"/>
        <v>2003</v>
      </c>
      <c r="E54" s="8">
        <f>D54+1</f>
        <v>2004</v>
      </c>
      <c r="F54" s="8">
        <f t="shared" si="12"/>
        <v>2005</v>
      </c>
      <c r="G54" s="8">
        <f t="shared" si="12"/>
        <v>2006</v>
      </c>
      <c r="H54" s="8">
        <f t="shared" si="12"/>
        <v>2007</v>
      </c>
      <c r="I54" s="8">
        <f t="shared" si="12"/>
        <v>2008</v>
      </c>
      <c r="J54" s="8">
        <f t="shared" si="12"/>
        <v>2009</v>
      </c>
      <c r="K54" s="8">
        <f>J54+1</f>
        <v>2010</v>
      </c>
      <c r="L54" s="8">
        <f t="shared" si="12"/>
        <v>2011</v>
      </c>
      <c r="M54" s="8">
        <f t="shared" si="12"/>
        <v>2012</v>
      </c>
      <c r="N54" s="8">
        <f t="shared" si="12"/>
        <v>2013</v>
      </c>
      <c r="O54" s="8">
        <f t="shared" si="12"/>
        <v>2014</v>
      </c>
      <c r="P54" s="8">
        <f t="shared" si="12"/>
        <v>2015</v>
      </c>
      <c r="Q54" s="8">
        <f t="shared" si="12"/>
        <v>2016</v>
      </c>
      <c r="R54" s="8">
        <f t="shared" si="12"/>
        <v>2017</v>
      </c>
      <c r="S54" s="8">
        <f t="shared" si="12"/>
        <v>2018</v>
      </c>
      <c r="T54" s="8">
        <f t="shared" si="12"/>
        <v>2019</v>
      </c>
      <c r="U54" s="8">
        <f t="shared" si="12"/>
        <v>2020</v>
      </c>
      <c r="W54" s="425" t="s">
        <v>181</v>
      </c>
    </row>
    <row r="55" spans="1:55" outlineLevel="1">
      <c r="A55" s="12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W55" s="23"/>
    </row>
    <row r="56" spans="1:55" outlineLevel="1">
      <c r="A56" s="13" t="s">
        <v>293</v>
      </c>
      <c r="B56" s="67">
        <f>B33-B12</f>
        <v>20584.264120392854</v>
      </c>
      <c r="C56" s="67">
        <f>C33-C12</f>
        <v>20397.070206504639</v>
      </c>
      <c r="D56" s="67">
        <f>D33-D12</f>
        <v>20227.214467824782</v>
      </c>
      <c r="E56" s="56">
        <f t="shared" ref="E56:U56" si="13">E33</f>
        <v>36038.012782009901</v>
      </c>
      <c r="F56" s="56">
        <f t="shared" si="13"/>
        <v>37552.923144722379</v>
      </c>
      <c r="G56" s="56">
        <f t="shared" si="13"/>
        <v>38168.548689308314</v>
      </c>
      <c r="H56" s="56">
        <f t="shared" si="13"/>
        <v>38749.173196379932</v>
      </c>
      <c r="I56" s="56">
        <f t="shared" si="13"/>
        <v>39404.108167002385</v>
      </c>
      <c r="J56" s="56">
        <f t="shared" si="13"/>
        <v>40175.331283574022</v>
      </c>
      <c r="K56" s="56">
        <f t="shared" si="13"/>
        <v>41040.902997793433</v>
      </c>
      <c r="L56" s="56">
        <f t="shared" si="13"/>
        <v>41519.769684026032</v>
      </c>
      <c r="M56" s="56">
        <f t="shared" si="13"/>
        <v>42163.994537584178</v>
      </c>
      <c r="N56" s="56">
        <f t="shared" si="13"/>
        <v>42818.230849469794</v>
      </c>
      <c r="O56" s="56">
        <f t="shared" si="13"/>
        <v>43481.19412642761</v>
      </c>
      <c r="P56" s="56">
        <f t="shared" si="13"/>
        <v>44153.062888471788</v>
      </c>
      <c r="Q56" s="56">
        <f t="shared" si="13"/>
        <v>44603.048218408629</v>
      </c>
      <c r="R56" s="56">
        <f t="shared" si="13"/>
        <v>45055.570290545722</v>
      </c>
      <c r="S56" s="56">
        <f t="shared" si="13"/>
        <v>45510.855687335388</v>
      </c>
      <c r="T56" s="56">
        <f t="shared" si="13"/>
        <v>45969.156684050642</v>
      </c>
      <c r="U56" s="56">
        <f t="shared" si="13"/>
        <v>46430.753017858471</v>
      </c>
      <c r="W56" s="426">
        <f>SUM(B56:U56)</f>
        <v>774043.18503969093</v>
      </c>
    </row>
    <row r="57" spans="1:55">
      <c r="A57" s="13" t="s">
        <v>195</v>
      </c>
      <c r="B57" s="67">
        <f>B28</f>
        <v>0</v>
      </c>
      <c r="C57" s="67">
        <f t="shared" ref="C57:U57" si="14">C28</f>
        <v>117.98699999999999</v>
      </c>
      <c r="D57" s="67">
        <f t="shared" si="14"/>
        <v>216.84299999999999</v>
      </c>
      <c r="E57" s="67">
        <f t="shared" si="14"/>
        <v>295.98500000000001</v>
      </c>
      <c r="F57" s="67">
        <f t="shared" si="14"/>
        <v>346.25099999999998</v>
      </c>
      <c r="G57" s="67">
        <f t="shared" si="14"/>
        <v>468.65699999999998</v>
      </c>
      <c r="H57" s="67">
        <f t="shared" si="14"/>
        <v>641.05899999999997</v>
      </c>
      <c r="I57" s="67">
        <f t="shared" si="14"/>
        <v>753.23199999999997</v>
      </c>
      <c r="J57" s="67">
        <f t="shared" si="14"/>
        <v>765.3</v>
      </c>
      <c r="K57" s="67">
        <f t="shared" si="14"/>
        <v>699.25800000000004</v>
      </c>
      <c r="L57" s="67">
        <f t="shared" si="14"/>
        <v>854.33299999999997</v>
      </c>
      <c r="M57" s="67">
        <f t="shared" si="14"/>
        <v>854.3</v>
      </c>
      <c r="N57" s="67">
        <f t="shared" si="14"/>
        <v>854.3</v>
      </c>
      <c r="O57" s="67">
        <f t="shared" si="14"/>
        <v>854.3</v>
      </c>
      <c r="P57" s="67">
        <f t="shared" si="14"/>
        <v>854.3</v>
      </c>
      <c r="Q57" s="67">
        <f t="shared" si="14"/>
        <v>854.3</v>
      </c>
      <c r="R57" s="67">
        <f t="shared" si="14"/>
        <v>854.3</v>
      </c>
      <c r="S57" s="67">
        <f t="shared" si="14"/>
        <v>854.3</v>
      </c>
      <c r="T57" s="67">
        <f t="shared" si="14"/>
        <v>854.3</v>
      </c>
      <c r="U57" s="67">
        <f t="shared" si="14"/>
        <v>854.3</v>
      </c>
      <c r="W57" s="426">
        <f>SUM(B57:U57)</f>
        <v>12847.604999999996</v>
      </c>
      <c r="X57" s="16"/>
      <c r="Y57" s="16"/>
      <c r="Z57" s="16"/>
      <c r="AA57" s="16"/>
      <c r="AB57" s="17"/>
      <c r="AC57" s="17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</row>
    <row r="58" spans="1:55">
      <c r="A58" s="13" t="s">
        <v>196</v>
      </c>
      <c r="B58" s="495">
        <v>-203.273</v>
      </c>
      <c r="C58" s="67">
        <f>-B57</f>
        <v>0</v>
      </c>
      <c r="D58" s="67">
        <f t="shared" ref="D58:U58" si="15">-C57</f>
        <v>-117.98699999999999</v>
      </c>
      <c r="E58" s="67">
        <f t="shared" si="15"/>
        <v>-216.84299999999999</v>
      </c>
      <c r="F58" s="67">
        <f t="shared" si="15"/>
        <v>-295.98500000000001</v>
      </c>
      <c r="G58" s="67">
        <f t="shared" si="15"/>
        <v>-346.25099999999998</v>
      </c>
      <c r="H58" s="67">
        <f t="shared" si="15"/>
        <v>-468.65699999999998</v>
      </c>
      <c r="I58" s="67">
        <f t="shared" si="15"/>
        <v>-641.05899999999997</v>
      </c>
      <c r="J58" s="67">
        <f t="shared" si="15"/>
        <v>-753.23199999999997</v>
      </c>
      <c r="K58" s="67">
        <f t="shared" si="15"/>
        <v>-765.3</v>
      </c>
      <c r="L58" s="67">
        <f t="shared" si="15"/>
        <v>-699.25800000000004</v>
      </c>
      <c r="M58" s="67">
        <f t="shared" si="15"/>
        <v>-854.33299999999997</v>
      </c>
      <c r="N58" s="67">
        <f t="shared" si="15"/>
        <v>-854.3</v>
      </c>
      <c r="O58" s="67">
        <f t="shared" si="15"/>
        <v>-854.3</v>
      </c>
      <c r="P58" s="67">
        <f t="shared" si="15"/>
        <v>-854.3</v>
      </c>
      <c r="Q58" s="67">
        <f t="shared" si="15"/>
        <v>-854.3</v>
      </c>
      <c r="R58" s="67">
        <f t="shared" si="15"/>
        <v>-854.3</v>
      </c>
      <c r="S58" s="67">
        <f t="shared" si="15"/>
        <v>-854.3</v>
      </c>
      <c r="T58" s="67">
        <f t="shared" si="15"/>
        <v>-854.3</v>
      </c>
      <c r="U58" s="67">
        <f t="shared" si="15"/>
        <v>-854.3</v>
      </c>
      <c r="W58" s="426">
        <f>SUM(B58:U58)</f>
        <v>-12196.577999999996</v>
      </c>
      <c r="X58" s="16"/>
      <c r="Y58" s="16"/>
      <c r="Z58" s="16"/>
      <c r="AA58" s="16"/>
      <c r="AB58" s="17"/>
      <c r="AC58" s="17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</row>
    <row r="59" spans="1:55" outlineLevel="1">
      <c r="A59" s="13" t="s">
        <v>81</v>
      </c>
      <c r="B59" s="424">
        <f>-Debt!B77*Allocation!$E$13</f>
        <v>-16213.782725931684</v>
      </c>
      <c r="C59" s="424">
        <f>-Debt!C77*Allocation!$E$13</f>
        <v>-16182.595598896889</v>
      </c>
      <c r="D59" s="424">
        <f>-Debt!D77*Allocation!$E$13</f>
        <v>-16083.316501291742</v>
      </c>
      <c r="E59" s="424">
        <f>-Debt!E77*Allocation!$E$13</f>
        <v>-14385.416756983916</v>
      </c>
      <c r="F59" s="424">
        <f>-Debt!F77*Allocation!$E$13</f>
        <v>-15003.309553802472</v>
      </c>
      <c r="G59" s="424">
        <f>-Debt!G77*Allocation!$E$13</f>
        <v>-15083.847217619446</v>
      </c>
      <c r="H59" s="424">
        <f>-Debt!H77*Allocation!$E$13</f>
        <v>-14995.631509328599</v>
      </c>
      <c r="I59" s="424">
        <f>-Debt!I77*Allocation!$E$13</f>
        <v>-15128.647535503109</v>
      </c>
      <c r="J59" s="424">
        <f>-Debt!J77*Allocation!$E$13</f>
        <v>-15023.295701531604</v>
      </c>
      <c r="K59" s="424">
        <f>-Debt!K77*Allocation!$E$13</f>
        <v>-15323.287049729157</v>
      </c>
      <c r="L59" s="424">
        <f>-Debt!L77*Allocation!$E$13</f>
        <v>-15936.484695824343</v>
      </c>
      <c r="M59" s="424">
        <f>-Debt!M77*Allocation!$E$13</f>
        <v>-15097.41988084627</v>
      </c>
      <c r="N59" s="424">
        <f>-Debt!N77*Allocation!$E$13</f>
        <v>-14216.655087698573</v>
      </c>
      <c r="O59" s="424">
        <f>-Debt!O77*Allocation!$E$13</f>
        <v>-13356.740283635687</v>
      </c>
      <c r="P59" s="424">
        <f>-Debt!P77*Allocation!$E$13</f>
        <v>-12870.141673363047</v>
      </c>
      <c r="Q59" s="424">
        <f>-Debt!Q77*Allocation!$E$13</f>
        <v>-12351.855791543434</v>
      </c>
      <c r="R59" s="424">
        <f>-Debt!R77*Allocation!$E$13</f>
        <v>-11394.641038418089</v>
      </c>
      <c r="S59" s="424">
        <f>-Debt!S77*Allocation!$E$13</f>
        <v>-8955.469978787929</v>
      </c>
      <c r="T59" s="424">
        <f>-Debt!T77*Allocation!$E$13</f>
        <v>-8181.546655131333</v>
      </c>
      <c r="U59" s="424">
        <f>-Debt!U77*Allocation!$E$13</f>
        <v>-6641.2011237459537</v>
      </c>
      <c r="W59" s="426">
        <f>SUM(B59:U59)</f>
        <v>-272425.28635961324</v>
      </c>
    </row>
    <row r="60" spans="1:55" outlineLevel="1">
      <c r="A60" s="13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W60" s="427"/>
    </row>
    <row r="61" spans="1:55" s="57" customFormat="1" outlineLevel="1">
      <c r="A61" s="12" t="s">
        <v>82</v>
      </c>
      <c r="B61" s="65">
        <f t="shared" ref="B61:U61" si="16">SUM(B56:B59)</f>
        <v>4167.2083944611695</v>
      </c>
      <c r="C61" s="65">
        <f t="shared" si="16"/>
        <v>4332.4616076077509</v>
      </c>
      <c r="D61" s="65">
        <f t="shared" si="16"/>
        <v>4242.7539665330405</v>
      </c>
      <c r="E61" s="65">
        <f t="shared" si="16"/>
        <v>21731.738025025985</v>
      </c>
      <c r="F61" s="65">
        <f t="shared" si="16"/>
        <v>22599.879590919903</v>
      </c>
      <c r="G61" s="65">
        <f t="shared" si="16"/>
        <v>23207.107471688869</v>
      </c>
      <c r="H61" s="65">
        <f t="shared" si="16"/>
        <v>23925.943687051335</v>
      </c>
      <c r="I61" s="65">
        <f t="shared" si="16"/>
        <v>24387.63363149928</v>
      </c>
      <c r="J61" s="65">
        <f t="shared" si="16"/>
        <v>25164.103582042415</v>
      </c>
      <c r="K61" s="65">
        <f t="shared" si="16"/>
        <v>25651.573948064273</v>
      </c>
      <c r="L61" s="65">
        <f t="shared" si="16"/>
        <v>25738.359988201686</v>
      </c>
      <c r="M61" s="65">
        <f t="shared" si="16"/>
        <v>27066.541656737914</v>
      </c>
      <c r="N61" s="65">
        <f t="shared" si="16"/>
        <v>28601.575761771222</v>
      </c>
      <c r="O61" s="65">
        <f t="shared" si="16"/>
        <v>30124.453842791925</v>
      </c>
      <c r="P61" s="65">
        <f t="shared" si="16"/>
        <v>31282.921215108741</v>
      </c>
      <c r="Q61" s="65">
        <f t="shared" si="16"/>
        <v>32251.192426865193</v>
      </c>
      <c r="R61" s="65">
        <f t="shared" si="16"/>
        <v>33660.929252127637</v>
      </c>
      <c r="S61" s="65">
        <f t="shared" si="16"/>
        <v>36555.385708547459</v>
      </c>
      <c r="T61" s="65">
        <f t="shared" si="16"/>
        <v>37787.610028919313</v>
      </c>
      <c r="U61" s="65">
        <f t="shared" si="16"/>
        <v>39789.551894112519</v>
      </c>
      <c r="W61" s="426">
        <f>SUM(B61:U61)</f>
        <v>502268.92568007763</v>
      </c>
    </row>
    <row r="62" spans="1:55" outlineLevel="1">
      <c r="A62" s="12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W62" s="427"/>
    </row>
    <row r="63" spans="1:55" ht="15" outlineLevel="1">
      <c r="A63" s="13" t="s">
        <v>109</v>
      </c>
      <c r="B63" s="229">
        <f>-B108</f>
        <v>-397.13451113759282</v>
      </c>
      <c r="C63" s="229">
        <f t="shared" ref="C63:U63" si="17">-C108</f>
        <v>-397.36523817150567</v>
      </c>
      <c r="D63" s="229">
        <f t="shared" si="17"/>
        <v>-397.60628760793594</v>
      </c>
      <c r="E63" s="229">
        <f t="shared" si="17"/>
        <v>-585.43248001006452</v>
      </c>
      <c r="F63" s="229">
        <f t="shared" si="17"/>
        <v>-648.43899808532854</v>
      </c>
      <c r="G63" s="229">
        <f t="shared" si="17"/>
        <v>-1270.0360925130713</v>
      </c>
      <c r="H63" s="229">
        <f t="shared" si="17"/>
        <v>-1449.1418981668453</v>
      </c>
      <c r="I63" s="229">
        <f t="shared" si="17"/>
        <v>-1536.679074483402</v>
      </c>
      <c r="J63" s="229">
        <f t="shared" si="17"/>
        <v>-1644.5976648181734</v>
      </c>
      <c r="K63" s="229">
        <f t="shared" si="17"/>
        <v>-1762.8974056006161</v>
      </c>
      <c r="L63" s="229">
        <f t="shared" si="17"/>
        <v>-1858.3947059554243</v>
      </c>
      <c r="M63" s="229">
        <f t="shared" si="17"/>
        <v>-1974.6719756154926</v>
      </c>
      <c r="N63" s="229">
        <f t="shared" si="17"/>
        <v>-2096.8396770674171</v>
      </c>
      <c r="O63" s="229">
        <f t="shared" si="17"/>
        <v>-2216.2444313137598</v>
      </c>
      <c r="P63" s="229">
        <f t="shared" si="17"/>
        <v>-2339.0140925050218</v>
      </c>
      <c r="Q63" s="229">
        <f t="shared" si="17"/>
        <v>-2712.1268183741572</v>
      </c>
      <c r="R63" s="229">
        <f t="shared" si="17"/>
        <v>-3089.767203086325</v>
      </c>
      <c r="S63" s="229">
        <f t="shared" si="17"/>
        <v>-3197.0367646477303</v>
      </c>
      <c r="T63" s="229">
        <f t="shared" si="17"/>
        <v>-3294.3824859571068</v>
      </c>
      <c r="U63" s="229">
        <f t="shared" si="17"/>
        <v>-3391.8396440594906</v>
      </c>
      <c r="W63" s="426">
        <f>SUM(B63:U63)</f>
        <v>-36259.64744917646</v>
      </c>
    </row>
    <row r="64" spans="1:55" outlineLevel="1">
      <c r="A64" s="13" t="s">
        <v>110</v>
      </c>
      <c r="B64" s="128">
        <f>-Allocation!$E$13*Tax!B24</f>
        <v>0</v>
      </c>
      <c r="C64" s="128">
        <f>-Allocation!$E$13*Tax!C24</f>
        <v>0</v>
      </c>
      <c r="D64" s="128">
        <f>-Allocation!$E$13*Tax!D24</f>
        <v>0</v>
      </c>
      <c r="E64" s="128">
        <f>-Allocation!$E$13*Tax!E24</f>
        <v>0</v>
      </c>
      <c r="F64" s="128">
        <f>-Allocation!$E$13*Tax!F24</f>
        <v>0</v>
      </c>
      <c r="G64" s="128">
        <f>-Allocation!$E$13*Tax!G24</f>
        <v>-1264.1769966926618</v>
      </c>
      <c r="H64" s="128">
        <f>-Allocation!$E$13*Tax!H24</f>
        <v>-4915.238650125817</v>
      </c>
      <c r="I64" s="128">
        <f>-Allocation!$E$13*Tax!I24</f>
        <v>-5170.1901930528365</v>
      </c>
      <c r="J64" s="128">
        <f>-Allocation!$E$13*Tax!J24</f>
        <v>-5558.4261764846106</v>
      </c>
      <c r="K64" s="128">
        <f>-Allocation!$E$13*Tax!K24</f>
        <v>-5909.4005036141962</v>
      </c>
      <c r="L64" s="128">
        <f>-Allocation!$E$13*Tax!L24</f>
        <v>-6405.346073973692</v>
      </c>
      <c r="M64" s="128">
        <f>-Allocation!$E$13*Tax!M24</f>
        <v>-6941.220531581409</v>
      </c>
      <c r="N64" s="128">
        <f>-Allocation!$E$13*Tax!N24</f>
        <v>-7481.1289932808559</v>
      </c>
      <c r="O64" s="128">
        <f>-Allocation!$E$13*Tax!O24</f>
        <v>-8009.018119918509</v>
      </c>
      <c r="P64" s="128">
        <f>-Allocation!$E$13*Tax!P24</f>
        <v>-8531.3314852802669</v>
      </c>
      <c r="Q64" s="128">
        <f>-Allocation!$E$13*Tax!Q24</f>
        <v>-11180.061931444949</v>
      </c>
      <c r="R64" s="128">
        <f>-Allocation!$E$13*Tax!R24</f>
        <v>-13815.484173279636</v>
      </c>
      <c r="S64" s="128">
        <f>-Allocation!$E$13*Tax!S24</f>
        <v>-14301.212438827759</v>
      </c>
      <c r="T64" s="128">
        <f>-Allocation!$E$13*Tax!T24</f>
        <v>-14746.854136890481</v>
      </c>
      <c r="U64" s="128">
        <f>-Allocation!$E$13*Tax!U24</f>
        <v>-15194.473451530983</v>
      </c>
      <c r="W64" s="426">
        <f>SUM(B64:U64)</f>
        <v>-129423.56385597866</v>
      </c>
    </row>
    <row r="65" spans="1:256" ht="15" outlineLevel="1">
      <c r="A65" s="13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W65" s="427"/>
    </row>
    <row r="66" spans="1:256" s="64" customFormat="1" ht="15.75" outlineLevel="1">
      <c r="A66" s="46" t="s">
        <v>83</v>
      </c>
      <c r="B66" s="137">
        <f t="shared" ref="B66:U66" si="18">B61+B64+B63</f>
        <v>3770.0738833235769</v>
      </c>
      <c r="C66" s="137">
        <f t="shared" si="18"/>
        <v>3935.0963694362454</v>
      </c>
      <c r="D66" s="137">
        <f t="shared" si="18"/>
        <v>3845.1476789251046</v>
      </c>
      <c r="E66" s="137">
        <f t="shared" si="18"/>
        <v>21146.305545015919</v>
      </c>
      <c r="F66" s="137">
        <f t="shared" si="18"/>
        <v>21951.440592834573</v>
      </c>
      <c r="G66" s="137">
        <f t="shared" si="18"/>
        <v>20672.894382483137</v>
      </c>
      <c r="H66" s="137">
        <f t="shared" si="18"/>
        <v>17561.563138758669</v>
      </c>
      <c r="I66" s="137">
        <f t="shared" si="18"/>
        <v>17680.764363963041</v>
      </c>
      <c r="J66" s="137">
        <f t="shared" si="18"/>
        <v>17961.079740739631</v>
      </c>
      <c r="K66" s="137">
        <f t="shared" si="18"/>
        <v>17979.276038849461</v>
      </c>
      <c r="L66" s="137">
        <f t="shared" si="18"/>
        <v>17474.619208272572</v>
      </c>
      <c r="M66" s="137">
        <f t="shared" si="18"/>
        <v>18150.649149541012</v>
      </c>
      <c r="N66" s="137">
        <f t="shared" si="18"/>
        <v>19023.607091422949</v>
      </c>
      <c r="O66" s="137">
        <f t="shared" si="18"/>
        <v>19899.191291559655</v>
      </c>
      <c r="P66" s="137">
        <f t="shared" si="18"/>
        <v>20412.575637323454</v>
      </c>
      <c r="Q66" s="137">
        <f t="shared" si="18"/>
        <v>18359.003677046087</v>
      </c>
      <c r="R66" s="137">
        <f t="shared" si="18"/>
        <v>16755.677875761678</v>
      </c>
      <c r="S66" s="137">
        <f t="shared" si="18"/>
        <v>19057.136505071969</v>
      </c>
      <c r="T66" s="137">
        <f t="shared" si="18"/>
        <v>19746.373406071725</v>
      </c>
      <c r="U66" s="137">
        <f t="shared" si="18"/>
        <v>21203.238798522045</v>
      </c>
      <c r="W66" s="426">
        <f>SUM(B66:U66)</f>
        <v>336585.71437492257</v>
      </c>
    </row>
    <row r="67" spans="1:256" outlineLevel="1">
      <c r="A67" s="7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56" ht="14.25" outlineLevel="1">
      <c r="A68" s="75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59"/>
      <c r="M68" s="59"/>
      <c r="N68" s="59"/>
      <c r="O68" s="59"/>
      <c r="P68" s="59"/>
      <c r="Q68" s="59"/>
      <c r="R68" s="59"/>
      <c r="S68" s="59"/>
      <c r="T68" s="59"/>
      <c r="U68" s="59"/>
    </row>
    <row r="69" spans="1:256" outlineLevel="1">
      <c r="A69" s="78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</row>
    <row r="70" spans="1:256" ht="18.75" outlineLevel="1">
      <c r="A70" s="55" t="s">
        <v>258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56" outlineLevel="1">
      <c r="A71" s="57"/>
      <c r="B71" s="18"/>
      <c r="C71" s="18"/>
      <c r="D71" s="18"/>
      <c r="E71" s="18"/>
      <c r="F71" s="18"/>
      <c r="G71" s="138"/>
      <c r="H71" s="18"/>
      <c r="I71" s="18"/>
      <c r="J71" s="18"/>
      <c r="K71" s="18"/>
      <c r="L71" s="18"/>
      <c r="M71" s="138"/>
      <c r="N71" s="18"/>
      <c r="O71" s="18"/>
      <c r="P71" s="18"/>
      <c r="Q71" s="18"/>
      <c r="R71" s="18"/>
      <c r="S71" s="138"/>
      <c r="T71" s="18"/>
      <c r="U71" s="18"/>
    </row>
    <row r="72" spans="1:256" outlineLevel="1">
      <c r="A72" s="230"/>
      <c r="B72" s="248">
        <v>3</v>
      </c>
      <c r="C72" s="248">
        <v>4</v>
      </c>
      <c r="D72" s="248">
        <v>5</v>
      </c>
      <c r="E72" s="249">
        <v>6</v>
      </c>
      <c r="F72" s="248">
        <v>7</v>
      </c>
      <c r="G72" s="248">
        <v>8</v>
      </c>
      <c r="H72" s="248">
        <v>9</v>
      </c>
      <c r="I72" s="248">
        <v>10</v>
      </c>
      <c r="J72" s="248">
        <v>11</v>
      </c>
      <c r="K72" s="249">
        <v>12</v>
      </c>
      <c r="L72" s="248">
        <v>13</v>
      </c>
      <c r="M72" s="248">
        <v>14</v>
      </c>
      <c r="N72" s="248">
        <v>15</v>
      </c>
      <c r="O72" s="248">
        <v>16</v>
      </c>
      <c r="P72" s="248">
        <v>17</v>
      </c>
      <c r="Q72" s="249">
        <v>18</v>
      </c>
      <c r="R72" s="248">
        <v>19</v>
      </c>
      <c r="S72" s="248">
        <v>20</v>
      </c>
      <c r="T72" s="248">
        <v>21</v>
      </c>
      <c r="U72" s="248">
        <v>22</v>
      </c>
    </row>
    <row r="73" spans="1:256" ht="13.5" outlineLevel="1" thickBot="1">
      <c r="A73" s="197" t="s">
        <v>65</v>
      </c>
      <c r="B73" s="8">
        <v>2001</v>
      </c>
      <c r="C73" s="8">
        <v>2002</v>
      </c>
      <c r="D73" s="8">
        <v>2003</v>
      </c>
      <c r="E73" s="8">
        <v>2004</v>
      </c>
      <c r="F73" s="8">
        <v>2005</v>
      </c>
      <c r="G73" s="8">
        <v>2006</v>
      </c>
      <c r="H73" s="8">
        <v>2007</v>
      </c>
      <c r="I73" s="8">
        <v>2008</v>
      </c>
      <c r="J73" s="8">
        <v>2009</v>
      </c>
      <c r="K73" s="8">
        <v>2010</v>
      </c>
      <c r="L73" s="8">
        <v>2011</v>
      </c>
      <c r="M73" s="8">
        <v>2012</v>
      </c>
      <c r="N73" s="8">
        <v>2013</v>
      </c>
      <c r="O73" s="8">
        <v>2014</v>
      </c>
      <c r="P73" s="8">
        <v>2015</v>
      </c>
      <c r="Q73" s="8">
        <v>2016</v>
      </c>
      <c r="R73" s="8">
        <v>2017</v>
      </c>
      <c r="S73" s="8">
        <v>2018</v>
      </c>
      <c r="T73" s="8">
        <v>2019</v>
      </c>
      <c r="U73" s="8">
        <v>2020</v>
      </c>
    </row>
    <row r="74" spans="1:256" outlineLevel="1">
      <c r="A74" s="230"/>
      <c r="B74" s="255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56" outlineLevel="1">
      <c r="A75" s="231" t="s">
        <v>215</v>
      </c>
      <c r="B75" s="25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56" outlineLevel="1">
      <c r="A76" s="230"/>
      <c r="B76" s="255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56" s="455" customFormat="1" ht="12" customHeight="1">
      <c r="A77" s="231" t="s">
        <v>97</v>
      </c>
      <c r="B77" s="451"/>
      <c r="C77" s="451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451"/>
      <c r="AD77" s="451"/>
      <c r="AE77" s="453"/>
      <c r="AF77" s="453"/>
      <c r="AG77" s="453"/>
      <c r="AH77" s="454"/>
      <c r="AI77" s="454"/>
      <c r="AJ77" s="454"/>
      <c r="AK77" s="454"/>
      <c r="AL77" s="454"/>
      <c r="AM77" s="454"/>
      <c r="AN77" s="454"/>
      <c r="AO77" s="454"/>
      <c r="AP77" s="454"/>
      <c r="AQ77" s="454"/>
      <c r="AR77" s="454"/>
      <c r="AS77" s="454"/>
      <c r="AT77" s="454"/>
      <c r="AU77" s="454"/>
      <c r="AV77" s="454"/>
      <c r="AW77" s="454"/>
      <c r="AX77" s="454"/>
      <c r="AY77" s="454"/>
      <c r="AZ77" s="454"/>
      <c r="BA77" s="454"/>
      <c r="BB77" s="454"/>
      <c r="BC77" s="454"/>
      <c r="BD77" s="454"/>
      <c r="BE77" s="454"/>
      <c r="BF77" s="454"/>
      <c r="BG77" s="454"/>
      <c r="BH77" s="454"/>
      <c r="BI77" s="454"/>
      <c r="BJ77" s="454"/>
      <c r="BK77" s="454"/>
      <c r="BL77" s="454"/>
      <c r="BM77" s="454"/>
      <c r="BN77" s="454"/>
      <c r="BO77" s="454"/>
      <c r="BP77" s="454"/>
      <c r="BQ77" s="454"/>
      <c r="BR77" s="454"/>
      <c r="BS77" s="454"/>
      <c r="BT77" s="454"/>
      <c r="BU77" s="454"/>
      <c r="BV77" s="454"/>
      <c r="BW77" s="454"/>
      <c r="BX77" s="454"/>
      <c r="BY77" s="454"/>
      <c r="BZ77" s="454"/>
      <c r="CA77" s="454"/>
      <c r="CB77" s="454"/>
      <c r="CC77" s="454"/>
      <c r="CD77" s="454"/>
      <c r="CE77" s="454"/>
      <c r="CF77" s="454"/>
      <c r="CG77" s="454"/>
      <c r="CH77" s="454"/>
      <c r="CI77" s="454"/>
      <c r="CJ77" s="454"/>
      <c r="CK77" s="454"/>
      <c r="CL77" s="454"/>
      <c r="CM77" s="454"/>
      <c r="CN77" s="454"/>
      <c r="CO77" s="454"/>
      <c r="CP77" s="454"/>
      <c r="CQ77" s="454"/>
      <c r="CR77" s="454"/>
      <c r="CS77" s="454"/>
      <c r="CT77" s="454"/>
      <c r="CU77" s="454"/>
      <c r="CV77" s="454"/>
      <c r="CW77" s="454"/>
      <c r="CX77" s="454"/>
      <c r="CY77" s="454"/>
      <c r="CZ77" s="454"/>
      <c r="DA77" s="454"/>
      <c r="DB77" s="454"/>
      <c r="DC77" s="454"/>
      <c r="DD77" s="454"/>
      <c r="DE77" s="454"/>
      <c r="DF77" s="454"/>
      <c r="DG77" s="454"/>
      <c r="DH77" s="454"/>
      <c r="DI77" s="454"/>
      <c r="DJ77" s="454"/>
      <c r="DK77" s="454"/>
      <c r="DL77" s="454"/>
      <c r="DM77" s="454"/>
      <c r="DN77" s="454"/>
      <c r="DO77" s="454"/>
      <c r="DP77" s="454"/>
      <c r="DQ77" s="454"/>
      <c r="DR77" s="454"/>
      <c r="DS77" s="454"/>
      <c r="DT77" s="454"/>
      <c r="DU77" s="454"/>
      <c r="DV77" s="454"/>
      <c r="DW77" s="454"/>
      <c r="DX77" s="454"/>
      <c r="DY77" s="454"/>
      <c r="DZ77" s="454"/>
      <c r="EA77" s="454"/>
      <c r="EB77" s="454"/>
      <c r="EC77" s="454"/>
      <c r="ED77" s="454"/>
      <c r="EE77" s="454"/>
      <c r="EF77" s="454"/>
      <c r="EG77" s="454"/>
      <c r="EH77" s="454"/>
      <c r="EI77" s="454"/>
      <c r="EJ77" s="454"/>
      <c r="EK77" s="454"/>
      <c r="EL77" s="454"/>
      <c r="EM77" s="454"/>
      <c r="EN77" s="454"/>
      <c r="EO77" s="454"/>
      <c r="EP77" s="454"/>
      <c r="EQ77" s="454"/>
      <c r="ER77" s="454"/>
      <c r="ES77" s="454"/>
      <c r="ET77" s="454"/>
      <c r="EU77" s="454"/>
      <c r="EV77" s="454"/>
      <c r="EW77" s="454"/>
      <c r="EX77" s="454"/>
      <c r="EY77" s="454"/>
      <c r="EZ77" s="454"/>
      <c r="FA77" s="454"/>
      <c r="FB77" s="454"/>
      <c r="FC77" s="454"/>
      <c r="FD77" s="454"/>
      <c r="FE77" s="454"/>
      <c r="FF77" s="454"/>
      <c r="FG77" s="454"/>
      <c r="FH77" s="454"/>
      <c r="FI77" s="454"/>
      <c r="FJ77" s="454"/>
      <c r="FK77" s="454"/>
      <c r="FL77" s="454"/>
      <c r="FM77" s="454"/>
      <c r="FN77" s="454"/>
      <c r="FO77" s="454"/>
      <c r="FP77" s="454"/>
      <c r="FQ77" s="454"/>
      <c r="FR77" s="454"/>
      <c r="FS77" s="454"/>
      <c r="FT77" s="454"/>
      <c r="FU77" s="454"/>
      <c r="FV77" s="454"/>
      <c r="FW77" s="454"/>
      <c r="FX77" s="454"/>
      <c r="FY77" s="454"/>
      <c r="FZ77" s="454"/>
      <c r="GA77" s="454"/>
      <c r="GB77" s="454"/>
      <c r="GC77" s="454"/>
      <c r="GD77" s="454"/>
      <c r="GE77" s="454"/>
      <c r="GF77" s="454"/>
      <c r="GG77" s="454"/>
      <c r="GH77" s="454"/>
      <c r="GI77" s="454"/>
      <c r="GJ77" s="454"/>
      <c r="GK77" s="454"/>
      <c r="GL77" s="454"/>
      <c r="GM77" s="454"/>
      <c r="GN77" s="454"/>
      <c r="GO77" s="454"/>
      <c r="GP77" s="454"/>
      <c r="GQ77" s="454"/>
      <c r="GR77" s="454"/>
      <c r="GS77" s="454"/>
      <c r="GT77" s="454"/>
      <c r="GU77" s="454"/>
      <c r="GV77" s="454"/>
      <c r="GW77" s="454"/>
      <c r="GX77" s="454"/>
      <c r="GY77" s="454"/>
      <c r="GZ77" s="454"/>
      <c r="HA77" s="454"/>
      <c r="HB77" s="454"/>
      <c r="HC77" s="454"/>
      <c r="HD77" s="454"/>
      <c r="HE77" s="454"/>
      <c r="HF77" s="454"/>
      <c r="HG77" s="454"/>
      <c r="HH77" s="454"/>
      <c r="HI77" s="454"/>
      <c r="HJ77" s="454"/>
      <c r="HK77" s="454"/>
      <c r="HL77" s="454"/>
      <c r="HM77" s="454"/>
      <c r="HN77" s="454"/>
      <c r="HO77" s="454"/>
      <c r="HP77" s="454"/>
      <c r="HQ77" s="454"/>
      <c r="HR77" s="454"/>
      <c r="HS77" s="454"/>
      <c r="HT77" s="454"/>
      <c r="HU77" s="454"/>
      <c r="HV77" s="454"/>
      <c r="HW77" s="454"/>
      <c r="HX77" s="454"/>
      <c r="HY77" s="454"/>
      <c r="HZ77" s="454"/>
      <c r="IA77" s="454"/>
      <c r="IB77" s="454"/>
      <c r="IC77" s="454"/>
      <c r="ID77" s="454"/>
      <c r="IE77" s="454"/>
      <c r="IF77" s="454"/>
      <c r="IG77" s="454"/>
      <c r="IH77" s="454"/>
      <c r="II77" s="454"/>
      <c r="IJ77" s="454"/>
      <c r="IK77" s="454"/>
      <c r="IL77" s="454"/>
      <c r="IM77" s="454"/>
      <c r="IN77" s="454"/>
      <c r="IO77" s="454"/>
      <c r="IP77" s="454"/>
      <c r="IQ77" s="454"/>
      <c r="IR77" s="454"/>
      <c r="IS77" s="454"/>
      <c r="IT77" s="454"/>
      <c r="IU77" s="454"/>
      <c r="IV77" s="454"/>
    </row>
    <row r="78" spans="1:256" s="455" customFormat="1" ht="12" customHeight="1">
      <c r="A78" s="21" t="s">
        <v>205</v>
      </c>
      <c r="B78" s="145">
        <f>B41</f>
        <v>10399.587123150053</v>
      </c>
      <c r="C78" s="145">
        <f t="shared" ref="C78:U78" si="19">C41</f>
        <v>10493.280095860695</v>
      </c>
      <c r="D78" s="145">
        <f t="shared" si="19"/>
        <v>10700.147632079394</v>
      </c>
      <c r="E78" s="145">
        <f t="shared" si="19"/>
        <v>17218.602353237191</v>
      </c>
      <c r="F78" s="145">
        <f t="shared" si="19"/>
        <v>19071.735237803779</v>
      </c>
      <c r="G78" s="145">
        <f t="shared" si="19"/>
        <v>20084.880777909071</v>
      </c>
      <c r="H78" s="145">
        <f t="shared" si="19"/>
        <v>21112.264237773783</v>
      </c>
      <c r="I78" s="145">
        <f t="shared" si="19"/>
        <v>22231.755256392138</v>
      </c>
      <c r="J78" s="145">
        <f t="shared" si="19"/>
        <v>23586.387866271609</v>
      </c>
      <c r="K78" s="145">
        <f t="shared" si="19"/>
        <v>25095.278435091048</v>
      </c>
      <c r="L78" s="145">
        <f t="shared" si="19"/>
        <v>26292.67952623681</v>
      </c>
      <c r="M78" s="145">
        <f t="shared" si="19"/>
        <v>27775.969194773032</v>
      </c>
      <c r="N78" s="145">
        <f t="shared" si="19"/>
        <v>29310.970299806344</v>
      </c>
      <c r="O78" s="145">
        <f t="shared" si="19"/>
        <v>30833.848380827047</v>
      </c>
      <c r="P78" s="145">
        <f t="shared" si="19"/>
        <v>32376.469229396273</v>
      </c>
      <c r="Q78" s="145">
        <f t="shared" si="19"/>
        <v>33728.893917405134</v>
      </c>
      <c r="R78" s="145">
        <f t="shared" si="19"/>
        <v>35138.63074266757</v>
      </c>
      <c r="S78" s="145">
        <f t="shared" si="19"/>
        <v>36496.473294077761</v>
      </c>
      <c r="T78" s="145">
        <f t="shared" si="19"/>
        <v>37728.697614449615</v>
      </c>
      <c r="U78" s="145">
        <f t="shared" si="19"/>
        <v>38962.332527138016</v>
      </c>
      <c r="V78" s="461"/>
      <c r="W78" s="461"/>
      <c r="X78" s="461"/>
      <c r="Y78" s="461"/>
      <c r="Z78" s="461"/>
      <c r="AA78" s="461"/>
      <c r="AB78" s="461"/>
      <c r="AC78" s="451"/>
      <c r="AD78" s="451"/>
      <c r="AE78" s="453"/>
      <c r="AF78" s="453"/>
      <c r="AG78" s="453"/>
      <c r="AH78" s="454"/>
      <c r="AI78" s="454"/>
      <c r="AJ78" s="454"/>
      <c r="AK78" s="454"/>
      <c r="AL78" s="454"/>
      <c r="AM78" s="454"/>
      <c r="AN78" s="454"/>
      <c r="AO78" s="454"/>
      <c r="AP78" s="454"/>
      <c r="AQ78" s="454"/>
      <c r="AR78" s="454"/>
      <c r="AS78" s="454"/>
      <c r="AT78" s="454"/>
      <c r="AU78" s="454"/>
      <c r="AV78" s="454"/>
      <c r="AW78" s="454"/>
      <c r="AX78" s="454"/>
      <c r="AY78" s="454"/>
      <c r="AZ78" s="454"/>
      <c r="BA78" s="454"/>
      <c r="BB78" s="454"/>
      <c r="BC78" s="454"/>
      <c r="BD78" s="454"/>
      <c r="BE78" s="454"/>
      <c r="BF78" s="454"/>
      <c r="BG78" s="454"/>
      <c r="BH78" s="454"/>
      <c r="BI78" s="454"/>
      <c r="BJ78" s="454"/>
      <c r="BK78" s="454"/>
      <c r="BL78" s="454"/>
      <c r="BM78" s="454"/>
      <c r="BN78" s="454"/>
      <c r="BO78" s="454"/>
      <c r="BP78" s="454"/>
      <c r="BQ78" s="454"/>
      <c r="BR78" s="454"/>
      <c r="BS78" s="454"/>
      <c r="BT78" s="454"/>
      <c r="BU78" s="454"/>
      <c r="BV78" s="454"/>
      <c r="BW78" s="454"/>
      <c r="BX78" s="454"/>
      <c r="BY78" s="454"/>
      <c r="BZ78" s="454"/>
      <c r="CA78" s="454"/>
      <c r="CB78" s="454"/>
      <c r="CC78" s="454"/>
      <c r="CD78" s="454"/>
      <c r="CE78" s="454"/>
      <c r="CF78" s="454"/>
      <c r="CG78" s="454"/>
      <c r="CH78" s="454"/>
      <c r="CI78" s="454"/>
      <c r="CJ78" s="454"/>
      <c r="CK78" s="454"/>
      <c r="CL78" s="454"/>
      <c r="CM78" s="454"/>
      <c r="CN78" s="454"/>
      <c r="CO78" s="454"/>
      <c r="CP78" s="454"/>
      <c r="CQ78" s="454"/>
      <c r="CR78" s="454"/>
      <c r="CS78" s="454"/>
      <c r="CT78" s="454"/>
      <c r="CU78" s="454"/>
      <c r="CV78" s="454"/>
      <c r="CW78" s="454"/>
      <c r="CX78" s="454"/>
      <c r="CY78" s="454"/>
      <c r="CZ78" s="454"/>
      <c r="DA78" s="454"/>
      <c r="DB78" s="454"/>
      <c r="DC78" s="454"/>
      <c r="DD78" s="454"/>
      <c r="DE78" s="454"/>
      <c r="DF78" s="454"/>
      <c r="DG78" s="454"/>
      <c r="DH78" s="454"/>
      <c r="DI78" s="454"/>
      <c r="DJ78" s="454"/>
      <c r="DK78" s="454"/>
      <c r="DL78" s="454"/>
      <c r="DM78" s="454"/>
      <c r="DN78" s="454"/>
      <c r="DO78" s="454"/>
      <c r="DP78" s="454"/>
      <c r="DQ78" s="454"/>
      <c r="DR78" s="454"/>
      <c r="DS78" s="454"/>
      <c r="DT78" s="454"/>
      <c r="DU78" s="454"/>
      <c r="DV78" s="454"/>
      <c r="DW78" s="454"/>
      <c r="DX78" s="454"/>
      <c r="DY78" s="454"/>
      <c r="DZ78" s="454"/>
      <c r="EA78" s="454"/>
      <c r="EB78" s="454"/>
      <c r="EC78" s="454"/>
      <c r="ED78" s="454"/>
      <c r="EE78" s="454"/>
      <c r="EF78" s="454"/>
      <c r="EG78" s="454"/>
      <c r="EH78" s="454"/>
      <c r="EI78" s="454"/>
      <c r="EJ78" s="454"/>
      <c r="EK78" s="454"/>
      <c r="EL78" s="454"/>
      <c r="EM78" s="454"/>
      <c r="EN78" s="454"/>
      <c r="EO78" s="454"/>
      <c r="EP78" s="454"/>
      <c r="EQ78" s="454"/>
      <c r="ER78" s="454"/>
      <c r="ES78" s="454"/>
      <c r="ET78" s="454"/>
      <c r="EU78" s="454"/>
      <c r="EV78" s="454"/>
      <c r="EW78" s="454"/>
      <c r="EX78" s="454"/>
      <c r="EY78" s="454"/>
      <c r="EZ78" s="454"/>
      <c r="FA78" s="454"/>
      <c r="FB78" s="454"/>
      <c r="FC78" s="454"/>
      <c r="FD78" s="454"/>
      <c r="FE78" s="454"/>
      <c r="FF78" s="454"/>
      <c r="FG78" s="454"/>
      <c r="FH78" s="454"/>
      <c r="FI78" s="454"/>
      <c r="FJ78" s="454"/>
      <c r="FK78" s="454"/>
      <c r="FL78" s="454"/>
      <c r="FM78" s="454"/>
      <c r="FN78" s="454"/>
      <c r="FO78" s="454"/>
      <c r="FP78" s="454"/>
      <c r="FQ78" s="454"/>
      <c r="FR78" s="454"/>
      <c r="FS78" s="454"/>
      <c r="FT78" s="454"/>
      <c r="FU78" s="454"/>
      <c r="FV78" s="454"/>
      <c r="FW78" s="454"/>
      <c r="FX78" s="454"/>
      <c r="FY78" s="454"/>
      <c r="FZ78" s="454"/>
      <c r="GA78" s="454"/>
      <c r="GB78" s="454"/>
      <c r="GC78" s="454"/>
      <c r="GD78" s="454"/>
      <c r="GE78" s="454"/>
      <c r="GF78" s="454"/>
      <c r="GG78" s="454"/>
      <c r="GH78" s="454"/>
      <c r="GI78" s="454"/>
      <c r="GJ78" s="454"/>
      <c r="GK78" s="454"/>
      <c r="GL78" s="454"/>
      <c r="GM78" s="454"/>
      <c r="GN78" s="454"/>
      <c r="GO78" s="454"/>
      <c r="GP78" s="454"/>
      <c r="GQ78" s="454"/>
      <c r="GR78" s="454"/>
      <c r="GS78" s="454"/>
      <c r="GT78" s="454"/>
      <c r="GU78" s="454"/>
      <c r="GV78" s="454"/>
      <c r="GW78" s="454"/>
      <c r="GX78" s="454"/>
      <c r="GY78" s="454"/>
      <c r="GZ78" s="454"/>
      <c r="HA78" s="454"/>
      <c r="HB78" s="454"/>
      <c r="HC78" s="454"/>
      <c r="HD78" s="454"/>
      <c r="HE78" s="454"/>
      <c r="HF78" s="454"/>
      <c r="HG78" s="454"/>
      <c r="HH78" s="454"/>
      <c r="HI78" s="454"/>
      <c r="HJ78" s="454"/>
      <c r="HK78" s="454"/>
      <c r="HL78" s="454"/>
      <c r="HM78" s="454"/>
      <c r="HN78" s="454"/>
      <c r="HO78" s="454"/>
      <c r="HP78" s="454"/>
      <c r="HQ78" s="454"/>
      <c r="HR78" s="454"/>
      <c r="HS78" s="454"/>
      <c r="HT78" s="454"/>
      <c r="HU78" s="454"/>
      <c r="HV78" s="454"/>
      <c r="HW78" s="454"/>
      <c r="HX78" s="454"/>
      <c r="HY78" s="454"/>
      <c r="HZ78" s="454"/>
      <c r="IA78" s="454"/>
      <c r="IB78" s="454"/>
      <c r="IC78" s="454"/>
      <c r="ID78" s="454"/>
      <c r="IE78" s="454"/>
      <c r="IF78" s="454"/>
      <c r="IG78" s="454"/>
      <c r="IH78" s="454"/>
      <c r="II78" s="454"/>
      <c r="IJ78" s="454"/>
      <c r="IK78" s="454"/>
      <c r="IL78" s="454"/>
      <c r="IM78" s="454"/>
      <c r="IN78" s="454"/>
      <c r="IO78" s="454"/>
      <c r="IP78" s="454"/>
      <c r="IQ78" s="454"/>
      <c r="IR78" s="454"/>
      <c r="IS78" s="454"/>
      <c r="IT78" s="454"/>
      <c r="IU78" s="454"/>
      <c r="IV78" s="454"/>
    </row>
    <row r="79" spans="1:256" s="456" customFormat="1" ht="12" customHeight="1">
      <c r="A79" s="21" t="s">
        <v>206</v>
      </c>
      <c r="B79" s="462">
        <f>Assumptions!$H$48</f>
        <v>3.4000000000000002E-2</v>
      </c>
      <c r="C79" s="462">
        <f>Assumptions!$H$48</f>
        <v>3.4000000000000002E-2</v>
      </c>
      <c r="D79" s="462">
        <f>Assumptions!$H$48</f>
        <v>3.4000000000000002E-2</v>
      </c>
      <c r="E79" s="462">
        <f>Assumptions!$H$48</f>
        <v>3.4000000000000002E-2</v>
      </c>
      <c r="F79" s="462">
        <f>Assumptions!$H$48</f>
        <v>3.4000000000000002E-2</v>
      </c>
      <c r="G79" s="462">
        <f>Assumptions!$H$48</f>
        <v>3.4000000000000002E-2</v>
      </c>
      <c r="H79" s="462">
        <f>Assumptions!$H$48</f>
        <v>3.4000000000000002E-2</v>
      </c>
      <c r="I79" s="462">
        <f>Assumptions!$H$48</f>
        <v>3.4000000000000002E-2</v>
      </c>
      <c r="J79" s="462">
        <f>Assumptions!$H$48</f>
        <v>3.4000000000000002E-2</v>
      </c>
      <c r="K79" s="462">
        <f>Assumptions!$H$48</f>
        <v>3.4000000000000002E-2</v>
      </c>
      <c r="L79" s="462">
        <f>Assumptions!$H$48</f>
        <v>3.4000000000000002E-2</v>
      </c>
      <c r="M79" s="462">
        <f>Assumptions!$H$48</f>
        <v>3.4000000000000002E-2</v>
      </c>
      <c r="N79" s="462">
        <f>Assumptions!$H$48</f>
        <v>3.4000000000000002E-2</v>
      </c>
      <c r="O79" s="462">
        <f>Assumptions!$H$48</f>
        <v>3.4000000000000002E-2</v>
      </c>
      <c r="P79" s="462">
        <f>Assumptions!$H$48</f>
        <v>3.4000000000000002E-2</v>
      </c>
      <c r="Q79" s="462">
        <f>Assumptions!$H$48</f>
        <v>3.4000000000000002E-2</v>
      </c>
      <c r="R79" s="462">
        <f>Assumptions!$H$48</f>
        <v>3.4000000000000002E-2</v>
      </c>
      <c r="S79" s="462">
        <f>Assumptions!$H$48</f>
        <v>3.4000000000000002E-2</v>
      </c>
      <c r="T79" s="462">
        <f>Assumptions!$H$48</f>
        <v>3.4000000000000002E-2</v>
      </c>
      <c r="U79" s="462">
        <f>Assumptions!$H$48</f>
        <v>3.4000000000000002E-2</v>
      </c>
      <c r="V79" s="462"/>
      <c r="W79" s="462"/>
      <c r="X79" s="462"/>
      <c r="Y79" s="462"/>
      <c r="Z79" s="462"/>
      <c r="AA79" s="462"/>
      <c r="AB79" s="462"/>
      <c r="AC79" s="453"/>
      <c r="AD79" s="453"/>
      <c r="AE79" s="453"/>
      <c r="AF79" s="453"/>
      <c r="AG79" s="453"/>
      <c r="AH79" s="454"/>
      <c r="AI79" s="454"/>
      <c r="AJ79" s="454"/>
      <c r="AK79" s="454"/>
      <c r="AL79" s="454"/>
      <c r="AM79" s="454"/>
      <c r="AN79" s="454"/>
      <c r="AO79" s="454"/>
      <c r="AP79" s="454"/>
      <c r="AQ79" s="454"/>
      <c r="AR79" s="454"/>
      <c r="AS79" s="454"/>
      <c r="AT79" s="454"/>
      <c r="AU79" s="454"/>
      <c r="AV79" s="454"/>
      <c r="AW79" s="454"/>
      <c r="AX79" s="454"/>
      <c r="AY79" s="454"/>
      <c r="AZ79" s="454"/>
      <c r="BA79" s="454"/>
      <c r="BB79" s="454"/>
      <c r="BC79" s="454"/>
      <c r="BD79" s="454"/>
      <c r="BE79" s="454"/>
      <c r="BF79" s="454"/>
      <c r="BG79" s="454"/>
      <c r="BH79" s="454"/>
      <c r="BI79" s="454"/>
      <c r="BJ79" s="454"/>
      <c r="BK79" s="454"/>
      <c r="BL79" s="454"/>
      <c r="BM79" s="454"/>
      <c r="BN79" s="454"/>
      <c r="BO79" s="454"/>
      <c r="BP79" s="454"/>
      <c r="BQ79" s="454"/>
      <c r="BR79" s="454"/>
      <c r="BS79" s="454"/>
      <c r="BT79" s="454"/>
      <c r="BU79" s="454"/>
      <c r="BV79" s="454"/>
      <c r="BW79" s="454"/>
      <c r="BX79" s="454"/>
      <c r="BY79" s="454"/>
      <c r="BZ79" s="454"/>
      <c r="CA79" s="454"/>
      <c r="CB79" s="454"/>
      <c r="CC79" s="454"/>
      <c r="CD79" s="454"/>
      <c r="CE79" s="454"/>
      <c r="CF79" s="454"/>
      <c r="CG79" s="454"/>
      <c r="CH79" s="454"/>
      <c r="CI79" s="454"/>
      <c r="CJ79" s="454"/>
      <c r="CK79" s="454"/>
      <c r="CL79" s="454"/>
      <c r="CM79" s="454"/>
      <c r="CN79" s="454"/>
      <c r="CO79" s="454"/>
      <c r="CP79" s="454"/>
      <c r="CQ79" s="454"/>
      <c r="CR79" s="454"/>
      <c r="CS79" s="454"/>
      <c r="CT79" s="454"/>
      <c r="CU79" s="454"/>
      <c r="CV79" s="454"/>
      <c r="CW79" s="454"/>
      <c r="CX79" s="454"/>
      <c r="CY79" s="454"/>
      <c r="CZ79" s="454"/>
      <c r="DA79" s="454"/>
      <c r="DB79" s="454"/>
      <c r="DC79" s="454"/>
      <c r="DD79" s="454"/>
      <c r="DE79" s="454"/>
      <c r="DF79" s="454"/>
      <c r="DG79" s="454"/>
      <c r="DH79" s="454"/>
      <c r="DI79" s="454"/>
      <c r="DJ79" s="454"/>
      <c r="DK79" s="454"/>
      <c r="DL79" s="454"/>
      <c r="DM79" s="454"/>
      <c r="DN79" s="454"/>
      <c r="DO79" s="454"/>
      <c r="DP79" s="454"/>
      <c r="DQ79" s="454"/>
      <c r="DR79" s="454"/>
      <c r="DS79" s="454"/>
      <c r="DT79" s="454"/>
      <c r="DU79" s="454"/>
      <c r="DV79" s="454"/>
      <c r="DW79" s="454"/>
      <c r="DX79" s="454"/>
      <c r="DY79" s="454"/>
      <c r="DZ79" s="454"/>
      <c r="EA79" s="454"/>
      <c r="EB79" s="454"/>
      <c r="EC79" s="454"/>
      <c r="ED79" s="454"/>
      <c r="EE79" s="454"/>
      <c r="EF79" s="454"/>
      <c r="EG79" s="454"/>
      <c r="EH79" s="454"/>
      <c r="EI79" s="454"/>
      <c r="EJ79" s="454"/>
      <c r="EK79" s="454"/>
      <c r="EL79" s="454"/>
      <c r="EM79" s="454"/>
      <c r="EN79" s="454"/>
      <c r="EO79" s="454"/>
      <c r="EP79" s="454"/>
      <c r="EQ79" s="454"/>
      <c r="ER79" s="454"/>
      <c r="ES79" s="454"/>
      <c r="ET79" s="454"/>
      <c r="EU79" s="454"/>
      <c r="EV79" s="454"/>
      <c r="EW79" s="454"/>
      <c r="EX79" s="454"/>
      <c r="EY79" s="454"/>
      <c r="EZ79" s="454"/>
      <c r="FA79" s="454"/>
      <c r="FB79" s="454"/>
      <c r="FC79" s="454"/>
      <c r="FD79" s="454"/>
      <c r="FE79" s="454"/>
      <c r="FF79" s="454"/>
      <c r="FG79" s="454"/>
      <c r="FH79" s="454"/>
      <c r="FI79" s="454"/>
      <c r="FJ79" s="454"/>
      <c r="FK79" s="454"/>
      <c r="FL79" s="454"/>
      <c r="FM79" s="454"/>
      <c r="FN79" s="454"/>
      <c r="FO79" s="454"/>
      <c r="FP79" s="454"/>
      <c r="FQ79" s="454"/>
      <c r="FR79" s="454"/>
      <c r="FS79" s="454"/>
      <c r="FT79" s="454"/>
      <c r="FU79" s="454"/>
      <c r="FV79" s="454"/>
      <c r="FW79" s="454"/>
      <c r="FX79" s="454"/>
      <c r="FY79" s="454"/>
      <c r="FZ79" s="454"/>
      <c r="GA79" s="454"/>
      <c r="GB79" s="454"/>
      <c r="GC79" s="454"/>
      <c r="GD79" s="454"/>
      <c r="GE79" s="454"/>
      <c r="GF79" s="454"/>
      <c r="GG79" s="454"/>
      <c r="GH79" s="454"/>
      <c r="GI79" s="454"/>
      <c r="GJ79" s="454"/>
      <c r="GK79" s="454"/>
      <c r="GL79" s="454"/>
      <c r="GM79" s="454"/>
      <c r="GN79" s="454"/>
      <c r="GO79" s="454"/>
      <c r="GP79" s="454"/>
      <c r="GQ79" s="454"/>
      <c r="GR79" s="454"/>
      <c r="GS79" s="454"/>
      <c r="GT79" s="454"/>
      <c r="GU79" s="454"/>
      <c r="GV79" s="454"/>
      <c r="GW79" s="454"/>
      <c r="GX79" s="454"/>
      <c r="GY79" s="454"/>
      <c r="GZ79" s="454"/>
      <c r="HA79" s="454"/>
      <c r="HB79" s="454"/>
      <c r="HC79" s="454"/>
      <c r="HD79" s="454"/>
      <c r="HE79" s="454"/>
      <c r="HF79" s="454"/>
      <c r="HG79" s="454"/>
      <c r="HH79" s="454"/>
      <c r="HI79" s="454"/>
      <c r="HJ79" s="454"/>
      <c r="HK79" s="454"/>
      <c r="HL79" s="454"/>
      <c r="HM79" s="454"/>
      <c r="HN79" s="454"/>
      <c r="HO79" s="454"/>
      <c r="HP79" s="454"/>
      <c r="HQ79" s="454"/>
      <c r="HR79" s="454"/>
      <c r="HS79" s="454"/>
      <c r="HT79" s="454"/>
      <c r="HU79" s="454"/>
      <c r="HV79" s="454"/>
      <c r="HW79" s="454"/>
      <c r="HX79" s="454"/>
      <c r="HY79" s="454"/>
      <c r="HZ79" s="454"/>
      <c r="IA79" s="454"/>
      <c r="IB79" s="454"/>
      <c r="IC79" s="454"/>
      <c r="ID79" s="454"/>
      <c r="IE79" s="454"/>
      <c r="IF79" s="454"/>
      <c r="IG79" s="454"/>
      <c r="IH79" s="454"/>
      <c r="II79" s="454"/>
      <c r="IJ79" s="454"/>
      <c r="IK79" s="454"/>
      <c r="IL79" s="454"/>
      <c r="IM79" s="454"/>
      <c r="IN79" s="454"/>
      <c r="IO79" s="454"/>
      <c r="IP79" s="454"/>
      <c r="IQ79" s="454"/>
      <c r="IR79" s="454"/>
      <c r="IS79" s="454"/>
    </row>
    <row r="80" spans="1:256" s="456" customFormat="1" ht="12" customHeight="1">
      <c r="A80" s="21" t="s">
        <v>207</v>
      </c>
      <c r="B80" s="22">
        <f>B78*B79</f>
        <v>353.58596218710181</v>
      </c>
      <c r="C80" s="22">
        <f t="shared" ref="C80:U80" si="20">C78*C79</f>
        <v>356.77152325926363</v>
      </c>
      <c r="D80" s="22">
        <f t="shared" si="20"/>
        <v>363.80501949069941</v>
      </c>
      <c r="E80" s="22">
        <f t="shared" si="20"/>
        <v>585.43248001006452</v>
      </c>
      <c r="F80" s="22">
        <f t="shared" si="20"/>
        <v>648.43899808532854</v>
      </c>
      <c r="G80" s="22">
        <f t="shared" si="20"/>
        <v>682.8859464489085</v>
      </c>
      <c r="H80" s="22">
        <f t="shared" si="20"/>
        <v>717.81698408430873</v>
      </c>
      <c r="I80" s="22">
        <f t="shared" si="20"/>
        <v>755.87967871733269</v>
      </c>
      <c r="J80" s="22">
        <f t="shared" si="20"/>
        <v>801.93718745323474</v>
      </c>
      <c r="K80" s="22">
        <f t="shared" si="20"/>
        <v>853.23946679309574</v>
      </c>
      <c r="L80" s="22">
        <f t="shared" si="20"/>
        <v>893.95110389205161</v>
      </c>
      <c r="M80" s="22">
        <f t="shared" si="20"/>
        <v>944.38295262228314</v>
      </c>
      <c r="N80" s="22">
        <f t="shared" si="20"/>
        <v>996.57299019341576</v>
      </c>
      <c r="O80" s="22">
        <f t="shared" si="20"/>
        <v>1048.3508449481196</v>
      </c>
      <c r="P80" s="22">
        <f t="shared" si="20"/>
        <v>1100.7999537994733</v>
      </c>
      <c r="Q80" s="22">
        <f t="shared" si="20"/>
        <v>1146.7823931917746</v>
      </c>
      <c r="R80" s="22">
        <f t="shared" si="20"/>
        <v>1194.7134452506975</v>
      </c>
      <c r="S80" s="22">
        <f t="shared" si="20"/>
        <v>1240.880091998644</v>
      </c>
      <c r="T80" s="22">
        <f t="shared" si="20"/>
        <v>1282.7757188912869</v>
      </c>
      <c r="U80" s="22">
        <f t="shared" si="20"/>
        <v>1324.7193059226927</v>
      </c>
      <c r="V80" s="463"/>
      <c r="W80" s="463"/>
      <c r="X80" s="463"/>
      <c r="Y80" s="463"/>
      <c r="Z80" s="463"/>
      <c r="AA80" s="463"/>
      <c r="AB80" s="463"/>
      <c r="AC80" s="451"/>
      <c r="AD80" s="453"/>
      <c r="AE80" s="453"/>
      <c r="AF80" s="453"/>
      <c r="AG80" s="453"/>
      <c r="AH80" s="454"/>
      <c r="AI80" s="454"/>
      <c r="AJ80" s="454"/>
      <c r="AK80" s="454"/>
      <c r="AL80" s="454"/>
      <c r="AM80" s="454"/>
      <c r="AN80" s="454"/>
      <c r="AO80" s="454"/>
      <c r="AP80" s="454"/>
      <c r="AQ80" s="454"/>
      <c r="AR80" s="454"/>
      <c r="AS80" s="454"/>
      <c r="AT80" s="454"/>
      <c r="AU80" s="454"/>
      <c r="AV80" s="454"/>
      <c r="AW80" s="454"/>
      <c r="AX80" s="454"/>
      <c r="AY80" s="454"/>
      <c r="AZ80" s="454"/>
      <c r="BA80" s="454"/>
      <c r="BB80" s="454"/>
      <c r="BC80" s="454"/>
      <c r="BD80" s="454"/>
      <c r="BE80" s="454"/>
      <c r="BF80" s="454"/>
      <c r="BG80" s="454"/>
      <c r="BH80" s="454"/>
      <c r="BI80" s="454"/>
      <c r="BJ80" s="454"/>
      <c r="BK80" s="454"/>
      <c r="BL80" s="454"/>
      <c r="BM80" s="454"/>
      <c r="BN80" s="454"/>
      <c r="BO80" s="454"/>
      <c r="BP80" s="454"/>
      <c r="BQ80" s="454"/>
      <c r="BR80" s="454"/>
      <c r="BS80" s="454"/>
      <c r="BT80" s="454"/>
      <c r="BU80" s="454"/>
      <c r="BV80" s="454"/>
      <c r="BW80" s="454"/>
      <c r="BX80" s="454"/>
      <c r="BY80" s="454"/>
      <c r="BZ80" s="454"/>
      <c r="CA80" s="454"/>
      <c r="CB80" s="454"/>
      <c r="CC80" s="454"/>
      <c r="CD80" s="454"/>
      <c r="CE80" s="454"/>
      <c r="CF80" s="454"/>
      <c r="CG80" s="454"/>
      <c r="CH80" s="454"/>
      <c r="CI80" s="454"/>
      <c r="CJ80" s="454"/>
      <c r="CK80" s="454"/>
      <c r="CL80" s="454"/>
      <c r="CM80" s="454"/>
      <c r="CN80" s="454"/>
      <c r="CO80" s="454"/>
      <c r="CP80" s="454"/>
      <c r="CQ80" s="454"/>
      <c r="CR80" s="454"/>
      <c r="CS80" s="454"/>
      <c r="CT80" s="454"/>
      <c r="CU80" s="454"/>
      <c r="CV80" s="454"/>
      <c r="CW80" s="454"/>
      <c r="CX80" s="454"/>
      <c r="CY80" s="454"/>
      <c r="CZ80" s="454"/>
      <c r="DA80" s="454"/>
      <c r="DB80" s="454"/>
      <c r="DC80" s="454"/>
      <c r="DD80" s="454"/>
      <c r="DE80" s="454"/>
      <c r="DF80" s="454"/>
      <c r="DG80" s="454"/>
      <c r="DH80" s="454"/>
      <c r="DI80" s="454"/>
      <c r="DJ80" s="454"/>
      <c r="DK80" s="454"/>
      <c r="DL80" s="454"/>
      <c r="DM80" s="454"/>
      <c r="DN80" s="454"/>
      <c r="DO80" s="454"/>
      <c r="DP80" s="454"/>
      <c r="DQ80" s="454"/>
      <c r="DR80" s="454"/>
      <c r="DS80" s="454"/>
      <c r="DT80" s="454"/>
      <c r="DU80" s="454"/>
      <c r="DV80" s="454"/>
      <c r="DW80" s="454"/>
      <c r="DX80" s="454"/>
      <c r="DY80" s="454"/>
      <c r="DZ80" s="454"/>
      <c r="EA80" s="454"/>
      <c r="EB80" s="454"/>
      <c r="EC80" s="454"/>
      <c r="ED80" s="454"/>
      <c r="EE80" s="454"/>
      <c r="EF80" s="454"/>
      <c r="EG80" s="454"/>
      <c r="EH80" s="454"/>
      <c r="EI80" s="454"/>
      <c r="EJ80" s="454"/>
      <c r="EK80" s="454"/>
      <c r="EL80" s="454"/>
      <c r="EM80" s="454"/>
      <c r="EN80" s="454"/>
      <c r="EO80" s="454"/>
      <c r="EP80" s="454"/>
      <c r="EQ80" s="454"/>
      <c r="ER80" s="454"/>
      <c r="ES80" s="454"/>
      <c r="ET80" s="454"/>
      <c r="EU80" s="454"/>
      <c r="EV80" s="454"/>
      <c r="EW80" s="454"/>
      <c r="EX80" s="454"/>
      <c r="EY80" s="454"/>
      <c r="EZ80" s="454"/>
      <c r="FA80" s="454"/>
      <c r="FB80" s="454"/>
      <c r="FC80" s="454"/>
      <c r="FD80" s="454"/>
      <c r="FE80" s="454"/>
      <c r="FF80" s="454"/>
      <c r="FG80" s="454"/>
      <c r="FH80" s="454"/>
      <c r="FI80" s="454"/>
      <c r="FJ80" s="454"/>
      <c r="FK80" s="454"/>
      <c r="FL80" s="454"/>
      <c r="FM80" s="454"/>
      <c r="FN80" s="454"/>
      <c r="FO80" s="454"/>
      <c r="FP80" s="454"/>
      <c r="FQ80" s="454"/>
      <c r="FR80" s="454"/>
      <c r="FS80" s="454"/>
      <c r="FT80" s="454"/>
      <c r="FU80" s="454"/>
      <c r="FV80" s="454"/>
      <c r="FW80" s="454"/>
      <c r="FX80" s="454"/>
      <c r="FY80" s="454"/>
      <c r="FZ80" s="454"/>
      <c r="GA80" s="454"/>
      <c r="GB80" s="454"/>
      <c r="GC80" s="454"/>
      <c r="GD80" s="454"/>
      <c r="GE80" s="454"/>
      <c r="GF80" s="454"/>
      <c r="GG80" s="454"/>
      <c r="GH80" s="454"/>
      <c r="GI80" s="454"/>
      <c r="GJ80" s="454"/>
      <c r="GK80" s="454"/>
      <c r="GL80" s="454"/>
      <c r="GM80" s="454"/>
      <c r="GN80" s="454"/>
      <c r="GO80" s="454"/>
      <c r="GP80" s="454"/>
      <c r="GQ80" s="454"/>
      <c r="GR80" s="454"/>
      <c r="GS80" s="454"/>
      <c r="GT80" s="454"/>
      <c r="GU80" s="454"/>
      <c r="GV80" s="454"/>
      <c r="GW80" s="454"/>
      <c r="GX80" s="454"/>
      <c r="GY80" s="454"/>
      <c r="GZ80" s="454"/>
      <c r="HA80" s="454"/>
      <c r="HB80" s="454"/>
      <c r="HC80" s="454"/>
      <c r="HD80" s="454"/>
      <c r="HE80" s="454"/>
      <c r="HF80" s="454"/>
      <c r="HG80" s="454"/>
      <c r="HH80" s="454"/>
      <c r="HI80" s="454"/>
      <c r="HJ80" s="454"/>
      <c r="HK80" s="454"/>
      <c r="HL80" s="454"/>
      <c r="HM80" s="454"/>
      <c r="HN80" s="454"/>
      <c r="HO80" s="454"/>
      <c r="HP80" s="454"/>
      <c r="HQ80" s="454"/>
      <c r="HR80" s="454"/>
      <c r="HS80" s="454"/>
      <c r="HT80" s="454"/>
      <c r="HU80" s="454"/>
      <c r="HV80" s="454"/>
      <c r="HW80" s="454"/>
      <c r="HX80" s="454"/>
      <c r="HY80" s="454"/>
      <c r="HZ80" s="454"/>
      <c r="IA80" s="454"/>
      <c r="IB80" s="454"/>
      <c r="IC80" s="454"/>
      <c r="ID80" s="454"/>
      <c r="IE80" s="454"/>
      <c r="IF80" s="454"/>
      <c r="IG80" s="454"/>
      <c r="IH80" s="454"/>
      <c r="II80" s="454"/>
      <c r="IJ80" s="454"/>
      <c r="IK80" s="454"/>
      <c r="IL80" s="454"/>
      <c r="IM80" s="454"/>
      <c r="IN80" s="454"/>
      <c r="IO80" s="454"/>
      <c r="IP80" s="454"/>
      <c r="IQ80" s="454"/>
      <c r="IR80" s="454"/>
      <c r="IS80" s="454"/>
      <c r="IT80" s="454"/>
      <c r="IU80" s="454"/>
    </row>
    <row r="81" spans="1:256" s="456" customFormat="1" ht="12" customHeight="1">
      <c r="A81" s="451"/>
      <c r="B81" s="17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459"/>
      <c r="AD81" s="459"/>
      <c r="AE81" s="451"/>
      <c r="AF81" s="451"/>
      <c r="AG81" s="451"/>
    </row>
    <row r="82" spans="1:256" s="455" customFormat="1" ht="12" customHeight="1">
      <c r="A82" s="231" t="s">
        <v>98</v>
      </c>
      <c r="B82" s="17"/>
      <c r="C82" s="17"/>
      <c r="D82" s="464"/>
      <c r="E82" s="464"/>
      <c r="F82" s="464"/>
      <c r="G82" s="464"/>
      <c r="H82" s="464"/>
      <c r="I82" s="464"/>
      <c r="J82" s="464"/>
      <c r="K82" s="464"/>
      <c r="L82" s="464"/>
      <c r="M82" s="464"/>
      <c r="N82" s="464"/>
      <c r="O82" s="464"/>
      <c r="P82" s="464"/>
      <c r="Q82" s="464"/>
      <c r="R82" s="464"/>
      <c r="S82" s="464"/>
      <c r="T82" s="464"/>
      <c r="U82" s="464"/>
      <c r="V82" s="464"/>
      <c r="W82" s="464"/>
      <c r="X82" s="464"/>
      <c r="Y82" s="464"/>
      <c r="Z82" s="464"/>
      <c r="AA82" s="464"/>
      <c r="AB82" s="464"/>
      <c r="AC82" s="451"/>
      <c r="AD82" s="451"/>
      <c r="AE82" s="453"/>
      <c r="AF82" s="453"/>
      <c r="AG82" s="453"/>
      <c r="AH82" s="454"/>
      <c r="AI82" s="454"/>
      <c r="AJ82" s="454"/>
      <c r="AK82" s="454"/>
      <c r="AL82" s="454"/>
      <c r="AM82" s="454"/>
      <c r="AN82" s="454"/>
      <c r="AO82" s="454"/>
      <c r="AP82" s="454"/>
      <c r="AQ82" s="454"/>
      <c r="AR82" s="454"/>
      <c r="AS82" s="454"/>
      <c r="AT82" s="454"/>
      <c r="AU82" s="454"/>
      <c r="AV82" s="454"/>
      <c r="AW82" s="454"/>
      <c r="AX82" s="454"/>
      <c r="AY82" s="454"/>
      <c r="AZ82" s="454"/>
      <c r="BA82" s="454"/>
      <c r="BB82" s="454"/>
      <c r="BC82" s="454"/>
      <c r="BD82" s="454"/>
      <c r="BE82" s="454"/>
      <c r="BF82" s="454"/>
      <c r="BG82" s="454"/>
      <c r="BH82" s="454"/>
      <c r="BI82" s="454"/>
      <c r="BJ82" s="454"/>
      <c r="BK82" s="454"/>
      <c r="BL82" s="454"/>
      <c r="BM82" s="454"/>
      <c r="BN82" s="454"/>
      <c r="BO82" s="454"/>
      <c r="BP82" s="454"/>
      <c r="BQ82" s="454"/>
      <c r="BR82" s="454"/>
      <c r="BS82" s="454"/>
      <c r="BT82" s="454"/>
      <c r="BU82" s="454"/>
      <c r="BV82" s="454"/>
      <c r="BW82" s="454"/>
      <c r="BX82" s="454"/>
      <c r="BY82" s="454"/>
      <c r="BZ82" s="454"/>
      <c r="CA82" s="454"/>
      <c r="CB82" s="454"/>
      <c r="CC82" s="454"/>
      <c r="CD82" s="454"/>
      <c r="CE82" s="454"/>
      <c r="CF82" s="454"/>
      <c r="CG82" s="454"/>
      <c r="CH82" s="454"/>
      <c r="CI82" s="454"/>
      <c r="CJ82" s="454"/>
      <c r="CK82" s="454"/>
      <c r="CL82" s="454"/>
      <c r="CM82" s="454"/>
      <c r="CN82" s="454"/>
      <c r="CO82" s="454"/>
      <c r="CP82" s="454"/>
      <c r="CQ82" s="454"/>
      <c r="CR82" s="454"/>
      <c r="CS82" s="454"/>
      <c r="CT82" s="454"/>
      <c r="CU82" s="454"/>
      <c r="CV82" s="454"/>
      <c r="CW82" s="454"/>
      <c r="CX82" s="454"/>
      <c r="CY82" s="454"/>
      <c r="CZ82" s="454"/>
      <c r="DA82" s="454"/>
      <c r="DB82" s="454"/>
      <c r="DC82" s="454"/>
      <c r="DD82" s="454"/>
      <c r="DE82" s="454"/>
      <c r="DF82" s="454"/>
      <c r="DG82" s="454"/>
      <c r="DH82" s="454"/>
      <c r="DI82" s="454"/>
      <c r="DJ82" s="454"/>
      <c r="DK82" s="454"/>
      <c r="DL82" s="454"/>
      <c r="DM82" s="454"/>
      <c r="DN82" s="454"/>
      <c r="DO82" s="454"/>
      <c r="DP82" s="454"/>
      <c r="DQ82" s="454"/>
      <c r="DR82" s="454"/>
      <c r="DS82" s="454"/>
      <c r="DT82" s="454"/>
      <c r="DU82" s="454"/>
      <c r="DV82" s="454"/>
      <c r="DW82" s="454"/>
      <c r="DX82" s="454"/>
      <c r="DY82" s="454"/>
      <c r="DZ82" s="454"/>
      <c r="EA82" s="454"/>
      <c r="EB82" s="454"/>
      <c r="EC82" s="454"/>
      <c r="ED82" s="454"/>
      <c r="EE82" s="454"/>
      <c r="EF82" s="454"/>
      <c r="EG82" s="454"/>
      <c r="EH82" s="454"/>
      <c r="EI82" s="454"/>
      <c r="EJ82" s="454"/>
      <c r="EK82" s="454"/>
      <c r="EL82" s="454"/>
      <c r="EM82" s="454"/>
      <c r="EN82" s="454"/>
      <c r="EO82" s="454"/>
      <c r="EP82" s="454"/>
      <c r="EQ82" s="454"/>
      <c r="ER82" s="454"/>
      <c r="ES82" s="454"/>
      <c r="ET82" s="454"/>
      <c r="EU82" s="454"/>
      <c r="EV82" s="454"/>
      <c r="EW82" s="454"/>
      <c r="EX82" s="454"/>
      <c r="EY82" s="454"/>
      <c r="EZ82" s="454"/>
      <c r="FA82" s="454"/>
      <c r="FB82" s="454"/>
      <c r="FC82" s="454"/>
      <c r="FD82" s="454"/>
      <c r="FE82" s="454"/>
      <c r="FF82" s="454"/>
      <c r="FG82" s="454"/>
      <c r="FH82" s="454"/>
      <c r="FI82" s="454"/>
      <c r="FJ82" s="454"/>
      <c r="FK82" s="454"/>
      <c r="FL82" s="454"/>
      <c r="FM82" s="454"/>
      <c r="FN82" s="454"/>
      <c r="FO82" s="454"/>
      <c r="FP82" s="454"/>
      <c r="FQ82" s="454"/>
      <c r="FR82" s="454"/>
      <c r="FS82" s="454"/>
      <c r="FT82" s="454"/>
      <c r="FU82" s="454"/>
      <c r="FV82" s="454"/>
      <c r="FW82" s="454"/>
      <c r="FX82" s="454"/>
      <c r="FY82" s="454"/>
      <c r="FZ82" s="454"/>
      <c r="GA82" s="454"/>
      <c r="GB82" s="454"/>
      <c r="GC82" s="454"/>
      <c r="GD82" s="454"/>
      <c r="GE82" s="454"/>
      <c r="GF82" s="454"/>
      <c r="GG82" s="454"/>
      <c r="GH82" s="454"/>
      <c r="GI82" s="454"/>
      <c r="GJ82" s="454"/>
      <c r="GK82" s="454"/>
      <c r="GL82" s="454"/>
      <c r="GM82" s="454"/>
      <c r="GN82" s="454"/>
      <c r="GO82" s="454"/>
      <c r="GP82" s="454"/>
      <c r="GQ82" s="454"/>
      <c r="GR82" s="454"/>
      <c r="GS82" s="454"/>
      <c r="GT82" s="454"/>
      <c r="GU82" s="454"/>
      <c r="GV82" s="454"/>
      <c r="GW82" s="454"/>
      <c r="GX82" s="454"/>
      <c r="GY82" s="454"/>
      <c r="GZ82" s="454"/>
      <c r="HA82" s="454"/>
      <c r="HB82" s="454"/>
      <c r="HC82" s="454"/>
      <c r="HD82" s="454"/>
      <c r="HE82" s="454"/>
      <c r="HF82" s="454"/>
      <c r="HG82" s="454"/>
      <c r="HH82" s="454"/>
      <c r="HI82" s="454"/>
      <c r="HJ82" s="454"/>
      <c r="HK82" s="454"/>
      <c r="HL82" s="454"/>
      <c r="HM82" s="454"/>
      <c r="HN82" s="454"/>
      <c r="HO82" s="454"/>
      <c r="HP82" s="454"/>
      <c r="HQ82" s="454"/>
      <c r="HR82" s="454"/>
      <c r="HS82" s="454"/>
      <c r="HT82" s="454"/>
      <c r="HU82" s="454"/>
      <c r="HV82" s="454"/>
      <c r="HW82" s="454"/>
      <c r="HX82" s="454"/>
      <c r="HY82" s="454"/>
      <c r="HZ82" s="454"/>
      <c r="IA82" s="454"/>
      <c r="IB82" s="454"/>
      <c r="IC82" s="454"/>
      <c r="ID82" s="454"/>
      <c r="IE82" s="454"/>
      <c r="IF82" s="454"/>
      <c r="IG82" s="454"/>
      <c r="IH82" s="454"/>
      <c r="II82" s="454"/>
      <c r="IJ82" s="454"/>
      <c r="IK82" s="454"/>
      <c r="IL82" s="454"/>
      <c r="IM82" s="454"/>
      <c r="IN82" s="454"/>
      <c r="IO82" s="454"/>
      <c r="IP82" s="454"/>
      <c r="IQ82" s="454"/>
      <c r="IR82" s="454"/>
      <c r="IS82" s="454"/>
      <c r="IT82" s="454"/>
      <c r="IU82" s="454"/>
      <c r="IV82" s="454"/>
    </row>
    <row r="83" spans="1:256" s="455" customFormat="1" ht="12" customHeight="1">
      <c r="A83" s="21" t="s">
        <v>208</v>
      </c>
      <c r="B83" s="465">
        <f>B20</f>
        <v>33094.542594799401</v>
      </c>
      <c r="C83" s="465">
        <f t="shared" ref="C83:U83" si="21">C20</f>
        <v>33113.769847625474</v>
      </c>
      <c r="D83" s="465">
        <f t="shared" si="21"/>
        <v>33133.85730066133</v>
      </c>
      <c r="E83" s="465">
        <f t="shared" si="21"/>
        <v>39555.144505049946</v>
      </c>
      <c r="F83" s="465">
        <f t="shared" si="21"/>
        <v>41216.955269453625</v>
      </c>
      <c r="G83" s="465">
        <f t="shared" si="21"/>
        <v>42054.520247781496</v>
      </c>
      <c r="H83" s="465">
        <f t="shared" si="21"/>
        <v>42910.066191607308</v>
      </c>
      <c r="I83" s="465">
        <f t="shared" si="21"/>
        <v>43782.76918208658</v>
      </c>
      <c r="J83" s="465">
        <f t="shared" si="21"/>
        <v>44674.823169110743</v>
      </c>
      <c r="K83" s="465">
        <f t="shared" si="21"/>
        <v>45586.378639896262</v>
      </c>
      <c r="L83" s="465">
        <f t="shared" si="21"/>
        <v>46335.706855391945</v>
      </c>
      <c r="M83" s="465">
        <f t="shared" si="21"/>
        <v>47098.746834091064</v>
      </c>
      <c r="N83" s="465">
        <f t="shared" si="21"/>
        <v>47875.396714871888</v>
      </c>
      <c r="O83" s="465">
        <f t="shared" si="21"/>
        <v>48664.445967791769</v>
      </c>
      <c r="P83" s="465">
        <f t="shared" si="21"/>
        <v>49466.18328507687</v>
      </c>
      <c r="Q83" s="465">
        <f t="shared" si="21"/>
        <v>50049.933226911868</v>
      </c>
      <c r="R83" s="465">
        <f t="shared" si="21"/>
        <v>50640.232849304055</v>
      </c>
      <c r="S83" s="465">
        <f t="shared" si="21"/>
        <v>51237.429122856469</v>
      </c>
      <c r="T83" s="465">
        <f t="shared" si="21"/>
        <v>51841.89832263736</v>
      </c>
      <c r="U83" s="465">
        <f t="shared" si="21"/>
        <v>52454.047905602791</v>
      </c>
      <c r="V83" s="461"/>
      <c r="W83" s="461"/>
      <c r="X83" s="461"/>
      <c r="Y83" s="461"/>
      <c r="Z83" s="461"/>
      <c r="AA83" s="461"/>
      <c r="AB83" s="461"/>
      <c r="AC83" s="451"/>
      <c r="AD83" s="451"/>
      <c r="AE83" s="453"/>
      <c r="AF83" s="453"/>
      <c r="AG83" s="453"/>
      <c r="AH83" s="454"/>
      <c r="AI83" s="454"/>
      <c r="AJ83" s="454"/>
      <c r="AK83" s="454"/>
      <c r="AL83" s="454"/>
      <c r="AM83" s="454"/>
      <c r="AN83" s="454"/>
      <c r="AO83" s="454"/>
      <c r="AP83" s="454"/>
      <c r="AQ83" s="454"/>
      <c r="AR83" s="454"/>
      <c r="AS83" s="454"/>
      <c r="AT83" s="454"/>
      <c r="AU83" s="454"/>
      <c r="AV83" s="454"/>
      <c r="AW83" s="454"/>
      <c r="AX83" s="454"/>
      <c r="AY83" s="454"/>
      <c r="AZ83" s="454"/>
      <c r="BA83" s="454"/>
      <c r="BB83" s="454"/>
      <c r="BC83" s="454"/>
      <c r="BD83" s="454"/>
      <c r="BE83" s="454"/>
      <c r="BF83" s="454"/>
      <c r="BG83" s="454"/>
      <c r="BH83" s="454"/>
      <c r="BI83" s="454"/>
      <c r="BJ83" s="454"/>
      <c r="BK83" s="454"/>
      <c r="BL83" s="454"/>
      <c r="BM83" s="454"/>
      <c r="BN83" s="454"/>
      <c r="BO83" s="454"/>
      <c r="BP83" s="454"/>
      <c r="BQ83" s="454"/>
      <c r="BR83" s="454"/>
      <c r="BS83" s="454"/>
      <c r="BT83" s="454"/>
      <c r="BU83" s="454"/>
      <c r="BV83" s="454"/>
      <c r="BW83" s="454"/>
      <c r="BX83" s="454"/>
      <c r="BY83" s="454"/>
      <c r="BZ83" s="454"/>
      <c r="CA83" s="454"/>
      <c r="CB83" s="454"/>
      <c r="CC83" s="454"/>
      <c r="CD83" s="454"/>
      <c r="CE83" s="454"/>
      <c r="CF83" s="454"/>
      <c r="CG83" s="454"/>
      <c r="CH83" s="454"/>
      <c r="CI83" s="454"/>
      <c r="CJ83" s="454"/>
      <c r="CK83" s="454"/>
      <c r="CL83" s="454"/>
      <c r="CM83" s="454"/>
      <c r="CN83" s="454"/>
      <c r="CO83" s="454"/>
      <c r="CP83" s="454"/>
      <c r="CQ83" s="454"/>
      <c r="CR83" s="454"/>
      <c r="CS83" s="454"/>
      <c r="CT83" s="454"/>
      <c r="CU83" s="454"/>
      <c r="CV83" s="454"/>
      <c r="CW83" s="454"/>
      <c r="CX83" s="454"/>
      <c r="CY83" s="454"/>
      <c r="CZ83" s="454"/>
      <c r="DA83" s="454"/>
      <c r="DB83" s="454"/>
      <c r="DC83" s="454"/>
      <c r="DD83" s="454"/>
      <c r="DE83" s="454"/>
      <c r="DF83" s="454"/>
      <c r="DG83" s="454"/>
      <c r="DH83" s="454"/>
      <c r="DI83" s="454"/>
      <c r="DJ83" s="454"/>
      <c r="DK83" s="454"/>
      <c r="DL83" s="454"/>
      <c r="DM83" s="454"/>
      <c r="DN83" s="454"/>
      <c r="DO83" s="454"/>
      <c r="DP83" s="454"/>
      <c r="DQ83" s="454"/>
      <c r="DR83" s="454"/>
      <c r="DS83" s="454"/>
      <c r="DT83" s="454"/>
      <c r="DU83" s="454"/>
      <c r="DV83" s="454"/>
      <c r="DW83" s="454"/>
      <c r="DX83" s="454"/>
      <c r="DY83" s="454"/>
      <c r="DZ83" s="454"/>
      <c r="EA83" s="454"/>
      <c r="EB83" s="454"/>
      <c r="EC83" s="454"/>
      <c r="ED83" s="454"/>
      <c r="EE83" s="454"/>
      <c r="EF83" s="454"/>
      <c r="EG83" s="454"/>
      <c r="EH83" s="454"/>
      <c r="EI83" s="454"/>
      <c r="EJ83" s="454"/>
      <c r="EK83" s="454"/>
      <c r="EL83" s="454"/>
      <c r="EM83" s="454"/>
      <c r="EN83" s="454"/>
      <c r="EO83" s="454"/>
      <c r="EP83" s="454"/>
      <c r="EQ83" s="454"/>
      <c r="ER83" s="454"/>
      <c r="ES83" s="454"/>
      <c r="ET83" s="454"/>
      <c r="EU83" s="454"/>
      <c r="EV83" s="454"/>
      <c r="EW83" s="454"/>
      <c r="EX83" s="454"/>
      <c r="EY83" s="454"/>
      <c r="EZ83" s="454"/>
      <c r="FA83" s="454"/>
      <c r="FB83" s="454"/>
      <c r="FC83" s="454"/>
      <c r="FD83" s="454"/>
      <c r="FE83" s="454"/>
      <c r="FF83" s="454"/>
      <c r="FG83" s="454"/>
      <c r="FH83" s="454"/>
      <c r="FI83" s="454"/>
      <c r="FJ83" s="454"/>
      <c r="FK83" s="454"/>
      <c r="FL83" s="454"/>
      <c r="FM83" s="454"/>
      <c r="FN83" s="454"/>
      <c r="FO83" s="454"/>
      <c r="FP83" s="454"/>
      <c r="FQ83" s="454"/>
      <c r="FR83" s="454"/>
      <c r="FS83" s="454"/>
      <c r="FT83" s="454"/>
      <c r="FU83" s="454"/>
      <c r="FV83" s="454"/>
      <c r="FW83" s="454"/>
      <c r="FX83" s="454"/>
      <c r="FY83" s="454"/>
      <c r="FZ83" s="454"/>
      <c r="GA83" s="454"/>
      <c r="GB83" s="454"/>
      <c r="GC83" s="454"/>
      <c r="GD83" s="454"/>
      <c r="GE83" s="454"/>
      <c r="GF83" s="454"/>
      <c r="GG83" s="454"/>
      <c r="GH83" s="454"/>
      <c r="GI83" s="454"/>
      <c r="GJ83" s="454"/>
      <c r="GK83" s="454"/>
      <c r="GL83" s="454"/>
      <c r="GM83" s="454"/>
      <c r="GN83" s="454"/>
      <c r="GO83" s="454"/>
      <c r="GP83" s="454"/>
      <c r="GQ83" s="454"/>
      <c r="GR83" s="454"/>
      <c r="GS83" s="454"/>
      <c r="GT83" s="454"/>
      <c r="GU83" s="454"/>
      <c r="GV83" s="454"/>
      <c r="GW83" s="454"/>
      <c r="GX83" s="454"/>
      <c r="GY83" s="454"/>
      <c r="GZ83" s="454"/>
      <c r="HA83" s="454"/>
      <c r="HB83" s="454"/>
      <c r="HC83" s="454"/>
      <c r="HD83" s="454"/>
      <c r="HE83" s="454"/>
      <c r="HF83" s="454"/>
      <c r="HG83" s="454"/>
      <c r="HH83" s="454"/>
      <c r="HI83" s="454"/>
      <c r="HJ83" s="454"/>
      <c r="HK83" s="454"/>
      <c r="HL83" s="454"/>
      <c r="HM83" s="454"/>
      <c r="HN83" s="454"/>
      <c r="HO83" s="454"/>
      <c r="HP83" s="454"/>
      <c r="HQ83" s="454"/>
      <c r="HR83" s="454"/>
      <c r="HS83" s="454"/>
      <c r="HT83" s="454"/>
      <c r="HU83" s="454"/>
      <c r="HV83" s="454"/>
      <c r="HW83" s="454"/>
      <c r="HX83" s="454"/>
      <c r="HY83" s="454"/>
      <c r="HZ83" s="454"/>
      <c r="IA83" s="454"/>
      <c r="IB83" s="454"/>
      <c r="IC83" s="454"/>
      <c r="ID83" s="454"/>
      <c r="IE83" s="454"/>
      <c r="IF83" s="454"/>
      <c r="IG83" s="454"/>
      <c r="IH83" s="454"/>
      <c r="II83" s="454"/>
      <c r="IJ83" s="454"/>
      <c r="IK83" s="454"/>
      <c r="IL83" s="454"/>
      <c r="IM83" s="454"/>
      <c r="IN83" s="454"/>
      <c r="IO83" s="454"/>
      <c r="IP83" s="454"/>
      <c r="IQ83" s="454"/>
      <c r="IR83" s="454"/>
      <c r="IS83" s="454"/>
      <c r="IT83" s="454"/>
      <c r="IU83" s="454"/>
      <c r="IV83" s="454"/>
    </row>
    <row r="84" spans="1:256" s="455" customFormat="1" ht="12" customHeight="1">
      <c r="A84" s="21" t="s">
        <v>209</v>
      </c>
      <c r="B84" s="462">
        <f>Assumptions!$H$49</f>
        <v>1.2E-2</v>
      </c>
      <c r="C84" s="462">
        <f>Assumptions!$H$49</f>
        <v>1.2E-2</v>
      </c>
      <c r="D84" s="462">
        <f>Assumptions!$H$49</f>
        <v>1.2E-2</v>
      </c>
      <c r="E84" s="462">
        <f>Assumptions!$H$49</f>
        <v>1.2E-2</v>
      </c>
      <c r="F84" s="462">
        <f>Assumptions!$H$49</f>
        <v>1.2E-2</v>
      </c>
      <c r="G84" s="462">
        <f>Assumptions!$H$49</f>
        <v>1.2E-2</v>
      </c>
      <c r="H84" s="462">
        <f>Assumptions!$H$49</f>
        <v>1.2E-2</v>
      </c>
      <c r="I84" s="462">
        <f>Assumptions!$H$49</f>
        <v>1.2E-2</v>
      </c>
      <c r="J84" s="462">
        <f>Assumptions!$H$49</f>
        <v>1.2E-2</v>
      </c>
      <c r="K84" s="462">
        <f>Assumptions!$H$49</f>
        <v>1.2E-2</v>
      </c>
      <c r="L84" s="462">
        <f>Assumptions!$H$49</f>
        <v>1.2E-2</v>
      </c>
      <c r="M84" s="462">
        <f>Assumptions!$H$49</f>
        <v>1.2E-2</v>
      </c>
      <c r="N84" s="462">
        <f>Assumptions!$H$49</f>
        <v>1.2E-2</v>
      </c>
      <c r="O84" s="462">
        <f>Assumptions!$H$49</f>
        <v>1.2E-2</v>
      </c>
      <c r="P84" s="462">
        <f>Assumptions!$H$49</f>
        <v>1.2E-2</v>
      </c>
      <c r="Q84" s="462">
        <f>Assumptions!$H$49</f>
        <v>1.2E-2</v>
      </c>
      <c r="R84" s="462">
        <f>Assumptions!$H$49</f>
        <v>1.2E-2</v>
      </c>
      <c r="S84" s="462">
        <f>Assumptions!$H$49</f>
        <v>1.2E-2</v>
      </c>
      <c r="T84" s="462">
        <f>Assumptions!$H$49</f>
        <v>1.2E-2</v>
      </c>
      <c r="U84" s="462">
        <f>Assumptions!$H$49</f>
        <v>1.2E-2</v>
      </c>
      <c r="V84" s="462"/>
      <c r="W84" s="462"/>
      <c r="X84" s="462"/>
      <c r="Y84" s="462"/>
      <c r="Z84" s="462"/>
      <c r="AA84" s="462"/>
      <c r="AB84" s="462"/>
      <c r="AC84" s="451"/>
      <c r="AD84" s="451"/>
      <c r="AE84" s="453"/>
      <c r="AF84" s="453"/>
      <c r="AG84" s="453"/>
      <c r="AH84" s="454"/>
      <c r="AI84" s="454"/>
      <c r="AJ84" s="454"/>
      <c r="AK84" s="454"/>
      <c r="AL84" s="454"/>
      <c r="AM84" s="454"/>
      <c r="AN84" s="454"/>
      <c r="AO84" s="454"/>
      <c r="AP84" s="454"/>
      <c r="AQ84" s="454"/>
      <c r="AR84" s="454"/>
      <c r="AS84" s="454"/>
      <c r="AT84" s="454"/>
      <c r="AU84" s="454"/>
      <c r="AV84" s="454"/>
      <c r="AW84" s="454"/>
      <c r="AX84" s="454"/>
      <c r="AY84" s="454"/>
      <c r="AZ84" s="454"/>
      <c r="BA84" s="454"/>
      <c r="BB84" s="454"/>
      <c r="BC84" s="454"/>
      <c r="BD84" s="454"/>
      <c r="BE84" s="454"/>
      <c r="BF84" s="454"/>
      <c r="BG84" s="454"/>
      <c r="BH84" s="454"/>
      <c r="BI84" s="454"/>
      <c r="BJ84" s="454"/>
      <c r="BK84" s="454"/>
      <c r="BL84" s="454"/>
      <c r="BM84" s="454"/>
      <c r="BN84" s="454"/>
      <c r="BO84" s="454"/>
      <c r="BP84" s="454"/>
      <c r="BQ84" s="454"/>
      <c r="BR84" s="454"/>
      <c r="BS84" s="454"/>
      <c r="BT84" s="454"/>
      <c r="BU84" s="454"/>
      <c r="BV84" s="454"/>
      <c r="BW84" s="454"/>
      <c r="BX84" s="454"/>
      <c r="BY84" s="454"/>
      <c r="BZ84" s="454"/>
      <c r="CA84" s="454"/>
      <c r="CB84" s="454"/>
      <c r="CC84" s="454"/>
      <c r="CD84" s="454"/>
      <c r="CE84" s="454"/>
      <c r="CF84" s="454"/>
      <c r="CG84" s="454"/>
      <c r="CH84" s="454"/>
      <c r="CI84" s="454"/>
      <c r="CJ84" s="454"/>
      <c r="CK84" s="454"/>
      <c r="CL84" s="454"/>
      <c r="CM84" s="454"/>
      <c r="CN84" s="454"/>
      <c r="CO84" s="454"/>
      <c r="CP84" s="454"/>
      <c r="CQ84" s="454"/>
      <c r="CR84" s="454"/>
      <c r="CS84" s="454"/>
      <c r="CT84" s="454"/>
      <c r="CU84" s="454"/>
      <c r="CV84" s="454"/>
      <c r="CW84" s="454"/>
      <c r="CX84" s="454"/>
      <c r="CY84" s="454"/>
      <c r="CZ84" s="454"/>
      <c r="DA84" s="454"/>
      <c r="DB84" s="454"/>
      <c r="DC84" s="454"/>
      <c r="DD84" s="454"/>
      <c r="DE84" s="454"/>
      <c r="DF84" s="454"/>
      <c r="DG84" s="454"/>
      <c r="DH84" s="454"/>
      <c r="DI84" s="454"/>
      <c r="DJ84" s="454"/>
      <c r="DK84" s="454"/>
      <c r="DL84" s="454"/>
      <c r="DM84" s="454"/>
      <c r="DN84" s="454"/>
      <c r="DO84" s="454"/>
      <c r="DP84" s="454"/>
      <c r="DQ84" s="454"/>
      <c r="DR84" s="454"/>
      <c r="DS84" s="454"/>
      <c r="DT84" s="454"/>
      <c r="DU84" s="454"/>
      <c r="DV84" s="454"/>
      <c r="DW84" s="454"/>
      <c r="DX84" s="454"/>
      <c r="DY84" s="454"/>
      <c r="DZ84" s="454"/>
      <c r="EA84" s="454"/>
      <c r="EB84" s="454"/>
      <c r="EC84" s="454"/>
      <c r="ED84" s="454"/>
      <c r="EE84" s="454"/>
      <c r="EF84" s="454"/>
      <c r="EG84" s="454"/>
      <c r="EH84" s="454"/>
      <c r="EI84" s="454"/>
      <c r="EJ84" s="454"/>
      <c r="EK84" s="454"/>
      <c r="EL84" s="454"/>
      <c r="EM84" s="454"/>
      <c r="EN84" s="454"/>
      <c r="EO84" s="454"/>
      <c r="EP84" s="454"/>
      <c r="EQ84" s="454"/>
      <c r="ER84" s="454"/>
      <c r="ES84" s="454"/>
      <c r="ET84" s="454"/>
      <c r="EU84" s="454"/>
      <c r="EV84" s="454"/>
      <c r="EW84" s="454"/>
      <c r="EX84" s="454"/>
      <c r="EY84" s="454"/>
      <c r="EZ84" s="454"/>
      <c r="FA84" s="454"/>
      <c r="FB84" s="454"/>
      <c r="FC84" s="454"/>
      <c r="FD84" s="454"/>
      <c r="FE84" s="454"/>
      <c r="FF84" s="454"/>
      <c r="FG84" s="454"/>
      <c r="FH84" s="454"/>
      <c r="FI84" s="454"/>
      <c r="FJ84" s="454"/>
      <c r="FK84" s="454"/>
      <c r="FL84" s="454"/>
      <c r="FM84" s="454"/>
      <c r="FN84" s="454"/>
      <c r="FO84" s="454"/>
      <c r="FP84" s="454"/>
      <c r="FQ84" s="454"/>
      <c r="FR84" s="454"/>
      <c r="FS84" s="454"/>
      <c r="FT84" s="454"/>
      <c r="FU84" s="454"/>
      <c r="FV84" s="454"/>
      <c r="FW84" s="454"/>
      <c r="FX84" s="454"/>
      <c r="FY84" s="454"/>
      <c r="FZ84" s="454"/>
      <c r="GA84" s="454"/>
      <c r="GB84" s="454"/>
      <c r="GC84" s="454"/>
      <c r="GD84" s="454"/>
      <c r="GE84" s="454"/>
      <c r="GF84" s="454"/>
      <c r="GG84" s="454"/>
      <c r="GH84" s="454"/>
      <c r="GI84" s="454"/>
      <c r="GJ84" s="454"/>
      <c r="GK84" s="454"/>
      <c r="GL84" s="454"/>
      <c r="GM84" s="454"/>
      <c r="GN84" s="454"/>
      <c r="GO84" s="454"/>
      <c r="GP84" s="454"/>
      <c r="GQ84" s="454"/>
      <c r="GR84" s="454"/>
      <c r="GS84" s="454"/>
      <c r="GT84" s="454"/>
      <c r="GU84" s="454"/>
      <c r="GV84" s="454"/>
      <c r="GW84" s="454"/>
      <c r="GX84" s="454"/>
      <c r="GY84" s="454"/>
      <c r="GZ84" s="454"/>
      <c r="HA84" s="454"/>
      <c r="HB84" s="454"/>
      <c r="HC84" s="454"/>
      <c r="HD84" s="454"/>
      <c r="HE84" s="454"/>
      <c r="HF84" s="454"/>
      <c r="HG84" s="454"/>
      <c r="HH84" s="454"/>
      <c r="HI84" s="454"/>
      <c r="HJ84" s="454"/>
      <c r="HK84" s="454"/>
      <c r="HL84" s="454"/>
      <c r="HM84" s="454"/>
      <c r="HN84" s="454"/>
      <c r="HO84" s="454"/>
      <c r="HP84" s="454"/>
      <c r="HQ84" s="454"/>
      <c r="HR84" s="454"/>
      <c r="HS84" s="454"/>
      <c r="HT84" s="454"/>
      <c r="HU84" s="454"/>
      <c r="HV84" s="454"/>
      <c r="HW84" s="454"/>
      <c r="HX84" s="454"/>
      <c r="HY84" s="454"/>
      <c r="HZ84" s="454"/>
      <c r="IA84" s="454"/>
      <c r="IB84" s="454"/>
      <c r="IC84" s="454"/>
      <c r="ID84" s="454"/>
      <c r="IE84" s="454"/>
      <c r="IF84" s="454"/>
      <c r="IG84" s="454"/>
      <c r="IH84" s="454"/>
      <c r="II84" s="454"/>
      <c r="IJ84" s="454"/>
      <c r="IK84" s="454"/>
      <c r="IL84" s="454"/>
      <c r="IM84" s="454"/>
      <c r="IN84" s="454"/>
      <c r="IO84" s="454"/>
      <c r="IP84" s="454"/>
      <c r="IQ84" s="454"/>
      <c r="IR84" s="454"/>
      <c r="IS84" s="454"/>
      <c r="IT84" s="454"/>
      <c r="IU84" s="454"/>
      <c r="IV84" s="454"/>
    </row>
    <row r="85" spans="1:256" s="455" customFormat="1" ht="12" customHeight="1">
      <c r="A85" s="21" t="s">
        <v>210</v>
      </c>
      <c r="B85" s="22">
        <f>B83*B84</f>
        <v>397.13451113759282</v>
      </c>
      <c r="C85" s="22">
        <f t="shared" ref="C85:U85" si="22">C83*C84</f>
        <v>397.36523817150567</v>
      </c>
      <c r="D85" s="22">
        <f t="shared" si="22"/>
        <v>397.60628760793594</v>
      </c>
      <c r="E85" s="22">
        <f t="shared" si="22"/>
        <v>474.66173406059937</v>
      </c>
      <c r="F85" s="22">
        <f t="shared" si="22"/>
        <v>494.60346323344351</v>
      </c>
      <c r="G85" s="22">
        <f t="shared" si="22"/>
        <v>504.65424297337796</v>
      </c>
      <c r="H85" s="22">
        <f t="shared" si="22"/>
        <v>514.92079429928765</v>
      </c>
      <c r="I85" s="22">
        <f t="shared" si="22"/>
        <v>525.39323018503899</v>
      </c>
      <c r="J85" s="22">
        <f t="shared" si="22"/>
        <v>536.09787802932897</v>
      </c>
      <c r="K85" s="22">
        <f t="shared" si="22"/>
        <v>547.03654367875515</v>
      </c>
      <c r="L85" s="22">
        <f t="shared" si="22"/>
        <v>556.02848226470337</v>
      </c>
      <c r="M85" s="22">
        <f t="shared" si="22"/>
        <v>565.18496200909283</v>
      </c>
      <c r="N85" s="22">
        <f t="shared" si="22"/>
        <v>574.50476057846265</v>
      </c>
      <c r="O85" s="22">
        <f t="shared" si="22"/>
        <v>583.97335161350122</v>
      </c>
      <c r="P85" s="22">
        <f t="shared" si="22"/>
        <v>593.59419942092245</v>
      </c>
      <c r="Q85" s="22">
        <f t="shared" si="22"/>
        <v>600.59919872294245</v>
      </c>
      <c r="R85" s="22">
        <f t="shared" si="22"/>
        <v>607.68279419164867</v>
      </c>
      <c r="S85" s="22">
        <f t="shared" si="22"/>
        <v>614.84914947427762</v>
      </c>
      <c r="T85" s="22">
        <f t="shared" si="22"/>
        <v>622.10277987164829</v>
      </c>
      <c r="U85" s="22">
        <f t="shared" si="22"/>
        <v>629.44857486723345</v>
      </c>
      <c r="V85" s="463"/>
      <c r="W85" s="463"/>
      <c r="X85" s="463"/>
      <c r="Y85" s="463"/>
      <c r="Z85" s="463"/>
      <c r="AA85" s="463"/>
      <c r="AB85" s="463"/>
      <c r="AC85" s="451"/>
      <c r="AD85" s="451"/>
      <c r="AE85" s="453"/>
      <c r="AF85" s="453"/>
      <c r="AG85" s="453"/>
      <c r="AH85" s="454"/>
      <c r="AI85" s="454"/>
      <c r="AJ85" s="454"/>
      <c r="AK85" s="454"/>
      <c r="AL85" s="454"/>
      <c r="AM85" s="454"/>
      <c r="AN85" s="454"/>
      <c r="AO85" s="454"/>
      <c r="AP85" s="454"/>
      <c r="AQ85" s="454"/>
      <c r="AR85" s="454"/>
      <c r="AS85" s="454"/>
      <c r="AT85" s="454"/>
      <c r="AU85" s="454"/>
      <c r="AV85" s="454"/>
      <c r="AW85" s="454"/>
      <c r="AX85" s="454"/>
      <c r="AY85" s="454"/>
      <c r="AZ85" s="454"/>
      <c r="BA85" s="454"/>
      <c r="BB85" s="454"/>
      <c r="BC85" s="454"/>
      <c r="BD85" s="454"/>
      <c r="BE85" s="454"/>
      <c r="BF85" s="454"/>
      <c r="BG85" s="454"/>
      <c r="BH85" s="454"/>
      <c r="BI85" s="454"/>
      <c r="BJ85" s="454"/>
      <c r="BK85" s="454"/>
      <c r="BL85" s="454"/>
      <c r="BM85" s="454"/>
      <c r="BN85" s="454"/>
      <c r="BO85" s="454"/>
      <c r="BP85" s="454"/>
      <c r="BQ85" s="454"/>
      <c r="BR85" s="454"/>
      <c r="BS85" s="454"/>
      <c r="BT85" s="454"/>
      <c r="BU85" s="454"/>
      <c r="BV85" s="454"/>
      <c r="BW85" s="454"/>
      <c r="BX85" s="454"/>
      <c r="BY85" s="454"/>
      <c r="BZ85" s="454"/>
      <c r="CA85" s="454"/>
      <c r="CB85" s="454"/>
      <c r="CC85" s="454"/>
      <c r="CD85" s="454"/>
      <c r="CE85" s="454"/>
      <c r="CF85" s="454"/>
      <c r="CG85" s="454"/>
      <c r="CH85" s="454"/>
      <c r="CI85" s="454"/>
      <c r="CJ85" s="454"/>
      <c r="CK85" s="454"/>
      <c r="CL85" s="454"/>
      <c r="CM85" s="454"/>
      <c r="CN85" s="454"/>
      <c r="CO85" s="454"/>
      <c r="CP85" s="454"/>
      <c r="CQ85" s="454"/>
      <c r="CR85" s="454"/>
      <c r="CS85" s="454"/>
      <c r="CT85" s="454"/>
      <c r="CU85" s="454"/>
      <c r="CV85" s="454"/>
      <c r="CW85" s="454"/>
      <c r="CX85" s="454"/>
      <c r="CY85" s="454"/>
      <c r="CZ85" s="454"/>
      <c r="DA85" s="454"/>
      <c r="DB85" s="454"/>
      <c r="DC85" s="454"/>
      <c r="DD85" s="454"/>
      <c r="DE85" s="454"/>
      <c r="DF85" s="454"/>
      <c r="DG85" s="454"/>
      <c r="DH85" s="454"/>
      <c r="DI85" s="454"/>
      <c r="DJ85" s="454"/>
      <c r="DK85" s="454"/>
      <c r="DL85" s="454"/>
      <c r="DM85" s="454"/>
      <c r="DN85" s="454"/>
      <c r="DO85" s="454"/>
      <c r="DP85" s="454"/>
      <c r="DQ85" s="454"/>
      <c r="DR85" s="454"/>
      <c r="DS85" s="454"/>
      <c r="DT85" s="454"/>
      <c r="DU85" s="454"/>
      <c r="DV85" s="454"/>
      <c r="DW85" s="454"/>
      <c r="DX85" s="454"/>
      <c r="DY85" s="454"/>
      <c r="DZ85" s="454"/>
      <c r="EA85" s="454"/>
      <c r="EB85" s="454"/>
      <c r="EC85" s="454"/>
      <c r="ED85" s="454"/>
      <c r="EE85" s="454"/>
      <c r="EF85" s="454"/>
      <c r="EG85" s="454"/>
      <c r="EH85" s="454"/>
      <c r="EI85" s="454"/>
      <c r="EJ85" s="454"/>
      <c r="EK85" s="454"/>
      <c r="EL85" s="454"/>
      <c r="EM85" s="454"/>
      <c r="EN85" s="454"/>
      <c r="EO85" s="454"/>
      <c r="EP85" s="454"/>
      <c r="EQ85" s="454"/>
      <c r="ER85" s="454"/>
      <c r="ES85" s="454"/>
      <c r="ET85" s="454"/>
      <c r="EU85" s="454"/>
      <c r="EV85" s="454"/>
      <c r="EW85" s="454"/>
      <c r="EX85" s="454"/>
      <c r="EY85" s="454"/>
      <c r="EZ85" s="454"/>
      <c r="FA85" s="454"/>
      <c r="FB85" s="454"/>
      <c r="FC85" s="454"/>
      <c r="FD85" s="454"/>
      <c r="FE85" s="454"/>
      <c r="FF85" s="454"/>
      <c r="FG85" s="454"/>
      <c r="FH85" s="454"/>
      <c r="FI85" s="454"/>
      <c r="FJ85" s="454"/>
      <c r="FK85" s="454"/>
      <c r="FL85" s="454"/>
      <c r="FM85" s="454"/>
      <c r="FN85" s="454"/>
      <c r="FO85" s="454"/>
      <c r="FP85" s="454"/>
      <c r="FQ85" s="454"/>
      <c r="FR85" s="454"/>
      <c r="FS85" s="454"/>
      <c r="FT85" s="454"/>
      <c r="FU85" s="454"/>
      <c r="FV85" s="454"/>
      <c r="FW85" s="454"/>
      <c r="FX85" s="454"/>
      <c r="FY85" s="454"/>
      <c r="FZ85" s="454"/>
      <c r="GA85" s="454"/>
      <c r="GB85" s="454"/>
      <c r="GC85" s="454"/>
      <c r="GD85" s="454"/>
      <c r="GE85" s="454"/>
      <c r="GF85" s="454"/>
      <c r="GG85" s="454"/>
      <c r="GH85" s="454"/>
      <c r="GI85" s="454"/>
      <c r="GJ85" s="454"/>
      <c r="GK85" s="454"/>
      <c r="GL85" s="454"/>
      <c r="GM85" s="454"/>
      <c r="GN85" s="454"/>
      <c r="GO85" s="454"/>
      <c r="GP85" s="454"/>
      <c r="GQ85" s="454"/>
      <c r="GR85" s="454"/>
      <c r="GS85" s="454"/>
      <c r="GT85" s="454"/>
      <c r="GU85" s="454"/>
      <c r="GV85" s="454"/>
      <c r="GW85" s="454"/>
      <c r="GX85" s="454"/>
      <c r="GY85" s="454"/>
      <c r="GZ85" s="454"/>
      <c r="HA85" s="454"/>
      <c r="HB85" s="454"/>
      <c r="HC85" s="454"/>
      <c r="HD85" s="454"/>
      <c r="HE85" s="454"/>
      <c r="HF85" s="454"/>
      <c r="HG85" s="454"/>
      <c r="HH85" s="454"/>
      <c r="HI85" s="454"/>
      <c r="HJ85" s="454"/>
      <c r="HK85" s="454"/>
      <c r="HL85" s="454"/>
      <c r="HM85" s="454"/>
      <c r="HN85" s="454"/>
      <c r="HO85" s="454"/>
      <c r="HP85" s="454"/>
      <c r="HQ85" s="454"/>
      <c r="HR85" s="454"/>
      <c r="HS85" s="454"/>
      <c r="HT85" s="454"/>
      <c r="HU85" s="454"/>
      <c r="HV85" s="454"/>
      <c r="HW85" s="454"/>
      <c r="HX85" s="454"/>
      <c r="HY85" s="454"/>
      <c r="HZ85" s="454"/>
      <c r="IA85" s="454"/>
      <c r="IB85" s="454"/>
      <c r="IC85" s="454"/>
      <c r="ID85" s="454"/>
      <c r="IE85" s="454"/>
      <c r="IF85" s="454"/>
      <c r="IG85" s="454"/>
      <c r="IH85" s="454"/>
      <c r="II85" s="454"/>
      <c r="IJ85" s="454"/>
      <c r="IK85" s="454"/>
      <c r="IL85" s="454"/>
      <c r="IM85" s="454"/>
      <c r="IN85" s="454"/>
      <c r="IO85" s="454"/>
      <c r="IP85" s="454"/>
      <c r="IQ85" s="454"/>
      <c r="IR85" s="454"/>
      <c r="IS85" s="454"/>
      <c r="IT85" s="454"/>
      <c r="IU85" s="454"/>
      <c r="IV85" s="454"/>
    </row>
    <row r="86" spans="1:256" s="455" customFormat="1" ht="12" customHeight="1">
      <c r="A86" s="21"/>
      <c r="B86" s="32"/>
      <c r="C86" s="32"/>
      <c r="D86" s="463"/>
      <c r="E86" s="463"/>
      <c r="F86" s="463"/>
      <c r="G86" s="463"/>
      <c r="H86" s="463"/>
      <c r="I86" s="463"/>
      <c r="J86" s="463"/>
      <c r="K86" s="463"/>
      <c r="L86" s="463"/>
      <c r="M86" s="463"/>
      <c r="N86" s="463"/>
      <c r="O86" s="463"/>
      <c r="P86" s="463"/>
      <c r="Q86" s="463"/>
      <c r="R86" s="463"/>
      <c r="S86" s="463"/>
      <c r="T86" s="463"/>
      <c r="U86" s="463"/>
      <c r="V86" s="463"/>
      <c r="W86" s="463"/>
      <c r="X86" s="463"/>
      <c r="Y86" s="463"/>
      <c r="Z86" s="463"/>
      <c r="AA86" s="463"/>
      <c r="AB86" s="463"/>
      <c r="AC86" s="451"/>
      <c r="AD86" s="451"/>
      <c r="AE86" s="453"/>
      <c r="AF86" s="453"/>
      <c r="AG86" s="453"/>
      <c r="AH86" s="454"/>
      <c r="AI86" s="454"/>
      <c r="AJ86" s="454"/>
      <c r="AK86" s="454"/>
      <c r="AL86" s="454"/>
      <c r="AM86" s="454"/>
      <c r="AN86" s="454"/>
      <c r="AO86" s="454"/>
      <c r="AP86" s="454"/>
      <c r="AQ86" s="454"/>
      <c r="AR86" s="454"/>
      <c r="AS86" s="454"/>
      <c r="AT86" s="454"/>
      <c r="AU86" s="454"/>
      <c r="AV86" s="454"/>
      <c r="AW86" s="454"/>
      <c r="AX86" s="454"/>
      <c r="AY86" s="454"/>
      <c r="AZ86" s="454"/>
      <c r="BA86" s="454"/>
      <c r="BB86" s="454"/>
      <c r="BC86" s="454"/>
      <c r="BD86" s="454"/>
      <c r="BE86" s="454"/>
      <c r="BF86" s="454"/>
      <c r="BG86" s="454"/>
      <c r="BH86" s="454"/>
      <c r="BI86" s="454"/>
      <c r="BJ86" s="454"/>
      <c r="BK86" s="454"/>
      <c r="BL86" s="454"/>
      <c r="BM86" s="454"/>
      <c r="BN86" s="454"/>
      <c r="BO86" s="454"/>
      <c r="BP86" s="454"/>
      <c r="BQ86" s="454"/>
      <c r="BR86" s="454"/>
      <c r="BS86" s="454"/>
      <c r="BT86" s="454"/>
      <c r="BU86" s="454"/>
      <c r="BV86" s="454"/>
      <c r="BW86" s="454"/>
      <c r="BX86" s="454"/>
      <c r="BY86" s="454"/>
      <c r="BZ86" s="454"/>
      <c r="CA86" s="454"/>
      <c r="CB86" s="454"/>
      <c r="CC86" s="454"/>
      <c r="CD86" s="454"/>
      <c r="CE86" s="454"/>
      <c r="CF86" s="454"/>
      <c r="CG86" s="454"/>
      <c r="CH86" s="454"/>
      <c r="CI86" s="454"/>
      <c r="CJ86" s="454"/>
      <c r="CK86" s="454"/>
      <c r="CL86" s="454"/>
      <c r="CM86" s="454"/>
      <c r="CN86" s="454"/>
      <c r="CO86" s="454"/>
      <c r="CP86" s="454"/>
      <c r="CQ86" s="454"/>
      <c r="CR86" s="454"/>
      <c r="CS86" s="454"/>
      <c r="CT86" s="454"/>
      <c r="CU86" s="454"/>
      <c r="CV86" s="454"/>
      <c r="CW86" s="454"/>
      <c r="CX86" s="454"/>
      <c r="CY86" s="454"/>
      <c r="CZ86" s="454"/>
      <c r="DA86" s="454"/>
      <c r="DB86" s="454"/>
      <c r="DC86" s="454"/>
      <c r="DD86" s="454"/>
      <c r="DE86" s="454"/>
      <c r="DF86" s="454"/>
      <c r="DG86" s="454"/>
      <c r="DH86" s="454"/>
      <c r="DI86" s="454"/>
      <c r="DJ86" s="454"/>
      <c r="DK86" s="454"/>
      <c r="DL86" s="454"/>
      <c r="DM86" s="454"/>
      <c r="DN86" s="454"/>
      <c r="DO86" s="454"/>
      <c r="DP86" s="454"/>
      <c r="DQ86" s="454"/>
      <c r="DR86" s="454"/>
      <c r="DS86" s="454"/>
      <c r="DT86" s="454"/>
      <c r="DU86" s="454"/>
      <c r="DV86" s="454"/>
      <c r="DW86" s="454"/>
      <c r="DX86" s="454"/>
      <c r="DY86" s="454"/>
      <c r="DZ86" s="454"/>
      <c r="EA86" s="454"/>
      <c r="EB86" s="454"/>
      <c r="EC86" s="454"/>
      <c r="ED86" s="454"/>
      <c r="EE86" s="454"/>
      <c r="EF86" s="454"/>
      <c r="EG86" s="454"/>
      <c r="EH86" s="454"/>
      <c r="EI86" s="454"/>
      <c r="EJ86" s="454"/>
      <c r="EK86" s="454"/>
      <c r="EL86" s="454"/>
      <c r="EM86" s="454"/>
      <c r="EN86" s="454"/>
      <c r="EO86" s="454"/>
      <c r="EP86" s="454"/>
      <c r="EQ86" s="454"/>
      <c r="ER86" s="454"/>
      <c r="ES86" s="454"/>
      <c r="ET86" s="454"/>
      <c r="EU86" s="454"/>
      <c r="EV86" s="454"/>
      <c r="EW86" s="454"/>
      <c r="EX86" s="454"/>
      <c r="EY86" s="454"/>
      <c r="EZ86" s="454"/>
      <c r="FA86" s="454"/>
      <c r="FB86" s="454"/>
      <c r="FC86" s="454"/>
      <c r="FD86" s="454"/>
      <c r="FE86" s="454"/>
      <c r="FF86" s="454"/>
      <c r="FG86" s="454"/>
      <c r="FH86" s="454"/>
      <c r="FI86" s="454"/>
      <c r="FJ86" s="454"/>
      <c r="FK86" s="454"/>
      <c r="FL86" s="454"/>
      <c r="FM86" s="454"/>
      <c r="FN86" s="454"/>
      <c r="FO86" s="454"/>
      <c r="FP86" s="454"/>
      <c r="FQ86" s="454"/>
      <c r="FR86" s="454"/>
      <c r="FS86" s="454"/>
      <c r="FT86" s="454"/>
      <c r="FU86" s="454"/>
      <c r="FV86" s="454"/>
      <c r="FW86" s="454"/>
      <c r="FX86" s="454"/>
      <c r="FY86" s="454"/>
      <c r="FZ86" s="454"/>
      <c r="GA86" s="454"/>
      <c r="GB86" s="454"/>
      <c r="GC86" s="454"/>
      <c r="GD86" s="454"/>
      <c r="GE86" s="454"/>
      <c r="GF86" s="454"/>
      <c r="GG86" s="454"/>
      <c r="GH86" s="454"/>
      <c r="GI86" s="454"/>
      <c r="GJ86" s="454"/>
      <c r="GK86" s="454"/>
      <c r="GL86" s="454"/>
      <c r="GM86" s="454"/>
      <c r="GN86" s="454"/>
      <c r="GO86" s="454"/>
      <c r="GP86" s="454"/>
      <c r="GQ86" s="454"/>
      <c r="GR86" s="454"/>
      <c r="GS86" s="454"/>
      <c r="GT86" s="454"/>
      <c r="GU86" s="454"/>
      <c r="GV86" s="454"/>
      <c r="GW86" s="454"/>
      <c r="GX86" s="454"/>
      <c r="GY86" s="454"/>
      <c r="GZ86" s="454"/>
      <c r="HA86" s="454"/>
      <c r="HB86" s="454"/>
      <c r="HC86" s="454"/>
      <c r="HD86" s="454"/>
      <c r="HE86" s="454"/>
      <c r="HF86" s="454"/>
      <c r="HG86" s="454"/>
      <c r="HH86" s="454"/>
      <c r="HI86" s="454"/>
      <c r="HJ86" s="454"/>
      <c r="HK86" s="454"/>
      <c r="HL86" s="454"/>
      <c r="HM86" s="454"/>
      <c r="HN86" s="454"/>
      <c r="HO86" s="454"/>
      <c r="HP86" s="454"/>
      <c r="HQ86" s="454"/>
      <c r="HR86" s="454"/>
      <c r="HS86" s="454"/>
      <c r="HT86" s="454"/>
      <c r="HU86" s="454"/>
      <c r="HV86" s="454"/>
      <c r="HW86" s="454"/>
      <c r="HX86" s="454"/>
      <c r="HY86" s="454"/>
      <c r="HZ86" s="454"/>
      <c r="IA86" s="454"/>
      <c r="IB86" s="454"/>
      <c r="IC86" s="454"/>
      <c r="ID86" s="454"/>
      <c r="IE86" s="454"/>
      <c r="IF86" s="454"/>
      <c r="IG86" s="454"/>
      <c r="IH86" s="454"/>
      <c r="II86" s="454"/>
      <c r="IJ86" s="454"/>
      <c r="IK86" s="454"/>
      <c r="IL86" s="454"/>
      <c r="IM86" s="454"/>
      <c r="IN86" s="454"/>
      <c r="IO86" s="454"/>
      <c r="IP86" s="454"/>
      <c r="IQ86" s="454"/>
      <c r="IR86" s="454"/>
      <c r="IS86" s="454"/>
      <c r="IT86" s="454"/>
      <c r="IU86" s="454"/>
      <c r="IV86" s="454"/>
    </row>
    <row r="87" spans="1:256" s="455" customFormat="1" ht="12" customHeight="1">
      <c r="A87" s="233" t="s">
        <v>211</v>
      </c>
      <c r="B87" s="517">
        <f>MAX(B85,B80)</f>
        <v>397.13451113759282</v>
      </c>
      <c r="C87" s="517">
        <f t="shared" ref="C87:U87" si="23">MAX(C85,C80)</f>
        <v>397.36523817150567</v>
      </c>
      <c r="D87" s="517">
        <f t="shared" si="23"/>
        <v>397.60628760793594</v>
      </c>
      <c r="E87" s="517">
        <f t="shared" si="23"/>
        <v>585.43248001006452</v>
      </c>
      <c r="F87" s="517">
        <f t="shared" si="23"/>
        <v>648.43899808532854</v>
      </c>
      <c r="G87" s="517">
        <f t="shared" si="23"/>
        <v>682.8859464489085</v>
      </c>
      <c r="H87" s="517">
        <f t="shared" si="23"/>
        <v>717.81698408430873</v>
      </c>
      <c r="I87" s="517">
        <f t="shared" si="23"/>
        <v>755.87967871733269</v>
      </c>
      <c r="J87" s="517">
        <f t="shared" si="23"/>
        <v>801.93718745323474</v>
      </c>
      <c r="K87" s="517">
        <f t="shared" si="23"/>
        <v>853.23946679309574</v>
      </c>
      <c r="L87" s="517">
        <f t="shared" si="23"/>
        <v>893.95110389205161</v>
      </c>
      <c r="M87" s="517">
        <f t="shared" si="23"/>
        <v>944.38295262228314</v>
      </c>
      <c r="N87" s="517">
        <f t="shared" si="23"/>
        <v>996.57299019341576</v>
      </c>
      <c r="O87" s="517">
        <f t="shared" si="23"/>
        <v>1048.3508449481196</v>
      </c>
      <c r="P87" s="517">
        <f t="shared" si="23"/>
        <v>1100.7999537994733</v>
      </c>
      <c r="Q87" s="517">
        <f t="shared" si="23"/>
        <v>1146.7823931917746</v>
      </c>
      <c r="R87" s="517">
        <f t="shared" si="23"/>
        <v>1194.7134452506975</v>
      </c>
      <c r="S87" s="517">
        <f t="shared" si="23"/>
        <v>1240.880091998644</v>
      </c>
      <c r="T87" s="517">
        <f t="shared" si="23"/>
        <v>1282.7757188912869</v>
      </c>
      <c r="U87" s="517">
        <f t="shared" si="23"/>
        <v>1324.7193059226927</v>
      </c>
      <c r="V87" s="463"/>
      <c r="W87" s="463"/>
      <c r="X87" s="517">
        <f>MAX(X85,X80)</f>
        <v>0</v>
      </c>
      <c r="Y87" s="517">
        <f t="shared" ref="Y87:AQ87" si="24">MAX(Y85,Y80)</f>
        <v>0</v>
      </c>
      <c r="Z87" s="517">
        <f t="shared" si="24"/>
        <v>0</v>
      </c>
      <c r="AA87" s="517">
        <f t="shared" si="24"/>
        <v>0</v>
      </c>
      <c r="AB87" s="517">
        <f t="shared" si="24"/>
        <v>0</v>
      </c>
      <c r="AC87" s="517">
        <f t="shared" si="24"/>
        <v>0</v>
      </c>
      <c r="AD87" s="517">
        <f t="shared" si="24"/>
        <v>0</v>
      </c>
      <c r="AE87" s="517">
        <f t="shared" si="24"/>
        <v>0</v>
      </c>
      <c r="AF87" s="517">
        <f t="shared" si="24"/>
        <v>0</v>
      </c>
      <c r="AG87" s="517">
        <f t="shared" si="24"/>
        <v>0</v>
      </c>
      <c r="AH87" s="517">
        <f t="shared" si="24"/>
        <v>0</v>
      </c>
      <c r="AI87" s="517">
        <f t="shared" si="24"/>
        <v>0</v>
      </c>
      <c r="AJ87" s="517">
        <f t="shared" si="24"/>
        <v>0</v>
      </c>
      <c r="AK87" s="517">
        <f t="shared" si="24"/>
        <v>0</v>
      </c>
      <c r="AL87" s="517">
        <f t="shared" si="24"/>
        <v>0</v>
      </c>
      <c r="AM87" s="517">
        <f t="shared" si="24"/>
        <v>0</v>
      </c>
      <c r="AN87" s="517">
        <f t="shared" si="24"/>
        <v>0</v>
      </c>
      <c r="AO87" s="517">
        <f t="shared" si="24"/>
        <v>0</v>
      </c>
      <c r="AP87" s="517">
        <f t="shared" si="24"/>
        <v>0</v>
      </c>
      <c r="AQ87" s="517">
        <f t="shared" si="24"/>
        <v>0</v>
      </c>
      <c r="AR87" s="454"/>
      <c r="AS87" s="454"/>
      <c r="AT87" s="454"/>
      <c r="AU87" s="454"/>
      <c r="AV87" s="454"/>
      <c r="AW87" s="454"/>
      <c r="AX87" s="454"/>
      <c r="AY87" s="454"/>
      <c r="AZ87" s="454"/>
      <c r="BA87" s="454"/>
      <c r="BB87" s="454"/>
      <c r="BC87" s="454"/>
      <c r="BD87" s="454"/>
      <c r="BE87" s="454"/>
      <c r="BF87" s="454"/>
      <c r="BG87" s="454"/>
      <c r="BH87" s="454"/>
      <c r="BI87" s="454"/>
      <c r="BJ87" s="454"/>
      <c r="BK87" s="454"/>
      <c r="BL87" s="454"/>
      <c r="BM87" s="454"/>
      <c r="BN87" s="454"/>
      <c r="BO87" s="454"/>
      <c r="BP87" s="454"/>
      <c r="BQ87" s="454"/>
      <c r="BR87" s="454"/>
      <c r="BS87" s="454"/>
      <c r="BT87" s="454"/>
      <c r="BU87" s="454"/>
      <c r="BV87" s="454"/>
      <c r="BW87" s="454"/>
      <c r="BX87" s="454"/>
      <c r="BY87" s="454"/>
      <c r="BZ87" s="454"/>
      <c r="CA87" s="454"/>
      <c r="CB87" s="454"/>
      <c r="CC87" s="454"/>
      <c r="CD87" s="454"/>
      <c r="CE87" s="454"/>
      <c r="CF87" s="454"/>
      <c r="CG87" s="454"/>
      <c r="CH87" s="454"/>
      <c r="CI87" s="454"/>
      <c r="CJ87" s="454"/>
      <c r="CK87" s="454"/>
      <c r="CL87" s="454"/>
      <c r="CM87" s="454"/>
      <c r="CN87" s="454"/>
      <c r="CO87" s="454"/>
      <c r="CP87" s="454"/>
      <c r="CQ87" s="454"/>
      <c r="CR87" s="454"/>
      <c r="CS87" s="454"/>
      <c r="CT87" s="454"/>
      <c r="CU87" s="454"/>
      <c r="CV87" s="454"/>
      <c r="CW87" s="454"/>
      <c r="CX87" s="454"/>
      <c r="CY87" s="454"/>
      <c r="CZ87" s="454"/>
      <c r="DA87" s="454"/>
      <c r="DB87" s="454"/>
      <c r="DC87" s="454"/>
      <c r="DD87" s="454"/>
      <c r="DE87" s="454"/>
      <c r="DF87" s="454"/>
      <c r="DG87" s="454"/>
      <c r="DH87" s="454"/>
      <c r="DI87" s="454"/>
      <c r="DJ87" s="454"/>
      <c r="DK87" s="454"/>
      <c r="DL87" s="454"/>
      <c r="DM87" s="454"/>
      <c r="DN87" s="454"/>
      <c r="DO87" s="454"/>
      <c r="DP87" s="454"/>
      <c r="DQ87" s="454"/>
      <c r="DR87" s="454"/>
      <c r="DS87" s="454"/>
      <c r="DT87" s="454"/>
      <c r="DU87" s="454"/>
      <c r="DV87" s="454"/>
      <c r="DW87" s="454"/>
      <c r="DX87" s="454"/>
      <c r="DY87" s="454"/>
      <c r="DZ87" s="454"/>
      <c r="EA87" s="454"/>
      <c r="EB87" s="454"/>
      <c r="EC87" s="454"/>
      <c r="ED87" s="454"/>
      <c r="EE87" s="454"/>
      <c r="EF87" s="454"/>
      <c r="EG87" s="454"/>
      <c r="EH87" s="454"/>
      <c r="EI87" s="454"/>
      <c r="EJ87" s="454"/>
      <c r="EK87" s="454"/>
      <c r="EL87" s="454"/>
      <c r="EM87" s="454"/>
      <c r="EN87" s="454"/>
      <c r="EO87" s="454"/>
      <c r="EP87" s="454"/>
      <c r="EQ87" s="454"/>
      <c r="ER87" s="454"/>
      <c r="ES87" s="454"/>
      <c r="ET87" s="454"/>
      <c r="EU87" s="454"/>
      <c r="EV87" s="454"/>
      <c r="EW87" s="454"/>
      <c r="EX87" s="454"/>
      <c r="EY87" s="454"/>
      <c r="EZ87" s="454"/>
      <c r="FA87" s="454"/>
      <c r="FB87" s="454"/>
      <c r="FC87" s="454"/>
      <c r="FD87" s="454"/>
      <c r="FE87" s="454"/>
      <c r="FF87" s="454"/>
      <c r="FG87" s="454"/>
      <c r="FH87" s="454"/>
      <c r="FI87" s="454"/>
      <c r="FJ87" s="454"/>
      <c r="FK87" s="454"/>
      <c r="FL87" s="454"/>
      <c r="FM87" s="454"/>
      <c r="FN87" s="454"/>
      <c r="FO87" s="454"/>
      <c r="FP87" s="454"/>
      <c r="FQ87" s="454"/>
      <c r="FR87" s="454"/>
      <c r="FS87" s="454"/>
      <c r="FT87" s="454"/>
      <c r="FU87" s="454"/>
      <c r="FV87" s="454"/>
      <c r="FW87" s="454"/>
      <c r="FX87" s="454"/>
      <c r="FY87" s="454"/>
      <c r="FZ87" s="454"/>
      <c r="GA87" s="454"/>
      <c r="GB87" s="454"/>
      <c r="GC87" s="454"/>
      <c r="GD87" s="454"/>
      <c r="GE87" s="454"/>
      <c r="GF87" s="454"/>
      <c r="GG87" s="454"/>
      <c r="GH87" s="454"/>
      <c r="GI87" s="454"/>
      <c r="GJ87" s="454"/>
      <c r="GK87" s="454"/>
      <c r="GL87" s="454"/>
      <c r="GM87" s="454"/>
      <c r="GN87" s="454"/>
      <c r="GO87" s="454"/>
      <c r="GP87" s="454"/>
      <c r="GQ87" s="454"/>
      <c r="GR87" s="454"/>
      <c r="GS87" s="454"/>
      <c r="GT87" s="454"/>
      <c r="GU87" s="454"/>
      <c r="GV87" s="454"/>
      <c r="GW87" s="454"/>
      <c r="GX87" s="454"/>
      <c r="GY87" s="454"/>
      <c r="GZ87" s="454"/>
      <c r="HA87" s="454"/>
      <c r="HB87" s="454"/>
      <c r="HC87" s="454"/>
      <c r="HD87" s="454"/>
      <c r="HE87" s="454"/>
      <c r="HF87" s="454"/>
      <c r="HG87" s="454"/>
      <c r="HH87" s="454"/>
      <c r="HI87" s="454"/>
      <c r="HJ87" s="454"/>
      <c r="HK87" s="454"/>
      <c r="HL87" s="454"/>
      <c r="HM87" s="454"/>
      <c r="HN87" s="454"/>
      <c r="HO87" s="454"/>
      <c r="HP87" s="454"/>
      <c r="HQ87" s="454"/>
      <c r="HR87" s="454"/>
      <c r="HS87" s="454"/>
      <c r="HT87" s="454"/>
      <c r="HU87" s="454"/>
      <c r="HV87" s="454"/>
      <c r="HW87" s="454"/>
      <c r="HX87" s="454"/>
      <c r="HY87" s="454"/>
      <c r="HZ87" s="454"/>
      <c r="IA87" s="454"/>
      <c r="IB87" s="454"/>
      <c r="IC87" s="454"/>
      <c r="ID87" s="454"/>
      <c r="IE87" s="454"/>
      <c r="IF87" s="454"/>
      <c r="IG87" s="454"/>
      <c r="IH87" s="454"/>
      <c r="II87" s="454"/>
      <c r="IJ87" s="454"/>
      <c r="IK87" s="454"/>
      <c r="IL87" s="454"/>
      <c r="IM87" s="454"/>
      <c r="IN87" s="454"/>
      <c r="IO87" s="454"/>
      <c r="IP87" s="454"/>
      <c r="IQ87" s="454"/>
      <c r="IR87" s="454"/>
      <c r="IS87" s="454"/>
      <c r="IT87" s="454"/>
      <c r="IU87" s="454"/>
      <c r="IV87" s="454"/>
    </row>
    <row r="88" spans="1:256" s="455" customFormat="1" ht="12" customHeight="1">
      <c r="A88" s="460"/>
      <c r="B88" s="32"/>
      <c r="C88" s="32"/>
      <c r="D88" s="463"/>
      <c r="E88" s="463"/>
      <c r="F88" s="463"/>
      <c r="G88" s="463"/>
      <c r="H88" s="463"/>
      <c r="I88" s="463"/>
      <c r="J88" s="463"/>
      <c r="K88" s="463"/>
      <c r="L88" s="463"/>
      <c r="M88" s="463"/>
      <c r="N88" s="463"/>
      <c r="O88" s="463"/>
      <c r="P88" s="463"/>
      <c r="Q88" s="463"/>
      <c r="R88" s="463"/>
      <c r="S88" s="463"/>
      <c r="T88" s="463"/>
      <c r="U88" s="463"/>
      <c r="V88" s="463"/>
      <c r="W88" s="463"/>
      <c r="X88" s="463"/>
      <c r="Y88" s="463"/>
      <c r="Z88" s="463"/>
      <c r="AA88" s="463"/>
      <c r="AB88" s="463"/>
      <c r="AC88" s="451"/>
      <c r="AD88" s="451"/>
      <c r="AE88" s="453"/>
      <c r="AF88" s="453"/>
      <c r="AG88" s="453"/>
      <c r="AH88" s="454"/>
      <c r="AI88" s="454"/>
      <c r="AJ88" s="454"/>
      <c r="AK88" s="454"/>
      <c r="AL88" s="454"/>
      <c r="AM88" s="454"/>
      <c r="AN88" s="454"/>
      <c r="AO88" s="454"/>
      <c r="AP88" s="454"/>
      <c r="AQ88" s="454"/>
      <c r="AR88" s="454"/>
      <c r="AS88" s="454"/>
      <c r="AT88" s="454"/>
      <c r="AU88" s="454"/>
      <c r="AV88" s="454"/>
      <c r="AW88" s="454"/>
      <c r="AX88" s="454"/>
      <c r="AY88" s="454"/>
      <c r="AZ88" s="454"/>
      <c r="BA88" s="454"/>
      <c r="BB88" s="454"/>
      <c r="BC88" s="454"/>
      <c r="BD88" s="454"/>
      <c r="BE88" s="454"/>
      <c r="BF88" s="454"/>
      <c r="BG88" s="454"/>
      <c r="BH88" s="454"/>
      <c r="BI88" s="454"/>
      <c r="BJ88" s="454"/>
      <c r="BK88" s="454"/>
      <c r="BL88" s="454"/>
      <c r="BM88" s="454"/>
      <c r="BN88" s="454"/>
      <c r="BO88" s="454"/>
      <c r="BP88" s="454"/>
      <c r="BQ88" s="454"/>
      <c r="BR88" s="454"/>
      <c r="BS88" s="454"/>
      <c r="BT88" s="454"/>
      <c r="BU88" s="454"/>
      <c r="BV88" s="454"/>
      <c r="BW88" s="454"/>
      <c r="BX88" s="454"/>
      <c r="BY88" s="454"/>
      <c r="BZ88" s="454"/>
      <c r="CA88" s="454"/>
      <c r="CB88" s="454"/>
      <c r="CC88" s="454"/>
      <c r="CD88" s="454"/>
      <c r="CE88" s="454"/>
      <c r="CF88" s="454"/>
      <c r="CG88" s="454"/>
      <c r="CH88" s="454"/>
      <c r="CI88" s="454"/>
      <c r="CJ88" s="454"/>
      <c r="CK88" s="454"/>
      <c r="CL88" s="454"/>
      <c r="CM88" s="454"/>
      <c r="CN88" s="454"/>
      <c r="CO88" s="454"/>
      <c r="CP88" s="454"/>
      <c r="CQ88" s="454"/>
      <c r="CR88" s="454"/>
      <c r="CS88" s="454"/>
      <c r="CT88" s="454"/>
      <c r="CU88" s="454"/>
      <c r="CV88" s="454"/>
      <c r="CW88" s="454"/>
      <c r="CX88" s="454"/>
      <c r="CY88" s="454"/>
      <c r="CZ88" s="454"/>
      <c r="DA88" s="454"/>
      <c r="DB88" s="454"/>
      <c r="DC88" s="454"/>
      <c r="DD88" s="454"/>
      <c r="DE88" s="454"/>
      <c r="DF88" s="454"/>
      <c r="DG88" s="454"/>
      <c r="DH88" s="454"/>
      <c r="DI88" s="454"/>
      <c r="DJ88" s="454"/>
      <c r="DK88" s="454"/>
      <c r="DL88" s="454"/>
      <c r="DM88" s="454"/>
      <c r="DN88" s="454"/>
      <c r="DO88" s="454"/>
      <c r="DP88" s="454"/>
      <c r="DQ88" s="454"/>
      <c r="DR88" s="454"/>
      <c r="DS88" s="454"/>
      <c r="DT88" s="454"/>
      <c r="DU88" s="454"/>
      <c r="DV88" s="454"/>
      <c r="DW88" s="454"/>
      <c r="DX88" s="454"/>
      <c r="DY88" s="454"/>
      <c r="DZ88" s="454"/>
      <c r="EA88" s="454"/>
      <c r="EB88" s="454"/>
      <c r="EC88" s="454"/>
      <c r="ED88" s="454"/>
      <c r="EE88" s="454"/>
      <c r="EF88" s="454"/>
      <c r="EG88" s="454"/>
      <c r="EH88" s="454"/>
      <c r="EI88" s="454"/>
      <c r="EJ88" s="454"/>
      <c r="EK88" s="454"/>
      <c r="EL88" s="454"/>
      <c r="EM88" s="454"/>
      <c r="EN88" s="454"/>
      <c r="EO88" s="454"/>
      <c r="EP88" s="454"/>
      <c r="EQ88" s="454"/>
      <c r="ER88" s="454"/>
      <c r="ES88" s="454"/>
      <c r="ET88" s="454"/>
      <c r="EU88" s="454"/>
      <c r="EV88" s="454"/>
      <c r="EW88" s="454"/>
      <c r="EX88" s="454"/>
      <c r="EY88" s="454"/>
      <c r="EZ88" s="454"/>
      <c r="FA88" s="454"/>
      <c r="FB88" s="454"/>
      <c r="FC88" s="454"/>
      <c r="FD88" s="454"/>
      <c r="FE88" s="454"/>
      <c r="FF88" s="454"/>
      <c r="FG88" s="454"/>
      <c r="FH88" s="454"/>
      <c r="FI88" s="454"/>
      <c r="FJ88" s="454"/>
      <c r="FK88" s="454"/>
      <c r="FL88" s="454"/>
      <c r="FM88" s="454"/>
      <c r="FN88" s="454"/>
      <c r="FO88" s="454"/>
      <c r="FP88" s="454"/>
      <c r="FQ88" s="454"/>
      <c r="FR88" s="454"/>
      <c r="FS88" s="454"/>
      <c r="FT88" s="454"/>
      <c r="FU88" s="454"/>
      <c r="FV88" s="454"/>
      <c r="FW88" s="454"/>
      <c r="FX88" s="454"/>
      <c r="FY88" s="454"/>
      <c r="FZ88" s="454"/>
      <c r="GA88" s="454"/>
      <c r="GB88" s="454"/>
      <c r="GC88" s="454"/>
      <c r="GD88" s="454"/>
      <c r="GE88" s="454"/>
      <c r="GF88" s="454"/>
      <c r="GG88" s="454"/>
      <c r="GH88" s="454"/>
      <c r="GI88" s="454"/>
      <c r="GJ88" s="454"/>
      <c r="GK88" s="454"/>
      <c r="GL88" s="454"/>
      <c r="GM88" s="454"/>
      <c r="GN88" s="454"/>
      <c r="GO88" s="454"/>
      <c r="GP88" s="454"/>
      <c r="GQ88" s="454"/>
      <c r="GR88" s="454"/>
      <c r="GS88" s="454"/>
      <c r="GT88" s="454"/>
      <c r="GU88" s="454"/>
      <c r="GV88" s="454"/>
      <c r="GW88" s="454"/>
      <c r="GX88" s="454"/>
      <c r="GY88" s="454"/>
      <c r="GZ88" s="454"/>
      <c r="HA88" s="454"/>
      <c r="HB88" s="454"/>
      <c r="HC88" s="454"/>
      <c r="HD88" s="454"/>
      <c r="HE88" s="454"/>
      <c r="HF88" s="454"/>
      <c r="HG88" s="454"/>
      <c r="HH88" s="454"/>
      <c r="HI88" s="454"/>
      <c r="HJ88" s="454"/>
      <c r="HK88" s="454"/>
      <c r="HL88" s="454"/>
      <c r="HM88" s="454"/>
      <c r="HN88" s="454"/>
      <c r="HO88" s="454"/>
      <c r="HP88" s="454"/>
      <c r="HQ88" s="454"/>
      <c r="HR88" s="454"/>
      <c r="HS88" s="454"/>
      <c r="HT88" s="454"/>
      <c r="HU88" s="454"/>
      <c r="HV88" s="454"/>
      <c r="HW88" s="454"/>
      <c r="HX88" s="454"/>
      <c r="HY88" s="454"/>
      <c r="HZ88" s="454"/>
      <c r="IA88" s="454"/>
      <c r="IB88" s="454"/>
      <c r="IC88" s="454"/>
      <c r="ID88" s="454"/>
      <c r="IE88" s="454"/>
      <c r="IF88" s="454"/>
      <c r="IG88" s="454"/>
      <c r="IH88" s="454"/>
      <c r="II88" s="454"/>
      <c r="IJ88" s="454"/>
      <c r="IK88" s="454"/>
      <c r="IL88" s="454"/>
      <c r="IM88" s="454"/>
      <c r="IN88" s="454"/>
      <c r="IO88" s="454"/>
      <c r="IP88" s="454"/>
      <c r="IQ88" s="454"/>
      <c r="IR88" s="454"/>
      <c r="IS88" s="454"/>
      <c r="IT88" s="454"/>
      <c r="IU88" s="454"/>
      <c r="IV88" s="454"/>
    </row>
    <row r="89" spans="1:256" s="452" customFormat="1" ht="12" customHeight="1">
      <c r="A89" s="450"/>
      <c r="B89" s="451"/>
      <c r="C89" s="451"/>
      <c r="D89" s="451"/>
      <c r="E89" s="451"/>
      <c r="F89" s="451"/>
      <c r="G89" s="451"/>
      <c r="H89" s="451"/>
      <c r="I89" s="451"/>
      <c r="J89" s="451"/>
      <c r="K89" s="451"/>
      <c r="L89" s="451"/>
      <c r="M89" s="451"/>
      <c r="N89" s="451"/>
      <c r="O89" s="451"/>
      <c r="P89" s="451"/>
      <c r="Q89" s="451"/>
      <c r="R89" s="451"/>
      <c r="S89" s="451"/>
      <c r="T89" s="451"/>
      <c r="U89" s="451"/>
      <c r="V89" s="451"/>
      <c r="W89" s="451"/>
      <c r="X89" s="451"/>
      <c r="Y89" s="451"/>
      <c r="Z89" s="451"/>
      <c r="AA89" s="451"/>
      <c r="AB89" s="451"/>
      <c r="AC89" s="451"/>
      <c r="AD89" s="451"/>
      <c r="AE89" s="14"/>
      <c r="AF89" s="14"/>
      <c r="AG89" s="14"/>
    </row>
    <row r="90" spans="1:256" s="452" customFormat="1" ht="12" customHeight="1">
      <c r="A90" s="231" t="s">
        <v>93</v>
      </c>
      <c r="B90" s="451"/>
      <c r="C90" s="451"/>
      <c r="D90" s="451"/>
      <c r="E90" s="451"/>
      <c r="F90" s="451"/>
      <c r="G90" s="451"/>
      <c r="H90" s="451"/>
      <c r="I90" s="451"/>
      <c r="J90" s="451"/>
      <c r="K90" s="451"/>
      <c r="L90" s="451"/>
      <c r="M90" s="451"/>
      <c r="N90" s="451"/>
      <c r="O90" s="451"/>
      <c r="P90" s="451"/>
      <c r="Q90" s="451"/>
      <c r="R90" s="451"/>
      <c r="S90" s="451"/>
      <c r="T90" s="451"/>
      <c r="U90" s="451"/>
      <c r="V90" s="451"/>
      <c r="W90" s="451"/>
      <c r="X90" s="451"/>
      <c r="Y90" s="451"/>
      <c r="Z90" s="451"/>
      <c r="AA90" s="451"/>
      <c r="AB90" s="451"/>
      <c r="AC90" s="451"/>
      <c r="AD90" s="451"/>
      <c r="AE90" s="14"/>
      <c r="AF90" s="14"/>
      <c r="AG90" s="14"/>
    </row>
    <row r="91" spans="1:256" s="452" customFormat="1" ht="12" customHeight="1">
      <c r="A91" s="231"/>
      <c r="B91" s="451"/>
      <c r="C91" s="451"/>
      <c r="D91" s="451"/>
      <c r="E91" s="451"/>
      <c r="F91" s="451"/>
      <c r="G91" s="451"/>
      <c r="H91" s="451"/>
      <c r="I91" s="451"/>
      <c r="J91" s="451"/>
      <c r="K91" s="451"/>
      <c r="L91" s="451"/>
      <c r="M91" s="451"/>
      <c r="N91" s="451"/>
      <c r="O91" s="451"/>
      <c r="P91" s="451"/>
      <c r="Q91" s="451"/>
      <c r="R91" s="451"/>
      <c r="S91" s="451"/>
      <c r="T91" s="451"/>
      <c r="U91" s="451"/>
      <c r="V91" s="451"/>
      <c r="W91" s="451"/>
      <c r="X91" s="451"/>
      <c r="Y91" s="451"/>
      <c r="Z91" s="451"/>
      <c r="AA91" s="451"/>
      <c r="AB91" s="451"/>
      <c r="AC91" s="451"/>
      <c r="AD91" s="451"/>
      <c r="AE91" s="14"/>
      <c r="AF91" s="14"/>
      <c r="AG91" s="14"/>
    </row>
    <row r="92" spans="1:256" outlineLevel="1">
      <c r="A92" s="21" t="s">
        <v>294</v>
      </c>
      <c r="B92" s="20">
        <f>B41-B12</f>
        <v>837.11420588636247</v>
      </c>
      <c r="C92" s="20">
        <f>C41-C12</f>
        <v>930.80717859700417</v>
      </c>
      <c r="D92" s="20">
        <f>D41-D12</f>
        <v>1137.6747148157028</v>
      </c>
      <c r="E92" s="20">
        <f t="shared" ref="E92:U92" si="25">E41</f>
        <v>17218.602353237191</v>
      </c>
      <c r="F92" s="20">
        <f t="shared" si="25"/>
        <v>19071.735237803779</v>
      </c>
      <c r="G92" s="20">
        <f t="shared" si="25"/>
        <v>20084.880777909071</v>
      </c>
      <c r="H92" s="20">
        <f t="shared" si="25"/>
        <v>21112.264237773783</v>
      </c>
      <c r="I92" s="20">
        <f t="shared" si="25"/>
        <v>22231.755256392138</v>
      </c>
      <c r="J92" s="20">
        <f t="shared" si="25"/>
        <v>23586.387866271609</v>
      </c>
      <c r="K92" s="20">
        <f t="shared" si="25"/>
        <v>25095.278435091048</v>
      </c>
      <c r="L92" s="20">
        <f t="shared" si="25"/>
        <v>26292.67952623681</v>
      </c>
      <c r="M92" s="20">
        <f t="shared" si="25"/>
        <v>27775.969194773032</v>
      </c>
      <c r="N92" s="20">
        <f t="shared" si="25"/>
        <v>29310.970299806344</v>
      </c>
      <c r="O92" s="20">
        <f t="shared" si="25"/>
        <v>30833.848380827047</v>
      </c>
      <c r="P92" s="20">
        <f t="shared" si="25"/>
        <v>32376.469229396273</v>
      </c>
      <c r="Q92" s="20">
        <f t="shared" si="25"/>
        <v>33728.893917405134</v>
      </c>
      <c r="R92" s="20">
        <f t="shared" si="25"/>
        <v>35138.63074266757</v>
      </c>
      <c r="S92" s="20">
        <f t="shared" si="25"/>
        <v>36496.473294077761</v>
      </c>
      <c r="T92" s="20">
        <f t="shared" si="25"/>
        <v>37728.697614449615</v>
      </c>
      <c r="U92" s="20">
        <f t="shared" si="25"/>
        <v>38962.332527138016</v>
      </c>
      <c r="W92" s="446">
        <f>SUM(B92:U92)</f>
        <v>479951.46499055531</v>
      </c>
    </row>
    <row r="93" spans="1:256" outlineLevel="1">
      <c r="A93" s="21" t="s">
        <v>146</v>
      </c>
      <c r="B93" s="20">
        <f>B35</f>
        <v>6973.6749870130461</v>
      </c>
      <c r="C93" s="20">
        <f t="shared" ref="C93:U93" si="26">C35</f>
        <v>6973.6749870130461</v>
      </c>
      <c r="D93" s="20">
        <f t="shared" si="26"/>
        <v>6973.6749870130461</v>
      </c>
      <c r="E93" s="20">
        <f t="shared" si="26"/>
        <v>6973.6749870130461</v>
      </c>
      <c r="F93" s="20">
        <f t="shared" si="26"/>
        <v>6973.6749870130461</v>
      </c>
      <c r="G93" s="20">
        <f t="shared" si="26"/>
        <v>6973.6749870130461</v>
      </c>
      <c r="H93" s="20">
        <f t="shared" si="26"/>
        <v>6973.6749870130461</v>
      </c>
      <c r="I93" s="20">
        <f t="shared" si="26"/>
        <v>6973.6749870130461</v>
      </c>
      <c r="J93" s="20">
        <f t="shared" si="26"/>
        <v>6973.6749870130461</v>
      </c>
      <c r="K93" s="20">
        <f t="shared" si="26"/>
        <v>6973.6749870130461</v>
      </c>
      <c r="L93" s="20">
        <f t="shared" si="26"/>
        <v>6973.6749870130461</v>
      </c>
      <c r="M93" s="20">
        <f t="shared" si="26"/>
        <v>6973.6749870130461</v>
      </c>
      <c r="N93" s="20">
        <f t="shared" si="26"/>
        <v>6973.6749870130461</v>
      </c>
      <c r="O93" s="20">
        <f t="shared" si="26"/>
        <v>6973.6749870130461</v>
      </c>
      <c r="P93" s="20">
        <f t="shared" si="26"/>
        <v>6973.6749870130461</v>
      </c>
      <c r="Q93" s="20">
        <f t="shared" si="26"/>
        <v>6973.6749870130461</v>
      </c>
      <c r="R93" s="20">
        <f t="shared" si="26"/>
        <v>6973.6749870130461</v>
      </c>
      <c r="S93" s="20">
        <f t="shared" si="26"/>
        <v>6973.6749870130461</v>
      </c>
      <c r="T93" s="20">
        <f t="shared" si="26"/>
        <v>6973.6749870130461</v>
      </c>
      <c r="U93" s="20">
        <f t="shared" si="26"/>
        <v>6973.6749870130461</v>
      </c>
      <c r="W93" s="446">
        <f>SUM(B93:U93)</f>
        <v>139473.49974026092</v>
      </c>
    </row>
    <row r="94" spans="1:256" ht="15" outlineLevel="1">
      <c r="A94" s="21" t="s">
        <v>237</v>
      </c>
      <c r="B94" s="234">
        <f>-Depreciation!C93-Depreciation!C112*Allocation!$E$13</f>
        <v>-10029.046158811128</v>
      </c>
      <c r="C94" s="234">
        <f>-Depreciation!D93-Depreciation!D112*Allocation!$E$13</f>
        <v>-19055.187701741143</v>
      </c>
      <c r="D94" s="234">
        <f>-Depreciation!E93-Depreciation!E112*Allocation!$E$13</f>
        <v>-17149.66893156703</v>
      </c>
      <c r="E94" s="234">
        <f>-Depreciation!F93-Depreciation!F112*Allocation!$E$13</f>
        <v>-15444.731084569135</v>
      </c>
      <c r="F94" s="234">
        <f>-Depreciation!G93-Depreciation!G112*Allocation!$E$13</f>
        <v>-13900.257976112222</v>
      </c>
      <c r="G94" s="234">
        <f>-Depreciation!H93-Depreciation!H112*Allocation!$E$13</f>
        <v>-12496.191513878664</v>
      </c>
      <c r="H94" s="234">
        <f>-Depreciation!I93-Depreciation!I112*Allocation!$E$13</f>
        <v>-11834.274467397128</v>
      </c>
      <c r="I94" s="234">
        <f>-Depreciation!J93-Depreciation!J112*Allocation!$E$13</f>
        <v>-11854.332559714752</v>
      </c>
      <c r="J94" s="234">
        <f>-Depreciation!K93-Depreciation!K112*Allocation!$E$13</f>
        <v>-11834.274467397128</v>
      </c>
      <c r="K94" s="234">
        <f>-Depreciation!L93-Depreciation!L112*Allocation!$E$13</f>
        <v>-11854.332559714752</v>
      </c>
      <c r="L94" s="234">
        <f>-Depreciation!M93-Depreciation!M112*Allocation!$E$13</f>
        <v>-11834.274467397128</v>
      </c>
      <c r="M94" s="234">
        <f>-Depreciation!N93-Depreciation!N112*Allocation!$E$13</f>
        <v>-11854.332559714752</v>
      </c>
      <c r="N94" s="234">
        <f>-Depreciation!O93-Depreciation!O112*Allocation!$E$13</f>
        <v>-11834.274467397128</v>
      </c>
      <c r="O94" s="234">
        <f>-Depreciation!P93-Depreciation!P112*Allocation!$E$13</f>
        <v>-11854.332559714752</v>
      </c>
      <c r="P94" s="234">
        <f>-Depreciation!Q93-Depreciation!Q112*Allocation!$E$13</f>
        <v>-11834.274467397128</v>
      </c>
      <c r="Q94" s="234">
        <f>-Depreciation!R93-Depreciation!R112*Allocation!$E$13</f>
        <v>-5917.1372336985642</v>
      </c>
      <c r="R94" s="234">
        <f>-Depreciation!S93-Depreciation!S112*Allocation!$E$13</f>
        <v>0</v>
      </c>
      <c r="S94" s="234">
        <f>-Depreciation!T93-Depreciation!T112*Allocation!$E$13</f>
        <v>0</v>
      </c>
      <c r="T94" s="234">
        <f>-Depreciation!U93-Depreciation!U112*Allocation!$E$13</f>
        <v>0</v>
      </c>
      <c r="U94" s="234">
        <f>-Depreciation!V93-Depreciation!V112*Allocation!$E$13</f>
        <v>0</v>
      </c>
      <c r="W94" s="447">
        <f>SUM(B94:U94)</f>
        <v>-200580.92317622257</v>
      </c>
    </row>
    <row r="95" spans="1:256" outlineLevel="1">
      <c r="A95" s="233" t="s">
        <v>145</v>
      </c>
      <c r="B95" s="22">
        <f t="shared" ref="B95:U95" si="27">SUM(B92:B94)</f>
        <v>-2218.2569659117198</v>
      </c>
      <c r="C95" s="22">
        <f t="shared" si="27"/>
        <v>-11150.705536131092</v>
      </c>
      <c r="D95" s="22">
        <f t="shared" si="27"/>
        <v>-9038.3192297382811</v>
      </c>
      <c r="E95" s="22">
        <f t="shared" si="27"/>
        <v>8747.5462556810999</v>
      </c>
      <c r="F95" s="22">
        <f t="shared" si="27"/>
        <v>12145.152248704606</v>
      </c>
      <c r="G95" s="22">
        <f t="shared" si="27"/>
        <v>14562.364251043451</v>
      </c>
      <c r="H95" s="22">
        <f t="shared" si="27"/>
        <v>16251.664757389703</v>
      </c>
      <c r="I95" s="22">
        <f t="shared" si="27"/>
        <v>17351.097683690434</v>
      </c>
      <c r="J95" s="22">
        <f t="shared" si="27"/>
        <v>18725.788385887525</v>
      </c>
      <c r="K95" s="22">
        <f t="shared" si="27"/>
        <v>20214.620862389344</v>
      </c>
      <c r="L95" s="22">
        <f t="shared" si="27"/>
        <v>21432.080045852726</v>
      </c>
      <c r="M95" s="22">
        <f t="shared" si="27"/>
        <v>22895.311622071324</v>
      </c>
      <c r="N95" s="22">
        <f t="shared" si="27"/>
        <v>24450.37081942226</v>
      </c>
      <c r="O95" s="22">
        <f t="shared" si="27"/>
        <v>25953.190808125339</v>
      </c>
      <c r="P95" s="22">
        <f t="shared" si="27"/>
        <v>27515.869749012189</v>
      </c>
      <c r="Q95" s="22">
        <f t="shared" si="27"/>
        <v>34785.431670719612</v>
      </c>
      <c r="R95" s="22">
        <f t="shared" si="27"/>
        <v>42112.305729680615</v>
      </c>
      <c r="S95" s="22">
        <f t="shared" si="27"/>
        <v>43470.148281090806</v>
      </c>
      <c r="T95" s="22">
        <f t="shared" si="27"/>
        <v>44702.372601462659</v>
      </c>
      <c r="U95" s="22">
        <f t="shared" si="27"/>
        <v>45936.007514151061</v>
      </c>
      <c r="W95" s="446">
        <f>SUM(B95:U95)</f>
        <v>418844.0415545936</v>
      </c>
    </row>
    <row r="96" spans="1:256" outlineLevel="1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 outlineLevel="1">
      <c r="A97" s="21" t="s">
        <v>46</v>
      </c>
      <c r="B97" s="444">
        <f>Assumptions!$H$47</f>
        <v>4.4999999999999998E-2</v>
      </c>
      <c r="C97" s="444">
        <f>Assumptions!$H$47</f>
        <v>4.4999999999999998E-2</v>
      </c>
      <c r="D97" s="444">
        <f>Assumptions!$H$47</f>
        <v>4.4999999999999998E-2</v>
      </c>
      <c r="E97" s="444">
        <f>Assumptions!$H$47</f>
        <v>4.4999999999999998E-2</v>
      </c>
      <c r="F97" s="444">
        <f>Assumptions!$H$47</f>
        <v>4.4999999999999998E-2</v>
      </c>
      <c r="G97" s="444">
        <f>Assumptions!$H$47</f>
        <v>4.4999999999999998E-2</v>
      </c>
      <c r="H97" s="444">
        <f>Assumptions!$H$47</f>
        <v>4.4999999999999998E-2</v>
      </c>
      <c r="I97" s="444">
        <f>Assumptions!$H$47</f>
        <v>4.4999999999999998E-2</v>
      </c>
      <c r="J97" s="444">
        <f>Assumptions!$H$47</f>
        <v>4.4999999999999998E-2</v>
      </c>
      <c r="K97" s="444">
        <f>Assumptions!$H$47</f>
        <v>4.4999999999999998E-2</v>
      </c>
      <c r="L97" s="444">
        <f>Assumptions!$H$47</f>
        <v>4.4999999999999998E-2</v>
      </c>
      <c r="M97" s="444">
        <f>Assumptions!$H$47</f>
        <v>4.4999999999999998E-2</v>
      </c>
      <c r="N97" s="444">
        <f>Assumptions!$H$47</f>
        <v>4.4999999999999998E-2</v>
      </c>
      <c r="O97" s="444">
        <f>Assumptions!$H$47</f>
        <v>4.4999999999999998E-2</v>
      </c>
      <c r="P97" s="444">
        <f>Assumptions!$H$47</f>
        <v>4.4999999999999998E-2</v>
      </c>
      <c r="Q97" s="444">
        <f>Assumptions!$H$47</f>
        <v>4.4999999999999998E-2</v>
      </c>
      <c r="R97" s="444">
        <f>Assumptions!$H$47</f>
        <v>4.4999999999999998E-2</v>
      </c>
      <c r="S97" s="444">
        <f>Assumptions!$H$47</f>
        <v>4.4999999999999998E-2</v>
      </c>
      <c r="T97" s="444">
        <f>Assumptions!$H$47</f>
        <v>4.4999999999999998E-2</v>
      </c>
      <c r="U97" s="444">
        <f>Assumptions!$H$47</f>
        <v>4.4999999999999998E-2</v>
      </c>
    </row>
    <row r="98" spans="1:23" outlineLevel="1">
      <c r="A98" s="21" t="s">
        <v>147</v>
      </c>
      <c r="B98" s="20">
        <f>B95*B97</f>
        <v>-99.821563466027385</v>
      </c>
      <c r="C98" s="20">
        <f t="shared" ref="C98:U98" si="28">C95*C97</f>
        <v>-501.78174912589913</v>
      </c>
      <c r="D98" s="20">
        <f t="shared" si="28"/>
        <v>-406.72436533822264</v>
      </c>
      <c r="E98" s="20">
        <f t="shared" si="28"/>
        <v>393.63958150564946</v>
      </c>
      <c r="F98" s="20">
        <f t="shared" si="28"/>
        <v>546.53185119170723</v>
      </c>
      <c r="G98" s="20">
        <f t="shared" si="28"/>
        <v>655.30639129695533</v>
      </c>
      <c r="H98" s="20">
        <f t="shared" si="28"/>
        <v>731.32491408253657</v>
      </c>
      <c r="I98" s="20">
        <f t="shared" si="28"/>
        <v>780.79939576606944</v>
      </c>
      <c r="J98" s="20">
        <f t="shared" si="28"/>
        <v>842.66047736493863</v>
      </c>
      <c r="K98" s="20">
        <f t="shared" si="28"/>
        <v>909.6579388075204</v>
      </c>
      <c r="L98" s="20">
        <f t="shared" si="28"/>
        <v>964.44360206337262</v>
      </c>
      <c r="M98" s="20">
        <f t="shared" si="28"/>
        <v>1030.2890229932095</v>
      </c>
      <c r="N98" s="20">
        <f t="shared" si="28"/>
        <v>1100.2666868740016</v>
      </c>
      <c r="O98" s="20">
        <f t="shared" si="28"/>
        <v>1167.8935863656402</v>
      </c>
      <c r="P98" s="20">
        <f t="shared" si="28"/>
        <v>1238.2141387055485</v>
      </c>
      <c r="Q98" s="20">
        <f t="shared" si="28"/>
        <v>1565.3444251823826</v>
      </c>
      <c r="R98" s="20">
        <f t="shared" si="28"/>
        <v>1895.0537578356275</v>
      </c>
      <c r="S98" s="20">
        <f t="shared" si="28"/>
        <v>1956.1566726490862</v>
      </c>
      <c r="T98" s="20">
        <f t="shared" si="28"/>
        <v>2011.6067670658197</v>
      </c>
      <c r="U98" s="20">
        <f t="shared" si="28"/>
        <v>2067.1203381367977</v>
      </c>
    </row>
    <row r="99" spans="1:23" outlineLevel="1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3" outlineLevel="1">
      <c r="A100" s="21" t="s">
        <v>148</v>
      </c>
      <c r="B100" s="20">
        <v>0</v>
      </c>
      <c r="C100" s="20">
        <f t="shared" ref="C100:U100" si="29">B104</f>
        <v>99.821563466027385</v>
      </c>
      <c r="D100" s="20">
        <f t="shared" si="29"/>
        <v>601.60331259192651</v>
      </c>
      <c r="E100" s="20">
        <f t="shared" si="29"/>
        <v>1008.3276779301491</v>
      </c>
      <c r="F100" s="20">
        <f t="shared" si="29"/>
        <v>614.68809642449969</v>
      </c>
      <c r="G100" s="20">
        <f t="shared" si="29"/>
        <v>68.156245232792458</v>
      </c>
      <c r="H100" s="20">
        <f t="shared" si="29"/>
        <v>0</v>
      </c>
      <c r="I100" s="20">
        <f t="shared" si="29"/>
        <v>0</v>
      </c>
      <c r="J100" s="20">
        <f t="shared" si="29"/>
        <v>0</v>
      </c>
      <c r="K100" s="20">
        <f t="shared" si="29"/>
        <v>0</v>
      </c>
      <c r="L100" s="20">
        <f t="shared" si="29"/>
        <v>0</v>
      </c>
      <c r="M100" s="20">
        <f t="shared" si="29"/>
        <v>0</v>
      </c>
      <c r="N100" s="20">
        <f>M104</f>
        <v>0</v>
      </c>
      <c r="O100" s="20">
        <f t="shared" si="29"/>
        <v>0</v>
      </c>
      <c r="P100" s="20">
        <f t="shared" si="29"/>
        <v>0</v>
      </c>
      <c r="Q100" s="20">
        <f t="shared" si="29"/>
        <v>0</v>
      </c>
      <c r="R100" s="20">
        <v>0</v>
      </c>
      <c r="S100" s="20">
        <f t="shared" si="29"/>
        <v>0</v>
      </c>
      <c r="T100" s="20">
        <f t="shared" si="29"/>
        <v>0</v>
      </c>
      <c r="U100" s="20">
        <f t="shared" si="29"/>
        <v>0</v>
      </c>
    </row>
    <row r="101" spans="1:23" outlineLevel="1">
      <c r="A101" s="21" t="s">
        <v>149</v>
      </c>
      <c r="B101" s="247">
        <f t="shared" ref="B101:U101" si="30">IF(B70&gt;2020,0,IF(B98&lt;0,-B98,0))</f>
        <v>99.821563466027385</v>
      </c>
      <c r="C101" s="247">
        <f t="shared" si="30"/>
        <v>501.78174912589913</v>
      </c>
      <c r="D101" s="247">
        <f t="shared" si="30"/>
        <v>406.72436533822264</v>
      </c>
      <c r="E101" s="247">
        <f t="shared" si="30"/>
        <v>0</v>
      </c>
      <c r="F101" s="247">
        <f t="shared" si="30"/>
        <v>0</v>
      </c>
      <c r="G101" s="247">
        <f t="shared" si="30"/>
        <v>0</v>
      </c>
      <c r="H101" s="247">
        <f t="shared" si="30"/>
        <v>0</v>
      </c>
      <c r="I101" s="247">
        <f t="shared" si="30"/>
        <v>0</v>
      </c>
      <c r="J101" s="247">
        <f t="shared" si="30"/>
        <v>0</v>
      </c>
      <c r="K101" s="247">
        <f t="shared" si="30"/>
        <v>0</v>
      </c>
      <c r="L101" s="247">
        <f t="shared" si="30"/>
        <v>0</v>
      </c>
      <c r="M101" s="247">
        <f t="shared" si="30"/>
        <v>0</v>
      </c>
      <c r="N101" s="247">
        <f t="shared" si="30"/>
        <v>0</v>
      </c>
      <c r="O101" s="247">
        <f t="shared" si="30"/>
        <v>0</v>
      </c>
      <c r="P101" s="247">
        <f t="shared" si="30"/>
        <v>0</v>
      </c>
      <c r="Q101" s="247">
        <f t="shared" si="30"/>
        <v>0</v>
      </c>
      <c r="R101" s="247">
        <f t="shared" si="30"/>
        <v>0</v>
      </c>
      <c r="S101" s="247">
        <f t="shared" si="30"/>
        <v>0</v>
      </c>
      <c r="T101" s="247">
        <f t="shared" si="30"/>
        <v>0</v>
      </c>
      <c r="U101" s="247">
        <f t="shared" si="30"/>
        <v>0</v>
      </c>
    </row>
    <row r="102" spans="1:23" outlineLevel="1">
      <c r="A102" s="21" t="s">
        <v>150</v>
      </c>
      <c r="B102" s="235">
        <v>0</v>
      </c>
      <c r="C102" s="235">
        <v>0</v>
      </c>
      <c r="D102" s="235">
        <v>0</v>
      </c>
      <c r="E102" s="235">
        <v>0</v>
      </c>
      <c r="F102" s="235">
        <v>0</v>
      </c>
      <c r="G102" s="235">
        <v>0</v>
      </c>
      <c r="H102" s="235">
        <v>0</v>
      </c>
      <c r="I102" s="235">
        <v>0</v>
      </c>
      <c r="J102" s="235">
        <v>0</v>
      </c>
      <c r="K102" s="235">
        <v>0</v>
      </c>
      <c r="L102" s="235">
        <v>0</v>
      </c>
      <c r="M102" s="235">
        <v>0</v>
      </c>
      <c r="N102" s="235">
        <v>0</v>
      </c>
      <c r="O102" s="235">
        <v>0</v>
      </c>
      <c r="P102" s="235">
        <v>0</v>
      </c>
      <c r="Q102" s="235">
        <v>0</v>
      </c>
      <c r="R102" s="235">
        <v>0</v>
      </c>
      <c r="S102" s="235">
        <v>0</v>
      </c>
      <c r="T102" s="20">
        <f>IF(L101&gt;(SUM(M103:S103)+SUM(L102:S102))*-1,L101-(SUM(L103:S103)+SUM(L102:S102))*-1,0)</f>
        <v>0</v>
      </c>
      <c r="U102" s="20">
        <f>IF(M101&gt;(SUM(N103:T103)+SUM(M102:T102))*-1,M101-(SUM(M103:T103)+SUM(M102:T102))*-1,0)</f>
        <v>0</v>
      </c>
    </row>
    <row r="103" spans="1:23" outlineLevel="1">
      <c r="A103" s="17" t="s">
        <v>151</v>
      </c>
      <c r="B103" s="236">
        <f t="shared" ref="B103:T103" si="31">IF(B98&lt;0,0,IF(B100&gt;B98,-B98,-B100))</f>
        <v>0</v>
      </c>
      <c r="C103" s="236">
        <f t="shared" si="31"/>
        <v>0</v>
      </c>
      <c r="D103" s="236">
        <f t="shared" si="31"/>
        <v>0</v>
      </c>
      <c r="E103" s="236">
        <f t="shared" si="31"/>
        <v>-393.63958150564946</v>
      </c>
      <c r="F103" s="236">
        <f t="shared" si="31"/>
        <v>-546.53185119170723</v>
      </c>
      <c r="G103" s="236">
        <f t="shared" si="31"/>
        <v>-68.156245232792458</v>
      </c>
      <c r="H103" s="236">
        <f t="shared" si="31"/>
        <v>0</v>
      </c>
      <c r="I103" s="236">
        <f t="shared" si="31"/>
        <v>0</v>
      </c>
      <c r="J103" s="236">
        <f t="shared" si="31"/>
        <v>0</v>
      </c>
      <c r="K103" s="236">
        <f t="shared" si="31"/>
        <v>0</v>
      </c>
      <c r="L103" s="236">
        <f t="shared" si="31"/>
        <v>0</v>
      </c>
      <c r="M103" s="236">
        <f t="shared" si="31"/>
        <v>0</v>
      </c>
      <c r="N103" s="236">
        <f t="shared" si="31"/>
        <v>0</v>
      </c>
      <c r="O103" s="236">
        <f t="shared" si="31"/>
        <v>0</v>
      </c>
      <c r="P103" s="236">
        <f t="shared" si="31"/>
        <v>0</v>
      </c>
      <c r="Q103" s="236">
        <f t="shared" si="31"/>
        <v>0</v>
      </c>
      <c r="R103" s="236">
        <f t="shared" si="31"/>
        <v>0</v>
      </c>
      <c r="S103" s="236">
        <f t="shared" si="31"/>
        <v>0</v>
      </c>
      <c r="T103" s="236">
        <f t="shared" si="31"/>
        <v>0</v>
      </c>
      <c r="U103" s="236">
        <f>IF(U98&lt;0,0,IF(U100&gt;U98,-U98,-U100))</f>
        <v>0</v>
      </c>
    </row>
    <row r="104" spans="1:23" outlineLevel="1">
      <c r="A104" s="17" t="s">
        <v>152</v>
      </c>
      <c r="B104" s="236">
        <f t="shared" ref="B104:U104" si="32">SUM(B100:B103)</f>
        <v>99.821563466027385</v>
      </c>
      <c r="C104" s="236">
        <f t="shared" si="32"/>
        <v>601.60331259192651</v>
      </c>
      <c r="D104" s="236">
        <f t="shared" si="32"/>
        <v>1008.3276779301491</v>
      </c>
      <c r="E104" s="236">
        <f t="shared" si="32"/>
        <v>614.68809642449969</v>
      </c>
      <c r="F104" s="236">
        <f t="shared" si="32"/>
        <v>68.156245232792458</v>
      </c>
      <c r="G104" s="236">
        <f t="shared" si="32"/>
        <v>0</v>
      </c>
      <c r="H104" s="236">
        <f t="shared" si="32"/>
        <v>0</v>
      </c>
      <c r="I104" s="236">
        <f t="shared" si="32"/>
        <v>0</v>
      </c>
      <c r="J104" s="236">
        <f t="shared" si="32"/>
        <v>0</v>
      </c>
      <c r="K104" s="236">
        <f t="shared" si="32"/>
        <v>0</v>
      </c>
      <c r="L104" s="236">
        <f t="shared" si="32"/>
        <v>0</v>
      </c>
      <c r="M104" s="236">
        <f t="shared" si="32"/>
        <v>0</v>
      </c>
      <c r="N104" s="236">
        <f t="shared" si="32"/>
        <v>0</v>
      </c>
      <c r="O104" s="236">
        <f t="shared" si="32"/>
        <v>0</v>
      </c>
      <c r="P104" s="236">
        <f t="shared" si="32"/>
        <v>0</v>
      </c>
      <c r="Q104" s="236">
        <f t="shared" si="32"/>
        <v>0</v>
      </c>
      <c r="R104" s="236">
        <f t="shared" si="32"/>
        <v>0</v>
      </c>
      <c r="S104" s="236">
        <f t="shared" si="32"/>
        <v>0</v>
      </c>
      <c r="T104" s="236">
        <f t="shared" si="32"/>
        <v>0</v>
      </c>
      <c r="U104" s="236">
        <f t="shared" si="32"/>
        <v>0</v>
      </c>
    </row>
    <row r="105" spans="1:23" outlineLevel="1">
      <c r="A105" s="17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</row>
    <row r="106" spans="1:23" ht="13.5" outlineLevel="1" thickBot="1">
      <c r="A106" s="32" t="s">
        <v>144</v>
      </c>
      <c r="B106" s="434">
        <f>IF(B98&lt;0,0,B98+B103)</f>
        <v>0</v>
      </c>
      <c r="C106" s="434">
        <f t="shared" ref="C106:U106" si="33">IF(C98&lt;0,0,C98+C103)</f>
        <v>0</v>
      </c>
      <c r="D106" s="434">
        <f t="shared" si="33"/>
        <v>0</v>
      </c>
      <c r="E106" s="434">
        <f t="shared" si="33"/>
        <v>0</v>
      </c>
      <c r="F106" s="434">
        <f t="shared" si="33"/>
        <v>0</v>
      </c>
      <c r="G106" s="434">
        <f t="shared" si="33"/>
        <v>587.15014606416287</v>
      </c>
      <c r="H106" s="434">
        <f t="shared" si="33"/>
        <v>731.32491408253657</v>
      </c>
      <c r="I106" s="434">
        <f t="shared" si="33"/>
        <v>780.79939576606944</v>
      </c>
      <c r="J106" s="434">
        <f t="shared" si="33"/>
        <v>842.66047736493863</v>
      </c>
      <c r="K106" s="434">
        <f t="shared" si="33"/>
        <v>909.6579388075204</v>
      </c>
      <c r="L106" s="434">
        <f t="shared" si="33"/>
        <v>964.44360206337262</v>
      </c>
      <c r="M106" s="434">
        <f t="shared" si="33"/>
        <v>1030.2890229932095</v>
      </c>
      <c r="N106" s="434">
        <f t="shared" si="33"/>
        <v>1100.2666868740016</v>
      </c>
      <c r="O106" s="434">
        <f t="shared" si="33"/>
        <v>1167.8935863656402</v>
      </c>
      <c r="P106" s="434">
        <f t="shared" si="33"/>
        <v>1238.2141387055485</v>
      </c>
      <c r="Q106" s="434">
        <f t="shared" si="33"/>
        <v>1565.3444251823826</v>
      </c>
      <c r="R106" s="434">
        <f t="shared" si="33"/>
        <v>1895.0537578356275</v>
      </c>
      <c r="S106" s="434">
        <f t="shared" si="33"/>
        <v>1956.1566726490862</v>
      </c>
      <c r="T106" s="434">
        <f t="shared" si="33"/>
        <v>2011.6067670658197</v>
      </c>
      <c r="U106" s="434">
        <f t="shared" si="33"/>
        <v>2067.1203381367977</v>
      </c>
      <c r="W106" s="426">
        <f>SUM(B106:U106)</f>
        <v>18847.981869956711</v>
      </c>
    </row>
    <row r="107" spans="1:23" ht="14.25" customHeight="1" outlineLevel="1" thickTop="1">
      <c r="A107" s="80"/>
      <c r="B107" s="69"/>
      <c r="C107" s="6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ht="13.5" outlineLevel="1" thickBot="1">
      <c r="A108" s="32" t="s">
        <v>297</v>
      </c>
      <c r="B108" s="434">
        <f>B87+B106</f>
        <v>397.13451113759282</v>
      </c>
      <c r="C108" s="434">
        <f t="shared" ref="C108:U108" si="34">C87+C106</f>
        <v>397.36523817150567</v>
      </c>
      <c r="D108" s="434">
        <f t="shared" si="34"/>
        <v>397.60628760793594</v>
      </c>
      <c r="E108" s="434">
        <f t="shared" si="34"/>
        <v>585.43248001006452</v>
      </c>
      <c r="F108" s="434">
        <f t="shared" si="34"/>
        <v>648.43899808532854</v>
      </c>
      <c r="G108" s="434">
        <f t="shared" si="34"/>
        <v>1270.0360925130713</v>
      </c>
      <c r="H108" s="434">
        <f t="shared" si="34"/>
        <v>1449.1418981668453</v>
      </c>
      <c r="I108" s="434">
        <f t="shared" si="34"/>
        <v>1536.679074483402</v>
      </c>
      <c r="J108" s="434">
        <f t="shared" si="34"/>
        <v>1644.5976648181734</v>
      </c>
      <c r="K108" s="434">
        <f t="shared" si="34"/>
        <v>1762.8974056006161</v>
      </c>
      <c r="L108" s="434">
        <f t="shared" si="34"/>
        <v>1858.3947059554243</v>
      </c>
      <c r="M108" s="434">
        <f t="shared" si="34"/>
        <v>1974.6719756154926</v>
      </c>
      <c r="N108" s="434">
        <f t="shared" si="34"/>
        <v>2096.8396770674171</v>
      </c>
      <c r="O108" s="434">
        <f t="shared" si="34"/>
        <v>2216.2444313137598</v>
      </c>
      <c r="P108" s="434">
        <f t="shared" si="34"/>
        <v>2339.0140925050218</v>
      </c>
      <c r="Q108" s="434">
        <f t="shared" si="34"/>
        <v>2712.1268183741572</v>
      </c>
      <c r="R108" s="434">
        <f t="shared" si="34"/>
        <v>3089.767203086325</v>
      </c>
      <c r="S108" s="434">
        <f t="shared" si="34"/>
        <v>3197.0367646477303</v>
      </c>
      <c r="T108" s="434">
        <f t="shared" si="34"/>
        <v>3294.3824859571068</v>
      </c>
      <c r="U108" s="434">
        <f t="shared" si="34"/>
        <v>3391.8396440594906</v>
      </c>
      <c r="W108" s="426">
        <f>SUM(B108:U108)</f>
        <v>36259.64744917646</v>
      </c>
    </row>
    <row r="109" spans="1:23" ht="13.5" outlineLevel="1" thickTop="1">
      <c r="A109" s="80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outlineLevel="1">
      <c r="A110" s="83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 spans="1:23" outlineLevel="1">
      <c r="A111" s="83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 spans="1:23" outlineLevel="1">
      <c r="A112" s="83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pans="1:21" outlineLevel="1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</row>
    <row r="114" spans="1:21" outlineLevel="1">
      <c r="A114" s="7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 spans="1:21" outlineLevel="1">
      <c r="A115" s="7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</row>
    <row r="116" spans="1:21" outlineLevel="1">
      <c r="A116" s="7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</row>
    <row r="117" spans="1:21" ht="18.75" outlineLevel="1">
      <c r="A117" s="84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</row>
    <row r="118" spans="1:21" outlineLevel="1">
      <c r="A118" s="57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</row>
    <row r="119" spans="1:21" outlineLevel="1">
      <c r="A119" s="57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</row>
    <row r="120" spans="1:21" outlineLevel="1">
      <c r="A120" s="7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</row>
    <row r="121" spans="1:21" outlineLevel="1">
      <c r="A121" s="7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</row>
    <row r="122" spans="1:21" outlineLevel="1">
      <c r="A122" s="2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1:21" outlineLevel="1">
      <c r="A123" s="80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78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69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80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79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6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80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6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79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82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78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79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78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79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79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79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80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1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7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82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82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79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78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80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80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80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80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7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</row>
    <row r="166" spans="1:21" outlineLevel="1">
      <c r="A166" s="7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</row>
    <row r="167" spans="1:21" outlineLevel="1">
      <c r="A167" s="7"/>
      <c r="B167" s="7"/>
      <c r="C167" s="7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</row>
    <row r="168" spans="1:21" ht="18.75" outlineLevel="1">
      <c r="A168" s="8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5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5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2"/>
      <c r="B172" s="9"/>
      <c r="C172" s="9"/>
      <c r="D172" s="9"/>
      <c r="E172" s="9"/>
      <c r="F172" s="9"/>
      <c r="G172" s="9"/>
      <c r="H172" s="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5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86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86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7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57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86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6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86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86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86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86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86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6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57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86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86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57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57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7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7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57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7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57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7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5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7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7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7"/>
      <c r="B216" s="7"/>
      <c r="C216" s="59"/>
      <c r="D216" s="59"/>
      <c r="E216" s="59"/>
      <c r="F216" s="59"/>
      <c r="G216" s="59"/>
      <c r="H216" s="5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7"/>
      <c r="B217" s="7"/>
      <c r="C217" s="59"/>
      <c r="D217" s="59"/>
      <c r="E217" s="59"/>
      <c r="F217" s="59"/>
      <c r="G217" s="59"/>
      <c r="H217" s="5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57"/>
      <c r="B218" s="7"/>
      <c r="C218" s="59"/>
      <c r="D218" s="59"/>
      <c r="E218" s="59"/>
      <c r="F218" s="59"/>
      <c r="G218" s="59"/>
      <c r="H218" s="5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7"/>
      <c r="B219" s="7"/>
      <c r="C219" s="59"/>
      <c r="D219" s="59"/>
      <c r="E219" s="59"/>
      <c r="F219" s="59"/>
      <c r="G219" s="59"/>
      <c r="H219" s="59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8.75" outlineLevel="1">
      <c r="A221" s="8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s="90" customFormat="1" outlineLevel="1">
      <c r="A225" s="89"/>
    </row>
    <row r="226" spans="1:21" outlineLevel="1">
      <c r="A226" s="5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7"/>
      <c r="B227" s="7"/>
      <c r="C227" s="91"/>
      <c r="D227" s="91"/>
      <c r="E227" s="91"/>
      <c r="F227" s="91"/>
      <c r="G227" s="91"/>
      <c r="H227" s="91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7"/>
      <c r="C228" s="91"/>
      <c r="D228" s="91"/>
      <c r="E228" s="91"/>
      <c r="F228" s="91"/>
      <c r="G228" s="91"/>
      <c r="H228" s="91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7"/>
      <c r="C229" s="93"/>
      <c r="D229" s="93"/>
      <c r="E229" s="93"/>
      <c r="F229" s="93"/>
      <c r="G229" s="93"/>
      <c r="H229" s="93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5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8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59"/>
      <c r="D232" s="59"/>
      <c r="E232" s="59"/>
      <c r="F232" s="59"/>
      <c r="G232" s="59"/>
      <c r="H232" s="5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59"/>
      <c r="D233" s="59"/>
      <c r="E233" s="59"/>
      <c r="F233" s="59"/>
      <c r="G233" s="59"/>
      <c r="H233" s="5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94"/>
      <c r="B234" s="7"/>
      <c r="C234" s="59"/>
      <c r="D234" s="59"/>
      <c r="E234" s="59"/>
      <c r="F234" s="59"/>
      <c r="G234" s="59"/>
      <c r="H234" s="59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94"/>
      <c r="B235" s="7"/>
      <c r="C235" s="59"/>
      <c r="D235" s="59"/>
      <c r="E235" s="59"/>
      <c r="F235" s="59"/>
      <c r="G235" s="59"/>
      <c r="H235" s="5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94"/>
      <c r="B236" s="7"/>
      <c r="C236" s="91"/>
      <c r="D236" s="91"/>
      <c r="E236" s="91"/>
      <c r="F236" s="91"/>
      <c r="G236" s="91"/>
      <c r="H236" s="91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7"/>
      <c r="B237" s="7"/>
      <c r="C237" s="95"/>
      <c r="D237" s="95"/>
      <c r="E237" s="95"/>
      <c r="F237" s="95"/>
      <c r="G237" s="95"/>
      <c r="H237" s="95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94"/>
      <c r="B238" s="7"/>
      <c r="C238" s="96"/>
      <c r="D238" s="96"/>
      <c r="E238" s="96"/>
      <c r="F238" s="96"/>
      <c r="G238" s="96"/>
      <c r="H238" s="9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94"/>
      <c r="B239" s="7"/>
      <c r="C239" s="96"/>
      <c r="D239" s="96"/>
      <c r="E239" s="96"/>
      <c r="F239" s="96"/>
      <c r="G239" s="96"/>
      <c r="H239" s="9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94"/>
      <c r="B240" s="7"/>
      <c r="C240" s="96"/>
      <c r="D240" s="96"/>
      <c r="E240" s="96"/>
      <c r="F240" s="96"/>
      <c r="G240" s="96"/>
      <c r="H240" s="96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94"/>
      <c r="B241" s="7"/>
      <c r="C241" s="96"/>
      <c r="D241" s="96"/>
      <c r="E241" s="96"/>
      <c r="F241" s="96"/>
      <c r="G241" s="96"/>
      <c r="H241" s="96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94"/>
      <c r="B242" s="7"/>
      <c r="C242" s="95"/>
      <c r="D242" s="95"/>
      <c r="E242" s="95"/>
      <c r="F242" s="95"/>
      <c r="G242" s="95"/>
      <c r="H242" s="95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59"/>
      <c r="D245" s="59"/>
      <c r="E245" s="59"/>
      <c r="F245" s="59"/>
      <c r="G245" s="59"/>
      <c r="H245" s="5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59"/>
      <c r="D246" s="59"/>
      <c r="E246" s="59"/>
      <c r="F246" s="59"/>
      <c r="G246" s="59"/>
      <c r="H246" s="5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97"/>
      <c r="C247" s="59"/>
      <c r="D247" s="59"/>
      <c r="E247" s="59"/>
      <c r="F247" s="59"/>
      <c r="G247" s="59"/>
      <c r="H247" s="59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94"/>
      <c r="B251" s="7"/>
      <c r="C251" s="91"/>
      <c r="D251" s="91"/>
      <c r="E251" s="91"/>
      <c r="F251" s="91"/>
      <c r="G251" s="91"/>
      <c r="H251" s="91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94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94"/>
      <c r="B253" s="97"/>
      <c r="C253" s="91"/>
      <c r="D253" s="91"/>
      <c r="E253" s="91"/>
      <c r="F253" s="91"/>
      <c r="G253" s="91"/>
      <c r="H253" s="9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91"/>
      <c r="D254" s="91"/>
      <c r="E254" s="91"/>
      <c r="F254" s="91"/>
      <c r="G254" s="91"/>
      <c r="H254" s="91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91"/>
      <c r="D255" s="91"/>
      <c r="E255" s="91"/>
      <c r="F255" s="91"/>
      <c r="G255" s="91"/>
      <c r="H255" s="91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91"/>
      <c r="D256" s="91"/>
      <c r="E256" s="91"/>
      <c r="F256" s="91"/>
      <c r="G256" s="91"/>
      <c r="H256" s="91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91"/>
      <c r="D257" s="91"/>
      <c r="E257" s="91"/>
      <c r="F257" s="91"/>
      <c r="G257" s="91"/>
      <c r="H257" s="9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91"/>
      <c r="D258" s="91"/>
      <c r="E258" s="91"/>
      <c r="F258" s="91"/>
      <c r="G258" s="91"/>
      <c r="H258" s="91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7"/>
      <c r="B261" s="98"/>
      <c r="C261" s="98"/>
      <c r="D261" s="98"/>
      <c r="E261" s="98"/>
      <c r="F261" s="98"/>
      <c r="G261" s="98"/>
      <c r="H261" s="9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97"/>
      <c r="C262" s="98"/>
      <c r="D262" s="98"/>
      <c r="E262" s="98"/>
      <c r="F262" s="98"/>
      <c r="G262" s="98"/>
      <c r="H262" s="9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57"/>
      <c r="B263" s="98"/>
      <c r="C263" s="98"/>
      <c r="D263" s="98"/>
      <c r="E263" s="98"/>
      <c r="F263" s="98"/>
      <c r="G263" s="98"/>
      <c r="H263" s="9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98"/>
      <c r="D264" s="98"/>
      <c r="E264" s="98"/>
      <c r="F264" s="98"/>
      <c r="G264" s="98"/>
      <c r="H264" s="98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5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5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87"/>
      <c r="D269" s="87"/>
      <c r="E269" s="87"/>
      <c r="F269" s="87"/>
      <c r="G269" s="87"/>
      <c r="H269" s="8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7"/>
      <c r="B270" s="7"/>
      <c r="C270" s="98"/>
      <c r="D270" s="98"/>
      <c r="E270" s="98"/>
      <c r="F270" s="98"/>
      <c r="G270" s="98"/>
      <c r="H270" s="98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99"/>
      <c r="D271" s="99"/>
      <c r="E271" s="99"/>
      <c r="F271" s="99"/>
      <c r="G271" s="99"/>
      <c r="H271" s="9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7"/>
      <c r="B272" s="7"/>
      <c r="C272" s="87"/>
      <c r="D272" s="87"/>
      <c r="E272" s="87"/>
      <c r="F272" s="87"/>
      <c r="G272" s="87"/>
      <c r="H272" s="8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6" outlineLevel="1">
      <c r="A273" s="7"/>
      <c r="B273" s="7"/>
      <c r="C273" s="99"/>
      <c r="D273" s="99"/>
      <c r="E273" s="99"/>
      <c r="F273" s="99"/>
      <c r="G273" s="99"/>
      <c r="H273" s="99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6" outlineLevel="1">
      <c r="A274" s="7"/>
      <c r="B274" s="7"/>
      <c r="C274" s="100"/>
      <c r="D274" s="100"/>
      <c r="E274" s="100"/>
      <c r="F274" s="100"/>
      <c r="G274" s="100"/>
      <c r="H274" s="100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6" outlineLevel="1">
      <c r="A275" s="7"/>
      <c r="B275" s="7"/>
      <c r="C275" s="100"/>
      <c r="D275" s="100"/>
      <c r="E275" s="100"/>
      <c r="F275" s="100"/>
      <c r="G275" s="100"/>
      <c r="H275" s="100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6" ht="18.75" hidden="1" outlineLevel="2">
      <c r="A276" s="84"/>
      <c r="B276" s="7"/>
      <c r="C276" s="100"/>
      <c r="D276" s="100"/>
      <c r="E276" s="100"/>
      <c r="F276" s="100"/>
      <c r="G276" s="100"/>
      <c r="H276" s="100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6" hidden="1" outlineLevel="2">
      <c r="A277" s="57"/>
      <c r="B277" s="7"/>
      <c r="C277" s="100"/>
      <c r="D277" s="100"/>
      <c r="E277" s="100"/>
      <c r="F277" s="100"/>
      <c r="G277" s="100"/>
      <c r="H277" s="100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6" hidden="1" outlineLevel="2">
      <c r="A278" s="7"/>
      <c r="B278" s="7"/>
      <c r="C278" s="100"/>
      <c r="D278" s="100"/>
      <c r="E278" s="100"/>
      <c r="F278" s="100"/>
      <c r="G278" s="100"/>
      <c r="H278" s="100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6" hidden="1" outlineLevel="2">
      <c r="A279" s="57"/>
      <c r="B279" s="11"/>
      <c r="C279" s="11"/>
      <c r="D279" s="10"/>
      <c r="E279" s="10"/>
      <c r="F279" s="11"/>
      <c r="G279" s="11"/>
      <c r="H279" s="10"/>
      <c r="I279" s="11"/>
      <c r="J279" s="11"/>
      <c r="K279" s="11"/>
      <c r="L279" s="10"/>
      <c r="M279" s="11"/>
      <c r="N279" s="11"/>
      <c r="O279" s="7"/>
      <c r="P279" s="7"/>
      <c r="Q279" s="7"/>
      <c r="R279" s="7"/>
      <c r="S279" s="7"/>
      <c r="T279" s="11"/>
      <c r="U279" s="7"/>
    </row>
    <row r="280" spans="1:26" hidden="1" outlineLevel="2">
      <c r="A280" s="5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6" hidden="1" outlineLevel="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6" hidden="1" outlineLevel="2">
      <c r="A282" s="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7"/>
      <c r="P282" s="7"/>
      <c r="Q282" s="7"/>
      <c r="R282" s="7"/>
      <c r="S282" s="7"/>
      <c r="T282" s="87"/>
      <c r="U282" s="7"/>
    </row>
    <row r="283" spans="1:26" hidden="1" outlineLevel="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6" hidden="1" outlineLevel="2">
      <c r="A284" s="7"/>
      <c r="B284" s="98"/>
      <c r="C284" s="98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7"/>
      <c r="P284" s="7"/>
      <c r="Q284" s="7"/>
      <c r="R284" s="7"/>
      <c r="S284" s="7"/>
      <c r="T284" s="87"/>
      <c r="U284" s="7"/>
    </row>
    <row r="285" spans="1:26" hidden="1" outlineLevel="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6" hidden="1" outlineLevel="2">
      <c r="A286" s="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7"/>
      <c r="P286" s="7"/>
      <c r="Q286" s="7"/>
      <c r="R286" s="7"/>
      <c r="S286" s="7"/>
      <c r="T286" s="87"/>
      <c r="U286" s="87"/>
      <c r="V286" s="87"/>
      <c r="W286" s="87"/>
      <c r="X286" s="87"/>
      <c r="Y286" s="87"/>
      <c r="Z286" s="87"/>
    </row>
    <row r="287" spans="1:26" hidden="1" outlineLevel="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6" hidden="1" outlineLevel="2">
      <c r="A288" s="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7"/>
      <c r="P288" s="7"/>
      <c r="Q288" s="7"/>
      <c r="R288" s="7"/>
      <c r="S288" s="7"/>
      <c r="T288" s="87"/>
      <c r="U288" s="7"/>
    </row>
    <row r="289" spans="1:21" hidden="1" outlineLevel="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idden="1" outlineLevel="2">
      <c r="A290" s="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7"/>
      <c r="P290" s="7"/>
      <c r="Q290" s="7"/>
      <c r="R290" s="7"/>
      <c r="S290" s="7"/>
      <c r="T290" s="87"/>
      <c r="U290" s="87"/>
    </row>
    <row r="291" spans="1:21" hidden="1" outlineLevel="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idden="1" outlineLevel="2">
      <c r="A292" s="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7"/>
      <c r="P292" s="7"/>
      <c r="Q292" s="7"/>
      <c r="R292" s="7"/>
      <c r="S292" s="7"/>
      <c r="T292" s="87"/>
      <c r="U292" s="87"/>
    </row>
    <row r="293" spans="1:21" hidden="1" outlineLevel="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 collapsed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8.75" outlineLevel="1">
      <c r="A297" s="8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2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 spans="1:21" outlineLevel="1">
      <c r="A302" s="5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86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86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5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86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86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86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86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86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86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86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5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5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5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5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86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5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5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2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5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5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5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5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outlineLevel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8.75" outlineLevel="1">
      <c r="A347" s="8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outlineLevel="1">
      <c r="A348" s="5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outlineLevel="1">
      <c r="A349" s="5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outlineLevel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outlineLevel="1">
      <c r="A351" s="2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7"/>
      <c r="P351" s="7"/>
      <c r="Q351" s="7"/>
      <c r="R351" s="7"/>
      <c r="S351" s="7"/>
      <c r="T351" s="7"/>
      <c r="U351" s="7"/>
    </row>
    <row r="352" spans="1:21" outlineLevel="1">
      <c r="A352" s="5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86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57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86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86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86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86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86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86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86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86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57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7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86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86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57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57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57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57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57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57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 outlineLevel="1">
      <c r="A384" s="57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 outlineLevel="1">
      <c r="A385" s="7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7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7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7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7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5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7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5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</row>
    <row r="395" spans="1:21" outlineLevel="1">
      <c r="A395" s="5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</row>
    <row r="396" spans="1:21" outlineLevel="1">
      <c r="A396" s="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</row>
    <row r="397" spans="1:21" outlineLevel="1">
      <c r="A397" s="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</row>
    <row r="398" spans="1:21" outlineLevel="1">
      <c r="A398" s="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</row>
    <row r="399" spans="1:21" outlineLevel="1">
      <c r="A399" s="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</row>
    <row r="400" spans="1:21" outlineLevel="1">
      <c r="A400" s="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</row>
    <row r="401" spans="1:21" outlineLevel="1">
      <c r="A401" s="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</row>
    <row r="402" spans="1:21" outlineLevel="1">
      <c r="A402" s="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</row>
    <row r="403" spans="1:21" outlineLevel="1">
      <c r="A403" s="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57"/>
      <c r="B408" s="102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7"/>
      <c r="P408" s="7"/>
      <c r="Q408" s="7"/>
      <c r="R408" s="7"/>
      <c r="S408" s="7"/>
      <c r="T408" s="7"/>
      <c r="U408" s="7"/>
    </row>
    <row r="409" spans="1:21" outlineLevel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8.75" outlineLevel="1">
      <c r="A410" s="8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outlineLevel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outlineLevel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outlineLevel="1">
      <c r="A414" s="2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 spans="1:21" outlineLevel="1">
      <c r="A415" s="7"/>
      <c r="B415" s="7"/>
      <c r="C415" s="7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7"/>
      <c r="C416" s="73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7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7"/>
      <c r="P418" s="7"/>
      <c r="Q418" s="7"/>
      <c r="R418" s="7"/>
      <c r="S418" s="7"/>
      <c r="T418" s="7"/>
      <c r="U418" s="7"/>
    </row>
    <row r="419" spans="1:21" outlineLevel="1">
      <c r="A419" s="7"/>
      <c r="B419" s="7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"/>
      <c r="P419" s="7"/>
      <c r="Q419" s="7"/>
      <c r="R419" s="7"/>
      <c r="S419" s="7"/>
      <c r="T419" s="7"/>
      <c r="U419" s="7"/>
    </row>
    <row r="420" spans="1:21" outlineLevel="1">
      <c r="A420" s="7"/>
      <c r="B420" s="7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"/>
      <c r="P420" s="7"/>
      <c r="Q420" s="7"/>
      <c r="R420" s="7"/>
      <c r="S420" s="7"/>
      <c r="T420" s="7"/>
      <c r="U420" s="7"/>
    </row>
    <row r="421" spans="1:21" outlineLevel="1">
      <c r="A421" s="94"/>
      <c r="B421" s="7"/>
      <c r="C421" s="73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7"/>
      <c r="P421" s="7"/>
      <c r="Q421" s="7"/>
      <c r="R421" s="7"/>
      <c r="S421" s="7"/>
      <c r="T421" s="7"/>
      <c r="U421" s="7"/>
    </row>
    <row r="422" spans="1:21" outlineLevel="1">
      <c r="A422" s="94"/>
      <c r="B422" s="7"/>
      <c r="C422" s="73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7"/>
      <c r="P422" s="7"/>
      <c r="Q422" s="7"/>
      <c r="R422" s="7"/>
      <c r="S422" s="7"/>
      <c r="T422" s="7"/>
      <c r="U422" s="7"/>
    </row>
    <row r="423" spans="1:21" outlineLevel="1">
      <c r="A423" s="57"/>
      <c r="B423" s="7"/>
      <c r="C423" s="7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outlineLevel="1">
      <c r="A424" s="7"/>
      <c r="B424" s="102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7"/>
      <c r="P424" s="7"/>
      <c r="Q424" s="7"/>
      <c r="R424" s="7"/>
      <c r="S424" s="7"/>
      <c r="T424" s="7"/>
      <c r="U424" s="7"/>
    </row>
    <row r="425" spans="1:21" outlineLevel="1">
      <c r="A425" s="7"/>
      <c r="B425" s="7"/>
      <c r="C425" s="7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outlineLevel="1">
      <c r="A426" s="57"/>
      <c r="B426" s="7"/>
      <c r="C426" s="73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7"/>
      <c r="P426" s="7"/>
      <c r="Q426" s="7"/>
      <c r="R426" s="7"/>
      <c r="S426" s="7"/>
      <c r="T426" s="7"/>
      <c r="U426" s="7"/>
    </row>
    <row r="427" spans="1:21" outlineLevel="1">
      <c r="A427" s="7"/>
      <c r="B427" s="7"/>
      <c r="C427" s="73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7"/>
      <c r="P427" s="7"/>
      <c r="Q427" s="7"/>
      <c r="R427" s="7"/>
      <c r="S427" s="7"/>
      <c r="T427" s="7"/>
      <c r="U427" s="7"/>
    </row>
    <row r="428" spans="1:21" outlineLevel="1">
      <c r="A428" s="57"/>
      <c r="B428" s="7"/>
      <c r="C428" s="73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7"/>
      <c r="P428" s="7"/>
      <c r="Q428" s="7"/>
      <c r="R428" s="7"/>
      <c r="S428" s="7"/>
      <c r="T428" s="7"/>
      <c r="U428" s="7"/>
    </row>
    <row r="429" spans="1:21" outlineLevel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outlineLevel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s="106" customFormat="1" ht="18.75" outlineLevel="1">
      <c r="A431" s="104"/>
      <c r="B431" s="105"/>
      <c r="C431" s="105"/>
    </row>
    <row r="432" spans="1:21" s="106" customFormat="1" outlineLevel="1">
      <c r="A432" s="105"/>
      <c r="B432" s="107"/>
      <c r="C432" s="108"/>
      <c r="D432" s="105"/>
      <c r="E432" s="109"/>
    </row>
    <row r="433" spans="1:21" s="106" customFormat="1" outlineLevel="1">
      <c r="A433" s="105"/>
      <c r="B433" s="110"/>
      <c r="C433" s="88"/>
      <c r="D433" s="88"/>
      <c r="E433" s="109"/>
    </row>
    <row r="434" spans="1:21" s="106" customFormat="1" outlineLevel="1">
      <c r="A434" s="105"/>
      <c r="B434" s="88"/>
      <c r="C434" s="109"/>
      <c r="D434" s="88"/>
      <c r="E434" s="110"/>
    </row>
    <row r="435" spans="1:21" s="106" customFormat="1" outlineLevel="1">
      <c r="A435" s="111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</row>
    <row r="436" spans="1:21" s="106" customFormat="1" outlineLevel="1">
      <c r="A436" s="80"/>
      <c r="B436" s="105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79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79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79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78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69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80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113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113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113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83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113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113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113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113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</row>
    <row r="453" spans="1:21" s="106" customFormat="1" outlineLevel="1">
      <c r="A453" s="113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outlineLevel="1">
      <c r="A454" s="80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06" customFormat="1" outlineLevel="1">
      <c r="A455" s="80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outlineLevel="1">
      <c r="A456" s="80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06" customFormat="1" outlineLevel="1">
      <c r="A457" s="80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9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80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82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</row>
    <row r="462" spans="1:21" s="106" customFormat="1" outlineLevel="1">
      <c r="A462" s="7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ht="13.9" customHeight="1" outlineLevel="1">
      <c r="A463" s="78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16" customFormat="1" outlineLevel="1">
      <c r="A464" s="115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78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7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79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79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79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80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16" customFormat="1" outlineLevel="1">
      <c r="A471" s="117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9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8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8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8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79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16" customFormat="1" outlineLevel="1">
      <c r="A477" s="115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79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8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78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16" customFormat="1" outlineLevel="1">
      <c r="A481" s="117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16" customFormat="1" outlineLevel="1">
      <c r="A483" s="117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80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80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80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outlineLevel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outlineLevel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outlineLevel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8.75" outlineLevel="1">
      <c r="A490" s="8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outlineLevel="1">
      <c r="A491" s="5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outlineLevel="1">
      <c r="A492" s="118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7"/>
      <c r="N492" s="7"/>
      <c r="O492" s="7"/>
      <c r="P492" s="7"/>
      <c r="Q492" s="7"/>
      <c r="R492" s="7"/>
      <c r="S492" s="7"/>
      <c r="T492" s="7"/>
      <c r="U492" s="7"/>
    </row>
    <row r="493" spans="1:21" outlineLevel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outlineLevel="1">
      <c r="A494" s="2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5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86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119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86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5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86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86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86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6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86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86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86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86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2">
      <c r="A511" s="86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2">
      <c r="A512" s="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2">
      <c r="A513" s="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2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2">
      <c r="A515" s="86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2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2">
      <c r="A519" s="86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 collapsed="1">
      <c r="A520" s="5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5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5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5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5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1">
      <c r="A527" s="5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1">
      <c r="A528" s="5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7"/>
      <c r="C529" s="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7"/>
      <c r="C530" s="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7"/>
      <c r="B531" s="7"/>
      <c r="C531" s="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7"/>
      <c r="B532" s="7"/>
      <c r="C532" s="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7"/>
      <c r="B533" s="7"/>
      <c r="C533" s="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</sheetData>
  <pageMargins left="0.18" right="0.17" top="0.37" bottom="0.4" header="0.17" footer="0.21"/>
  <pageSetup scale="42" orientation="landscape" r:id="rId1"/>
  <headerFooter alignWithMargins="0">
    <oddHeader>&amp;L&amp;12Enron's Generation</oddHeader>
    <oddFooter>&amp;L&amp;T, 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R735"/>
  <sheetViews>
    <sheetView topLeftCell="N1" zoomScale="75" zoomScaleNormal="75" workbookViewId="0">
      <selection activeCell="AE1" sqref="AE1"/>
    </sheetView>
  </sheetViews>
  <sheetFormatPr defaultRowHeight="12.75" outlineLevelRow="2" outlineLevelCol="1"/>
  <cols>
    <col min="1" max="1" width="40.1406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.42578125" style="7" bestFit="1" customWidth="1"/>
    <col min="24" max="16384" width="9.140625" style="7"/>
  </cols>
  <sheetData>
    <row r="1" spans="1:51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1" ht="18.75">
      <c r="A2" s="52" t="s">
        <v>105</v>
      </c>
      <c r="B2" s="391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1" ht="13.5" thickBot="1">
      <c r="A5" s="197" t="s">
        <v>65</v>
      </c>
      <c r="B5" s="8">
        <f>Brownsville!$B$5</f>
        <v>2001</v>
      </c>
      <c r="C5" s="8">
        <f>B5+1</f>
        <v>2002</v>
      </c>
      <c r="D5" s="8">
        <f t="shared" ref="D5:U5" si="0">C5+1</f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1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1">
      <c r="A7" s="1" t="s">
        <v>66</v>
      </c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58"/>
      <c r="W7" s="58"/>
      <c r="X7" s="58"/>
      <c r="Y7" s="503">
        <f>SUM(Z7:AS7)-SUM(Z8:AS8)</f>
        <v>0</v>
      </c>
      <c r="Z7" s="504">
        <f>B10+B11</f>
        <v>837.43449600000008</v>
      </c>
      <c r="AA7" s="504">
        <f>C10+C11</f>
        <v>862.55753088000006</v>
      </c>
      <c r="AB7" s="504">
        <f>D10+D11</f>
        <v>888.43425680640007</v>
      </c>
      <c r="AC7" s="504">
        <f t="shared" ref="AC7:AS7" si="1">E16</f>
        <v>464.88376051059197</v>
      </c>
      <c r="AD7" s="504">
        <f t="shared" si="1"/>
        <v>478.83027332590973</v>
      </c>
      <c r="AE7" s="504">
        <f t="shared" si="1"/>
        <v>493.19518152568702</v>
      </c>
      <c r="AF7" s="504">
        <f t="shared" si="1"/>
        <v>507.99103697145767</v>
      </c>
      <c r="AG7" s="504">
        <f t="shared" si="1"/>
        <v>523.23076808060136</v>
      </c>
      <c r="AH7" s="504">
        <f t="shared" si="1"/>
        <v>538.92769112301949</v>
      </c>
      <c r="AI7" s="504">
        <f t="shared" si="1"/>
        <v>555.09552185670998</v>
      </c>
      <c r="AJ7" s="504">
        <f t="shared" si="1"/>
        <v>571.74838751241123</v>
      </c>
      <c r="AK7" s="504">
        <f t="shared" si="1"/>
        <v>588.90083913778358</v>
      </c>
      <c r="AL7" s="504">
        <f t="shared" si="1"/>
        <v>606.56786431191699</v>
      </c>
      <c r="AM7" s="504">
        <f t="shared" si="1"/>
        <v>624.76490024127463</v>
      </c>
      <c r="AN7" s="504">
        <f t="shared" si="1"/>
        <v>643.50784724851292</v>
      </c>
      <c r="AO7" s="504">
        <f t="shared" si="1"/>
        <v>662.81308266596807</v>
      </c>
      <c r="AP7" s="504">
        <f t="shared" si="1"/>
        <v>682.69747514594724</v>
      </c>
      <c r="AQ7" s="504">
        <f t="shared" si="1"/>
        <v>703.17839940032559</v>
      </c>
      <c r="AR7" s="504">
        <f t="shared" si="1"/>
        <v>724.27375138233538</v>
      </c>
      <c r="AS7" s="504">
        <f t="shared" si="1"/>
        <v>746.00196392380542</v>
      </c>
    </row>
    <row r="8" spans="1:51">
      <c r="A8" s="364" t="s">
        <v>159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534">
        <v>0</v>
      </c>
      <c r="Z8" s="533">
        <f>B24+B25</f>
        <v>837.43449600000008</v>
      </c>
      <c r="AA8" s="533">
        <f>C24+C25</f>
        <v>862.55753088000006</v>
      </c>
      <c r="AB8" s="533">
        <f>D24+D25</f>
        <v>888.43425680640007</v>
      </c>
      <c r="AC8" s="533">
        <f t="shared" ref="AC8:AS8" si="2">E24+1/3*E25</f>
        <v>464.88376051059203</v>
      </c>
      <c r="AD8" s="533">
        <f t="shared" si="2"/>
        <v>478.83027332590973</v>
      </c>
      <c r="AE8" s="533">
        <f t="shared" si="2"/>
        <v>493.19518152568708</v>
      </c>
      <c r="AF8" s="533">
        <f t="shared" si="2"/>
        <v>507.99103697145767</v>
      </c>
      <c r="AG8" s="533">
        <f t="shared" si="2"/>
        <v>523.23076808060136</v>
      </c>
      <c r="AH8" s="533">
        <f t="shared" si="2"/>
        <v>538.92769112301949</v>
      </c>
      <c r="AI8" s="533">
        <f t="shared" si="2"/>
        <v>555.09552185670998</v>
      </c>
      <c r="AJ8" s="533">
        <f t="shared" si="2"/>
        <v>571.74838751241134</v>
      </c>
      <c r="AK8" s="533">
        <f t="shared" si="2"/>
        <v>588.90083913778358</v>
      </c>
      <c r="AL8" s="533">
        <f t="shared" si="2"/>
        <v>606.56786431191722</v>
      </c>
      <c r="AM8" s="533">
        <f t="shared" si="2"/>
        <v>624.76490024127474</v>
      </c>
      <c r="AN8" s="533">
        <f t="shared" si="2"/>
        <v>643.50784724851292</v>
      </c>
      <c r="AO8" s="533">
        <f t="shared" si="2"/>
        <v>662.8130826659683</v>
      </c>
      <c r="AP8" s="533">
        <f t="shared" si="2"/>
        <v>682.69747514594735</v>
      </c>
      <c r="AQ8" s="533">
        <f t="shared" si="2"/>
        <v>703.17839940032582</v>
      </c>
      <c r="AR8" s="533">
        <f t="shared" si="2"/>
        <v>724.2737513823356</v>
      </c>
      <c r="AS8" s="533">
        <f t="shared" si="2"/>
        <v>746.00196392380553</v>
      </c>
      <c r="AT8" s="16"/>
      <c r="AU8" s="16"/>
      <c r="AV8" s="16"/>
      <c r="AW8" s="16"/>
      <c r="AX8" s="16"/>
      <c r="AY8" s="16"/>
    </row>
    <row r="9" spans="1:51">
      <c r="A9" s="3" t="s">
        <v>67</v>
      </c>
      <c r="B9" s="56">
        <f>'Power Price Assumption'!D66*12*Assumptions!$I$9</f>
        <v>29184</v>
      </c>
      <c r="C9" s="56">
        <f>'Power Price Assumption'!E66*12*Assumptions!$I$9</f>
        <v>29184</v>
      </c>
      <c r="D9" s="56">
        <f>'Power Price Assumption'!F66*12*Assumptions!$I$9</f>
        <v>29184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87552</v>
      </c>
      <c r="X9" s="16"/>
      <c r="Y9" s="503"/>
      <c r="Z9" s="505">
        <f>Z7-Z8</f>
        <v>0</v>
      </c>
      <c r="AA9" s="505">
        <f t="shared" ref="AA9:AS9" si="3">AA7-AA8</f>
        <v>0</v>
      </c>
      <c r="AB9" s="505">
        <f t="shared" si="3"/>
        <v>0</v>
      </c>
      <c r="AC9" s="505">
        <f t="shared" si="3"/>
        <v>0</v>
      </c>
      <c r="AD9" s="505">
        <f t="shared" si="3"/>
        <v>0</v>
      </c>
      <c r="AE9" s="505">
        <f t="shared" si="3"/>
        <v>0</v>
      </c>
      <c r="AF9" s="505">
        <f t="shared" si="3"/>
        <v>0</v>
      </c>
      <c r="AG9" s="505">
        <f t="shared" si="3"/>
        <v>0</v>
      </c>
      <c r="AH9" s="505">
        <f t="shared" si="3"/>
        <v>0</v>
      </c>
      <c r="AI9" s="505">
        <f t="shared" si="3"/>
        <v>0</v>
      </c>
      <c r="AJ9" s="505">
        <f t="shared" si="3"/>
        <v>0</v>
      </c>
      <c r="AK9" s="505">
        <f t="shared" si="3"/>
        <v>0</v>
      </c>
      <c r="AL9" s="505">
        <f t="shared" si="3"/>
        <v>0</v>
      </c>
      <c r="AM9" s="505">
        <f t="shared" si="3"/>
        <v>0</v>
      </c>
      <c r="AN9" s="505">
        <f t="shared" si="3"/>
        <v>0</v>
      </c>
      <c r="AO9" s="505">
        <f t="shared" si="3"/>
        <v>0</v>
      </c>
      <c r="AP9" s="505">
        <f t="shared" si="3"/>
        <v>0</v>
      </c>
      <c r="AQ9" s="505">
        <f t="shared" si="3"/>
        <v>0</v>
      </c>
      <c r="AR9" s="505">
        <f t="shared" si="3"/>
        <v>0</v>
      </c>
      <c r="AS9" s="505">
        <f t="shared" si="3"/>
        <v>0</v>
      </c>
      <c r="AT9" s="16"/>
      <c r="AU9" s="16"/>
      <c r="AV9" s="16"/>
      <c r="AW9" s="16"/>
      <c r="AX9" s="16"/>
      <c r="AY9" s="16"/>
    </row>
    <row r="10" spans="1:51">
      <c r="A10" s="3" t="s">
        <v>242</v>
      </c>
      <c r="B10" s="56">
        <f>Assumptions!I23*Assumptions!I21/1000*(1+Assumptions!$I$33)</f>
        <v>219.43449600000002</v>
      </c>
      <c r="C10" s="56">
        <f>B10*(1+Assumptions!$I$33)</f>
        <v>226.01753088000004</v>
      </c>
      <c r="D10" s="56">
        <f>C10*(1+Assumptions!$I$33)</f>
        <v>232.79805680640004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678.2500836864001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>
      <c r="A11" s="3" t="s">
        <v>171</v>
      </c>
      <c r="B11" s="127">
        <f>Assumptions!$I$22*Assumptions!$I$11*Assumptions!$I$8/1000*(1+Assumptions!$I$33)</f>
        <v>618</v>
      </c>
      <c r="C11" s="91">
        <f>B11*(1+Assumptions!$I$33)</f>
        <v>636.54</v>
      </c>
      <c r="D11" s="91">
        <f>C11*(1+Assumptions!$I$33)</f>
        <v>655.63620000000003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1910.1761999999999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>
      <c r="A12" s="3" t="s">
        <v>280</v>
      </c>
      <c r="B12" s="127">
        <f>'Contract Amortization'!$C$41*0.9/3</f>
        <v>11360.796072516727</v>
      </c>
      <c r="C12" s="127">
        <f>'Contract Amortization'!$C$41*0.9/3</f>
        <v>11360.796072516727</v>
      </c>
      <c r="D12" s="127">
        <f>'Contract Amortization'!$C$41*0.9/3</f>
        <v>11360.796072516727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34082.388217550179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:51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>
      <c r="A14" s="364" t="s">
        <v>183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3"/>
      <c r="S14" s="443"/>
      <c r="T14" s="443"/>
      <c r="U14" s="443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s="62" customFormat="1" ht="12" customHeight="1">
      <c r="A15" s="3" t="s">
        <v>67</v>
      </c>
      <c r="B15" s="19">
        <v>0</v>
      </c>
      <c r="C15" s="19">
        <v>0</v>
      </c>
      <c r="D15" s="19">
        <v>0</v>
      </c>
      <c r="E15" s="19">
        <f>'Power Price Assumption'!G66*Assumptions!$I$9*12</f>
        <v>48871.366444635438</v>
      </c>
      <c r="F15" s="19">
        <f>'Power Price Assumption'!H66*Assumptions!$I$9*12</f>
        <v>51162.7528016746</v>
      </c>
      <c r="G15" s="19">
        <f>'Power Price Assumption'!I66*Assumptions!$I$9*12</f>
        <v>52193.460893332551</v>
      </c>
      <c r="H15" s="19">
        <f>'Power Price Assumption'!J66*Assumptions!$I$9*12</f>
        <v>53246.488858887635</v>
      </c>
      <c r="I15" s="19">
        <f>'Power Price Assumption'!K66*Assumptions!$I$9*12</f>
        <v>54319.75613671005</v>
      </c>
      <c r="J15" s="19">
        <f>'Power Price Assumption'!L66*Assumptions!$I$9*12</f>
        <v>55415.034546711715</v>
      </c>
      <c r="K15" s="19">
        <f>'Power Price Assumption'!M66*Assumptions!$I$9*12</f>
        <v>56531.419163450977</v>
      </c>
      <c r="L15" s="19">
        <f>'Power Price Assumption'!N66*Assumptions!$I$9*12</f>
        <v>57642.885320400797</v>
      </c>
      <c r="M15" s="19">
        <f>'Power Price Assumption'!O66*Assumptions!$I$9*12</f>
        <v>58776.21152841991</v>
      </c>
      <c r="N15" s="19">
        <f>'Power Price Assumption'!P66*Assumptions!$I$9*12</f>
        <v>59931.890581798209</v>
      </c>
      <c r="O15" s="19">
        <f>'Power Price Assumption'!Q66*Assumptions!$I$9*12</f>
        <v>61110.430613760014</v>
      </c>
      <c r="P15" s="19">
        <f>'Power Price Assumption'!R66*Assumptions!$I$9*12</f>
        <v>62312.355736644997</v>
      </c>
      <c r="Q15" s="19">
        <f>'Power Price Assumption'!S66*Assumptions!$I$9*12</f>
        <v>63270.924720981006</v>
      </c>
      <c r="R15" s="19">
        <f>'Power Price Assumption'!T66*Assumptions!$I$9*12</f>
        <v>64244.954772638797</v>
      </c>
      <c r="S15" s="19">
        <f>'Power Price Assumption'!U66*Assumptions!$I$9*12</f>
        <v>65233.125573789875</v>
      </c>
      <c r="T15" s="19">
        <f>'Power Price Assumption'!V66*Assumptions!$I$9*12</f>
        <v>66235.788225716577</v>
      </c>
      <c r="U15" s="19">
        <f>'Power Price Assumption'!W66*Assumptions!$I$9*12</f>
        <v>67255.229651013404</v>
      </c>
      <c r="W15" s="91">
        <f t="shared" ref="W15:W20" si="4">SUM(B15:U15)</f>
        <v>997754.0755705667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s="62" customFormat="1" ht="12" customHeight="1">
      <c r="A16" s="3" t="s">
        <v>68</v>
      </c>
      <c r="B16" s="19">
        <v>0</v>
      </c>
      <c r="C16" s="19">
        <v>0</v>
      </c>
      <c r="D16" s="19">
        <v>0</v>
      </c>
      <c r="E16" s="127">
        <f>1/3*Assumptions!$I$22*Assumptions!$I$11*Assumptions!$I$8/1000*(1+Assumptions!$I$33)^(E5-2000)+Assumptions!$I$23*Assumptions!$I$21*(1+Assumptions!$I$33)^(E5-2000)/1000</f>
        <v>464.88376051059197</v>
      </c>
      <c r="F16" s="127">
        <f>1/3*Assumptions!$I$22*Assumptions!$I$11*Assumptions!$I$8/1000*(1+Assumptions!$I$33)^(F5-2000)+Assumptions!$I$23*Assumptions!$I$21*(1+Assumptions!$I$33)^(F5-2000)/1000</f>
        <v>478.83027332590973</v>
      </c>
      <c r="G16" s="127">
        <f>1/3*Assumptions!$I$22*Assumptions!$I$11*Assumptions!$I$8/1000*(1+Assumptions!$I$33)^(G5-2000)+Assumptions!$I$23*Assumptions!$I$21*(1+Assumptions!$I$33)^(G5-2000)/1000</f>
        <v>493.19518152568702</v>
      </c>
      <c r="H16" s="127">
        <f>1/3*Assumptions!$I$22*Assumptions!$I$11*Assumptions!$I$8/1000*(1+Assumptions!$I$33)^(H5-2000)+Assumptions!$I$23*Assumptions!$I$21*(1+Assumptions!$I$33)^(H5-2000)/1000</f>
        <v>507.99103697145767</v>
      </c>
      <c r="I16" s="127">
        <f>1/3*Assumptions!$I$22*Assumptions!$I$11*Assumptions!$I$8/1000*(1+Assumptions!$I$33)^(I5-2000)+Assumptions!$I$23*Assumptions!$I$21*(1+Assumptions!$I$33)^(I5-2000)/1000</f>
        <v>523.23076808060136</v>
      </c>
      <c r="J16" s="127">
        <f>1/3*Assumptions!$I$22*Assumptions!$I$11*Assumptions!$I$8/1000*(1+Assumptions!$I$33)^(J5-2000)+Assumptions!$I$23*Assumptions!$I$21*(1+Assumptions!$I$33)^(J5-2000)/1000</f>
        <v>538.92769112301949</v>
      </c>
      <c r="K16" s="127">
        <f>1/3*Assumptions!$I$22*Assumptions!$I$11*Assumptions!$I$8/1000*(1+Assumptions!$I$33)^(K5-2000)+Assumptions!$I$23*Assumptions!$I$21*(1+Assumptions!$I$33)^(K5-2000)/1000</f>
        <v>555.09552185670998</v>
      </c>
      <c r="L16" s="127">
        <f>1/3*Assumptions!$I$22*Assumptions!$I$11*Assumptions!$I$8/1000*(1+Assumptions!$I$33)^(L5-2000)+Assumptions!$I$23*Assumptions!$I$21*(1+Assumptions!$I$33)^(L5-2000)/1000</f>
        <v>571.74838751241123</v>
      </c>
      <c r="M16" s="127">
        <f>1/3*Assumptions!$I$22*Assumptions!$I$11*Assumptions!$I$8/1000*(1+Assumptions!$I$33)^(M5-2000)+Assumptions!$I$23*Assumptions!$I$21*(1+Assumptions!$I$33)^(M5-2000)/1000</f>
        <v>588.90083913778358</v>
      </c>
      <c r="N16" s="127">
        <f>1/3*Assumptions!$I$22*Assumptions!$I$11*Assumptions!$I$8/1000*(1+Assumptions!$I$33)^(N5-2000)+Assumptions!$I$23*Assumptions!$I$21*(1+Assumptions!$I$33)^(N5-2000)/1000</f>
        <v>606.56786431191699</v>
      </c>
      <c r="O16" s="127">
        <f>1/3*Assumptions!$I$22*Assumptions!$I$11*Assumptions!$I$8/1000*(1+Assumptions!$I$33)^(O5-2000)+Assumptions!$I$23*Assumptions!$I$21*(1+Assumptions!$I$33)^(O5-2000)/1000</f>
        <v>624.76490024127463</v>
      </c>
      <c r="P16" s="127">
        <f>1/3*Assumptions!$I$22*Assumptions!$I$11*Assumptions!$I$8/1000*(1+Assumptions!$I$33)^(P5-2000)+Assumptions!$I$23*Assumptions!$I$21*(1+Assumptions!$I$33)^(P5-2000)/1000</f>
        <v>643.50784724851292</v>
      </c>
      <c r="Q16" s="127">
        <f>1/3*Assumptions!$I$22*Assumptions!$I$11*Assumptions!$I$8/1000*(1+Assumptions!$I$33)^(Q5-2000)+Assumptions!$I$23*Assumptions!$I$21*(1+Assumptions!$I$33)^(Q5-2000)/1000</f>
        <v>662.81308266596807</v>
      </c>
      <c r="R16" s="127">
        <f>1/3*Assumptions!$I$22*Assumptions!$I$11*Assumptions!$I$8/1000*(1+Assumptions!$I$33)^(R5-2000)+Assumptions!$I$23*Assumptions!$I$21*(1+Assumptions!$I$33)^(R5-2000)/1000</f>
        <v>682.69747514594724</v>
      </c>
      <c r="S16" s="127">
        <f>1/3*Assumptions!$I$22*Assumptions!$I$11*Assumptions!$I$8/1000*(1+Assumptions!$I$33)^(S5-2000)+Assumptions!$I$23*Assumptions!$I$21*(1+Assumptions!$I$33)^(S5-2000)/1000</f>
        <v>703.17839940032559</v>
      </c>
      <c r="T16" s="127">
        <f>1/3*Assumptions!$I$22*Assumptions!$I$11*Assumptions!$I$8/1000*(1+Assumptions!$I$33)^(T5-2000)+Assumptions!$I$23*Assumptions!$I$21*(1+Assumptions!$I$33)^(T5-2000)/1000</f>
        <v>724.27375138233538</v>
      </c>
      <c r="U16" s="127">
        <f>1/3*Assumptions!$I$22*Assumptions!$I$11*Assumptions!$I$8/1000*(1+Assumptions!$I$33)^(U5-2000)+Assumptions!$I$23*Assumptions!$I$21*(1+Assumptions!$I$33)^(U5-2000)/1000</f>
        <v>746.00196392380542</v>
      </c>
      <c r="W16" s="91">
        <f t="shared" si="4"/>
        <v>10116.608744364259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s="62" customFormat="1" ht="12" customHeight="1">
      <c r="A17" s="3" t="s">
        <v>69</v>
      </c>
      <c r="B17" s="19">
        <v>0</v>
      </c>
      <c r="C17" s="19">
        <v>0</v>
      </c>
      <c r="D17" s="19">
        <v>0</v>
      </c>
      <c r="E17" s="56">
        <f>Assumptions!$I$27*Assumptions!$I$23/1000</f>
        <v>106.52160000000001</v>
      </c>
      <c r="F17" s="56">
        <f>Assumptions!$I$27*Assumptions!$I$23/1000</f>
        <v>106.52160000000001</v>
      </c>
      <c r="G17" s="56">
        <f>Assumptions!$I$27*Assumptions!$I$23/1000</f>
        <v>106.52160000000001</v>
      </c>
      <c r="H17" s="56">
        <f>Assumptions!$I$27*Assumptions!$I$23/1000</f>
        <v>106.52160000000001</v>
      </c>
      <c r="I17" s="56">
        <f>Assumptions!$I$27*Assumptions!$I$23/1000</f>
        <v>106.52160000000001</v>
      </c>
      <c r="J17" s="56">
        <f>Assumptions!$I$27*Assumptions!$I$23/1000</f>
        <v>106.52160000000001</v>
      </c>
      <c r="K17" s="56">
        <f>Assumptions!$I$27*Assumptions!$I$23/1000</f>
        <v>106.52160000000001</v>
      </c>
      <c r="L17" s="56">
        <f>Assumptions!$I$27*Assumptions!$I$23/1000</f>
        <v>106.52160000000001</v>
      </c>
      <c r="M17" s="56">
        <f>Assumptions!$I$27*Assumptions!$I$23/1000</f>
        <v>106.52160000000001</v>
      </c>
      <c r="N17" s="56">
        <f>Assumptions!$I$27*Assumptions!$I$23/1000</f>
        <v>106.52160000000001</v>
      </c>
      <c r="O17" s="56">
        <f>Assumptions!$I$27*Assumptions!$I$23/1000</f>
        <v>106.52160000000001</v>
      </c>
      <c r="P17" s="56">
        <f>Assumptions!$I$27*Assumptions!$I$23/1000</f>
        <v>106.52160000000001</v>
      </c>
      <c r="Q17" s="56">
        <f>Assumptions!$I$27*Assumptions!$I$23/1000</f>
        <v>106.52160000000001</v>
      </c>
      <c r="R17" s="56">
        <f>Assumptions!$I$27*Assumptions!$I$23/1000</f>
        <v>106.52160000000001</v>
      </c>
      <c r="S17" s="56">
        <f>Assumptions!$I$27*Assumptions!$I$23/1000</f>
        <v>106.52160000000001</v>
      </c>
      <c r="T17" s="56">
        <f>Assumptions!$I$27*Assumptions!$I$23/1000</f>
        <v>106.52160000000001</v>
      </c>
      <c r="U17" s="56">
        <f>Assumptions!$I$27*Assumptions!$I$23/1000</f>
        <v>106.52160000000001</v>
      </c>
      <c r="W17" s="91">
        <f t="shared" si="4"/>
        <v>1810.8672000000004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s="62" customFormat="1" ht="12" customHeight="1">
      <c r="A18" s="3"/>
      <c r="W18" s="91">
        <f t="shared" si="4"/>
        <v>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s="62" customFormat="1" ht="12" customHeight="1">
      <c r="A19" s="3" t="s">
        <v>194</v>
      </c>
      <c r="B19" s="201">
        <f>(SUM(B9:B11)-SUM(B23:B29))*'Summary Output'!$B$31/4</f>
        <v>326.65717615411427</v>
      </c>
      <c r="C19" s="201">
        <f>(SUM(C9:C11)-SUM(C23:C29))*'Summary Output'!$B$31/4</f>
        <v>326.59141426476663</v>
      </c>
      <c r="D19" s="201">
        <f>(SUM(D9:D11)-SUM(D23:D29))*'Summary Output'!$B$31/4</f>
        <v>325.57308661891307</v>
      </c>
      <c r="E19" s="201">
        <f>(SUM(E9:E17)-SUM(E23:E29))*'Summary Output'!$B$31/4</f>
        <v>566.32215315162682</v>
      </c>
      <c r="F19" s="201">
        <f>(SUM(F9:F17)-SUM(F23:F29))*'Summary Output'!$B$31/4</f>
        <v>593.71921911863035</v>
      </c>
      <c r="G19" s="201">
        <f>(SUM(G9:G17)-SUM(G23:G29))*'Summary Output'!$B$31/4</f>
        <v>605.32123636348899</v>
      </c>
      <c r="H19" s="201">
        <f>(SUM(H9:H17)-SUM(H23:H29))*'Summary Output'!$B$31/4</f>
        <v>617.32344701503598</v>
      </c>
      <c r="I19" s="201">
        <f>(SUM(I9:I17)-SUM(I23:I29))*'Summary Output'!$B$31/4</f>
        <v>629.54382990238787</v>
      </c>
      <c r="J19" s="201">
        <f>(SUM(J9:J17)-SUM(J23:J29))*'Summary Output'!$B$31/4</f>
        <v>642.00348819941746</v>
      </c>
      <c r="K19" s="201">
        <f>(SUM(K9:K17)-SUM(K23:K29))*'Summary Output'!$B$31/4</f>
        <v>654.69003442582732</v>
      </c>
      <c r="L19" s="201">
        <f>(SUM(L9:L17)-SUM(L23:L29))*'Summary Output'!$B$31/4</f>
        <v>667.27705206038411</v>
      </c>
      <c r="M19" s="201">
        <f>(SUM(M9:M17)-SUM(M23:M29))*'Summary Output'!$B$31/4</f>
        <v>680.0981310534878</v>
      </c>
      <c r="N19" s="201">
        <f>(SUM(N9:N17)-SUM(N23:N29))*'Summary Output'!$B$31/4</f>
        <v>693.15825565536716</v>
      </c>
      <c r="O19" s="201">
        <f>(SUM(O9:O17)-SUM(O23:O29))*'Summary Output'!$B$31/4</f>
        <v>706.46256658257971</v>
      </c>
      <c r="P19" s="201">
        <f>(SUM(P9:P17)-SUM(P23:P29))*'Summary Output'!$B$31/4</f>
        <v>720.0163679621628</v>
      </c>
      <c r="Q19" s="201">
        <f>(SUM(Q9:Q17)-SUM(Q23:Q29))*'Summary Output'!$B$31/4</f>
        <v>730.4841097301894</v>
      </c>
      <c r="R19" s="201">
        <f>(SUM(R9:R17)-SUM(R23:R29))*'Summary Output'!$B$31/4</f>
        <v>741.09968372365302</v>
      </c>
      <c r="S19" s="201">
        <f>(SUM(S9:S17)-SUM(S23:S29))*'Summary Output'!$B$31/4</f>
        <v>751.84522303621486</v>
      </c>
      <c r="T19" s="201">
        <f>(SUM(T9:T17)-SUM(T23:T29))*'Summary Output'!$B$31/4</f>
        <v>762.72371261241733</v>
      </c>
      <c r="U19" s="201">
        <f>(SUM(U9:U17)-SUM(U23:U29))*'Summary Output'!$B$31/4</f>
        <v>773.76229304855985</v>
      </c>
      <c r="W19" s="91">
        <f t="shared" si="4"/>
        <v>12514.672480679223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s="62" customFormat="1" ht="12" customHeight="1">
      <c r="A20" s="3" t="s">
        <v>70</v>
      </c>
      <c r="B20" s="56">
        <f>SUM(B9:B19)</f>
        <v>41708.887744670843</v>
      </c>
      <c r="C20" s="56">
        <f t="shared" ref="C20:U20" si="5">SUM(C9:C19)</f>
        <v>41733.945017661492</v>
      </c>
      <c r="D20" s="56">
        <f t="shared" si="5"/>
        <v>41758.803415942042</v>
      </c>
      <c r="E20" s="56">
        <f t="shared" si="5"/>
        <v>50009.093958297657</v>
      </c>
      <c r="F20" s="56">
        <f t="shared" si="5"/>
        <v>52341.823894119145</v>
      </c>
      <c r="G20" s="56">
        <f t="shared" si="5"/>
        <v>53398.498911221723</v>
      </c>
      <c r="H20" s="56">
        <f t="shared" si="5"/>
        <v>54478.324942874126</v>
      </c>
      <c r="I20" s="56">
        <f t="shared" si="5"/>
        <v>55579.052334693042</v>
      </c>
      <c r="J20" s="56">
        <f t="shared" si="5"/>
        <v>56702.487326034148</v>
      </c>
      <c r="K20" s="56">
        <f t="shared" si="5"/>
        <v>57847.726319733512</v>
      </c>
      <c r="L20" s="56">
        <f t="shared" si="5"/>
        <v>58988.432359973587</v>
      </c>
      <c r="M20" s="56">
        <f t="shared" si="5"/>
        <v>60151.732098611181</v>
      </c>
      <c r="N20" s="56">
        <f t="shared" si="5"/>
        <v>61338.138301765495</v>
      </c>
      <c r="O20" s="56">
        <f t="shared" si="5"/>
        <v>62548.179680583868</v>
      </c>
      <c r="P20" s="56">
        <f t="shared" si="5"/>
        <v>63782.40155185567</v>
      </c>
      <c r="Q20" s="56">
        <f t="shared" si="5"/>
        <v>64770.743513377165</v>
      </c>
      <c r="R20" s="56">
        <f t="shared" si="5"/>
        <v>65775.273531508399</v>
      </c>
      <c r="S20" s="56">
        <f t="shared" si="5"/>
        <v>66794.670796226404</v>
      </c>
      <c r="T20" s="56">
        <f t="shared" si="5"/>
        <v>67829.307289711331</v>
      </c>
      <c r="U20" s="56">
        <f t="shared" si="5"/>
        <v>68881.515507985765</v>
      </c>
      <c r="W20" s="91">
        <f t="shared" si="4"/>
        <v>1146419.0384968466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s="62" customFormat="1" ht="12" customHeight="1">
      <c r="A21" s="4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1">
      <c r="A22" s="1" t="s">
        <v>71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W22" s="91"/>
    </row>
    <row r="23" spans="1:51">
      <c r="A23" s="3" t="s">
        <v>55</v>
      </c>
      <c r="B23" s="127">
        <f>Assumptions!I36*(1+Assumptions!$I$33)</f>
        <v>1491.9967885714286</v>
      </c>
      <c r="C23" s="91">
        <f>B23*(1+Assumptions!$I$33)</f>
        <v>1536.7566922285714</v>
      </c>
      <c r="D23" s="91">
        <f>C23*(1+Assumptions!$I$33)</f>
        <v>1582.8593929954286</v>
      </c>
      <c r="E23" s="91">
        <f>D23*(1+Assumptions!$I$33)</f>
        <v>1630.3451747852914</v>
      </c>
      <c r="F23" s="91">
        <f>E23*(1+Assumptions!$I$33)</f>
        <v>1679.2555300288502</v>
      </c>
      <c r="G23" s="91">
        <f>F23*(1+Assumptions!$I$33)</f>
        <v>1729.6331959297158</v>
      </c>
      <c r="H23" s="91">
        <f>G23*(1+Assumptions!$I$33)</f>
        <v>1781.5221918076074</v>
      </c>
      <c r="I23" s="91">
        <f>H23*(1+Assumptions!$I$33)</f>
        <v>1834.9678575618357</v>
      </c>
      <c r="J23" s="91">
        <f>I23*(1+Assumptions!$I$33)</f>
        <v>1890.0168932886909</v>
      </c>
      <c r="K23" s="91">
        <f>J23*(1+Assumptions!$I$33)</f>
        <v>1946.7174000873517</v>
      </c>
      <c r="L23" s="91">
        <f>K23*(1+Assumptions!$I$33)</f>
        <v>2005.1189220899723</v>
      </c>
      <c r="M23" s="91">
        <f>L23*(1+Assumptions!$I$33)</f>
        <v>2065.2724897526714</v>
      </c>
      <c r="N23" s="91">
        <f>M23*(1+Assumptions!$I$33)</f>
        <v>2127.2306644452515</v>
      </c>
      <c r="O23" s="91">
        <f>N23*(1+Assumptions!$I$33)</f>
        <v>2191.0475843786089</v>
      </c>
      <c r="P23" s="91">
        <f>O23*(1+Assumptions!$I$33)</f>
        <v>2256.7790119099673</v>
      </c>
      <c r="Q23" s="91">
        <f>P23*(1+Assumptions!$I$33)</f>
        <v>2324.4823822672665</v>
      </c>
      <c r="R23" s="91">
        <f>Q23*(1+Assumptions!$I$33)</f>
        <v>2394.2168537352845</v>
      </c>
      <c r="S23" s="91">
        <f>R23*(1+Assumptions!$I$33)</f>
        <v>2466.0433593473431</v>
      </c>
      <c r="T23" s="91">
        <f>S23*(1+Assumptions!$I$33)</f>
        <v>2540.0246601277636</v>
      </c>
      <c r="U23" s="91">
        <f>T23*(1+Assumptions!$I$33)</f>
        <v>2616.2253999315967</v>
      </c>
      <c r="W23" s="91">
        <f t="shared" ref="W23:W30" si="6">SUM(B23:U23)</f>
        <v>40090.512445270491</v>
      </c>
    </row>
    <row r="24" spans="1:51">
      <c r="A24" s="3" t="s">
        <v>56</v>
      </c>
      <c r="B24" s="127">
        <f>Assumptions!$I$37*(1+Assumptions!$I$33)</f>
        <v>219.43449600000002</v>
      </c>
      <c r="C24" s="56">
        <f>B24*(1+Assumptions!$I$33)</f>
        <v>226.01753088000004</v>
      </c>
      <c r="D24" s="56">
        <f>C24*(1+Assumptions!$I$33)</f>
        <v>232.79805680640004</v>
      </c>
      <c r="E24" s="127">
        <f>Assumptions!$I$23*Assumptions!$I$31*(1+Assumptions!$I$33)^(E5-2000)/1000</f>
        <v>239.78199851059202</v>
      </c>
      <c r="F24" s="127">
        <f>Assumptions!$I$23*Assumptions!$I$31*(1+Assumptions!$I$33)^(F5-2000)/1000</f>
        <v>246.97545846590972</v>
      </c>
      <c r="G24" s="127">
        <f>Assumptions!$I$23*Assumptions!$I$31*(1+Assumptions!$I$33)^(G5-2000)/1000</f>
        <v>254.38472221988704</v>
      </c>
      <c r="H24" s="127">
        <f>Assumptions!$I$23*Assumptions!$I$31*(1+Assumptions!$I$33)^(H5-2000)/1000</f>
        <v>262.01626388648367</v>
      </c>
      <c r="I24" s="127">
        <f>Assumptions!$I$23*Assumptions!$I$31*(1+Assumptions!$I$33)^(I5-2000)/1000</f>
        <v>269.87675180307815</v>
      </c>
      <c r="J24" s="127">
        <f>Assumptions!$I$23*Assumptions!$I$31*(1+Assumptions!$I$33)^(J5-2000)/1000</f>
        <v>277.97305435717055</v>
      </c>
      <c r="K24" s="127">
        <f>Assumptions!$I$23*Assumptions!$I$31*(1+Assumptions!$I$33)^(K5-2000)/1000</f>
        <v>286.3122459878856</v>
      </c>
      <c r="L24" s="127">
        <f>Assumptions!$I$23*Assumptions!$I$31*(1+Assumptions!$I$33)^(L5-2000)/1000</f>
        <v>294.9016133675222</v>
      </c>
      <c r="M24" s="127">
        <f>Assumptions!$I$23*Assumptions!$I$31*(1+Assumptions!$I$33)^(M5-2000)/1000</f>
        <v>303.74866176854783</v>
      </c>
      <c r="N24" s="127">
        <f>Assumptions!$I$23*Assumptions!$I$31*(1+Assumptions!$I$33)^(N5-2000)/1000</f>
        <v>312.86112162160424</v>
      </c>
      <c r="O24" s="127">
        <f>Assumptions!$I$23*Assumptions!$I$31*(1+Assumptions!$I$33)^(O5-2000)/1000</f>
        <v>322.24695527025244</v>
      </c>
      <c r="P24" s="127">
        <f>Assumptions!$I$23*Assumptions!$I$31*(1+Assumptions!$I$33)^(P5-2000)/1000</f>
        <v>331.91436392835999</v>
      </c>
      <c r="Q24" s="127">
        <f>Assumptions!$I$23*Assumptions!$I$31*(1+Assumptions!$I$33)^(Q5-2000)/1000</f>
        <v>341.87179484621072</v>
      </c>
      <c r="R24" s="127">
        <f>Assumptions!$I$23*Assumptions!$I$31*(1+Assumptions!$I$33)^(R5-2000)/1000</f>
        <v>352.12794869159706</v>
      </c>
      <c r="S24" s="127">
        <f>Assumptions!$I$23*Assumptions!$I$31*(1+Assumptions!$I$33)^(S5-2000)/1000</f>
        <v>362.691787152345</v>
      </c>
      <c r="T24" s="127">
        <f>Assumptions!$I$23*Assumptions!$I$31*(1+Assumptions!$I$33)^(T5-2000)/1000</f>
        <v>373.57254076691532</v>
      </c>
      <c r="U24" s="127">
        <f>Assumptions!$I$23*Assumptions!$I$31*(1+Assumptions!$I$33)^(U5-2000)/1000</f>
        <v>384.77971698992275</v>
      </c>
      <c r="W24" s="91">
        <f t="shared" si="6"/>
        <v>5896.2870833206844</v>
      </c>
    </row>
    <row r="25" spans="1:51">
      <c r="A25" s="3" t="s">
        <v>57</v>
      </c>
      <c r="B25" s="127">
        <f>Assumptions!$I$32*Assumptions!$I$11*Assumptions!$I$8/1000*(1+Assumptions!$I$33)</f>
        <v>618</v>
      </c>
      <c r="C25" s="91">
        <f>B25*(1+Assumptions!$I$33)</f>
        <v>636.54</v>
      </c>
      <c r="D25" s="91">
        <f>C25*(1+Assumptions!$I$33)</f>
        <v>655.63620000000003</v>
      </c>
      <c r="E25" s="91">
        <f>D25*(1+Assumptions!$I$33)</f>
        <v>675.30528600000002</v>
      </c>
      <c r="F25" s="91">
        <f>E25*(1+Assumptions!$I$33)</f>
        <v>695.56444457999999</v>
      </c>
      <c r="G25" s="91">
        <f>F25*(1+Assumptions!$I$33)</f>
        <v>716.43137791740003</v>
      </c>
      <c r="H25" s="91">
        <f>G25*(1+Assumptions!$I$33)</f>
        <v>737.92431925492201</v>
      </c>
      <c r="I25" s="91">
        <f>H25*(1+Assumptions!$I$33)</f>
        <v>760.06204883256964</v>
      </c>
      <c r="J25" s="91">
        <f>I25*(1+Assumptions!$I$33)</f>
        <v>782.86391029754679</v>
      </c>
      <c r="K25" s="91">
        <f>J25*(1+Assumptions!$I$33)</f>
        <v>806.34982760647324</v>
      </c>
      <c r="L25" s="91">
        <f>K25*(1+Assumptions!$I$33)</f>
        <v>830.54032243466747</v>
      </c>
      <c r="M25" s="91">
        <f>L25*(1+Assumptions!$I$33)</f>
        <v>855.45653210770752</v>
      </c>
      <c r="N25" s="91">
        <f>M25*(1+Assumptions!$I$33)</f>
        <v>881.12022807093877</v>
      </c>
      <c r="O25" s="91">
        <f>N25*(1+Assumptions!$I$33)</f>
        <v>907.55383491306691</v>
      </c>
      <c r="P25" s="91">
        <f>O25*(1+Assumptions!$I$33)</f>
        <v>934.7804499604589</v>
      </c>
      <c r="Q25" s="91">
        <f>P25*(1+Assumptions!$I$33)</f>
        <v>962.82386345927273</v>
      </c>
      <c r="R25" s="91">
        <f>Q25*(1+Assumptions!$I$33)</f>
        <v>991.70857936305094</v>
      </c>
      <c r="S25" s="91">
        <f>R25*(1+Assumptions!$I$33)</f>
        <v>1021.4598367439424</v>
      </c>
      <c r="T25" s="91">
        <f>S25*(1+Assumptions!$I$33)</f>
        <v>1052.1036318462607</v>
      </c>
      <c r="U25" s="91">
        <f>T25*(1+Assumptions!$I$33)</f>
        <v>1083.6667408016485</v>
      </c>
      <c r="W25" s="91">
        <f t="shared" si="6"/>
        <v>16605.891434189925</v>
      </c>
    </row>
    <row r="26" spans="1:51">
      <c r="A26" s="3" t="s">
        <v>124</v>
      </c>
      <c r="B26" s="127">
        <f>Assumptions!I39*(1+Assumptions!$I$33)</f>
        <v>353.14285714285717</v>
      </c>
      <c r="C26" s="91">
        <f>B26*(1+Assumptions!$I$33)</f>
        <v>363.73714285714289</v>
      </c>
      <c r="D26" s="91">
        <f>C26*(1+Assumptions!$I$33)</f>
        <v>374.64925714285721</v>
      </c>
      <c r="E26" s="91">
        <f>D26*(1+Assumptions!$I$33)</f>
        <v>385.88873485714294</v>
      </c>
      <c r="F26" s="91">
        <f>E26*(1+Assumptions!$I$33)</f>
        <v>397.46539690285721</v>
      </c>
      <c r="G26" s="91">
        <f>F26*(1+Assumptions!$I$33)</f>
        <v>409.38935880994296</v>
      </c>
      <c r="H26" s="91">
        <f>G26*(1+Assumptions!$I$33)</f>
        <v>421.67103957424126</v>
      </c>
      <c r="I26" s="91">
        <f>H26*(1+Assumptions!$I$33)</f>
        <v>434.32117076146852</v>
      </c>
      <c r="J26" s="91">
        <f>I26*(1+Assumptions!$I$33)</f>
        <v>447.35080588431259</v>
      </c>
      <c r="K26" s="91">
        <f>J26*(1+Assumptions!$I$33)</f>
        <v>460.77133006084199</v>
      </c>
      <c r="L26" s="91">
        <f>K26*(1+Assumptions!$I$33)</f>
        <v>474.59446996266729</v>
      </c>
      <c r="M26" s="91">
        <f>L26*(1+Assumptions!$I$33)</f>
        <v>488.83230406154735</v>
      </c>
      <c r="N26" s="91">
        <f>M26*(1+Assumptions!$I$33)</f>
        <v>503.49727318339376</v>
      </c>
      <c r="O26" s="91">
        <f>N26*(1+Assumptions!$I$33)</f>
        <v>518.60219137889555</v>
      </c>
      <c r="P26" s="91">
        <f>O26*(1+Assumptions!$I$33)</f>
        <v>534.16025712026249</v>
      </c>
      <c r="Q26" s="91">
        <f>P26*(1+Assumptions!$I$33)</f>
        <v>550.18506483387034</v>
      </c>
      <c r="R26" s="91">
        <f>Q26*(1+Assumptions!$I$33)</f>
        <v>566.69061677888646</v>
      </c>
      <c r="S26" s="91">
        <f>R26*(1+Assumptions!$I$33)</f>
        <v>583.69133528225302</v>
      </c>
      <c r="T26" s="91">
        <f>S26*(1+Assumptions!$I$33)</f>
        <v>601.20207534072063</v>
      </c>
      <c r="U26" s="91">
        <f>T26*(1+Assumptions!$I$33)</f>
        <v>619.23813760094231</v>
      </c>
      <c r="W26" s="91">
        <f t="shared" si="6"/>
        <v>9489.0808195371064</v>
      </c>
    </row>
    <row r="27" spans="1:51">
      <c r="A27" s="3" t="s">
        <v>125</v>
      </c>
      <c r="B27" s="127">
        <f>Assumptions!I40*(1+Assumptions!$I$33)</f>
        <v>412.66655714285713</v>
      </c>
      <c r="C27" s="91">
        <f>B27*(1+Assumptions!$I$33)</f>
        <v>425.04655385714284</v>
      </c>
      <c r="D27" s="91">
        <f>C27*(1+Assumptions!$I$33)</f>
        <v>437.79795047285711</v>
      </c>
      <c r="E27" s="91">
        <f>D27*(1+Assumptions!$I$33)</f>
        <v>450.93188898704284</v>
      </c>
      <c r="F27" s="91">
        <f>E27*(1+Assumptions!$I$33)</f>
        <v>464.45984565665412</v>
      </c>
      <c r="G27" s="91">
        <f>F27*(1+Assumptions!$I$33)</f>
        <v>478.39364102635375</v>
      </c>
      <c r="H27" s="91">
        <f>G27*(1+Assumptions!$I$33)</f>
        <v>492.7454502571444</v>
      </c>
      <c r="I27" s="91">
        <f>H27*(1+Assumptions!$I$33)</f>
        <v>507.52781376485876</v>
      </c>
      <c r="J27" s="91">
        <f>I27*(1+Assumptions!$I$33)</f>
        <v>522.75364817780451</v>
      </c>
      <c r="K27" s="91">
        <f>J27*(1+Assumptions!$I$33)</f>
        <v>538.43625762313866</v>
      </c>
      <c r="L27" s="91">
        <f>K27*(1+Assumptions!$I$33)</f>
        <v>554.58934535183278</v>
      </c>
      <c r="M27" s="91">
        <f>L27*(1+Assumptions!$I$33)</f>
        <v>571.22702571238779</v>
      </c>
      <c r="N27" s="91">
        <f>M27*(1+Assumptions!$I$33)</f>
        <v>588.36383648375943</v>
      </c>
      <c r="O27" s="91">
        <f>N27*(1+Assumptions!$I$33)</f>
        <v>606.01475157827224</v>
      </c>
      <c r="P27" s="91">
        <f>O27*(1+Assumptions!$I$33)</f>
        <v>624.19519412562045</v>
      </c>
      <c r="Q27" s="91">
        <f>P27*(1+Assumptions!$I$33)</f>
        <v>642.92104994938904</v>
      </c>
      <c r="R27" s="91">
        <f>Q27*(1+Assumptions!$I$33)</f>
        <v>662.20868144787073</v>
      </c>
      <c r="S27" s="91">
        <f>R27*(1+Assumptions!$I$33)</f>
        <v>682.07494189130682</v>
      </c>
      <c r="T27" s="91">
        <f>S27*(1+Assumptions!$I$33)</f>
        <v>702.53719014804608</v>
      </c>
      <c r="U27" s="91">
        <f>T27*(1+Assumptions!$I$33)</f>
        <v>723.61330585248743</v>
      </c>
      <c r="W27" s="91">
        <f t="shared" si="6"/>
        <v>11088.504929506827</v>
      </c>
    </row>
    <row r="28" spans="1:51">
      <c r="A28" s="3" t="s">
        <v>224</v>
      </c>
      <c r="B28" s="486">
        <v>572</v>
      </c>
      <c r="C28" s="486">
        <v>583.4</v>
      </c>
      <c r="D28" s="486">
        <v>595.1</v>
      </c>
      <c r="E28" s="486">
        <v>607</v>
      </c>
      <c r="F28" s="486">
        <v>619.1</v>
      </c>
      <c r="G28" s="486">
        <v>631.5</v>
      </c>
      <c r="H28" s="486">
        <v>631.5</v>
      </c>
      <c r="I28" s="486">
        <v>631.5</v>
      </c>
      <c r="J28" s="486">
        <v>631.5</v>
      </c>
      <c r="K28" s="486">
        <v>631.5</v>
      </c>
      <c r="L28" s="486">
        <v>631.5</v>
      </c>
      <c r="M28" s="486">
        <v>631.5</v>
      </c>
      <c r="N28" s="486">
        <v>631.5</v>
      </c>
      <c r="O28" s="486">
        <v>631.5</v>
      </c>
      <c r="P28" s="486">
        <v>631.5</v>
      </c>
      <c r="Q28" s="486">
        <v>631.5</v>
      </c>
      <c r="R28" s="486">
        <v>631.5</v>
      </c>
      <c r="S28" s="486">
        <v>631.5</v>
      </c>
      <c r="T28" s="486">
        <v>631.5</v>
      </c>
      <c r="U28" s="486">
        <v>631.5</v>
      </c>
      <c r="W28" s="91">
        <f t="shared" si="6"/>
        <v>12449.1</v>
      </c>
    </row>
    <row r="29" spans="1:51" s="16" customFormat="1">
      <c r="A29" s="468" t="s">
        <v>219</v>
      </c>
      <c r="B29" s="146">
        <f>B80</f>
        <v>221.61970481372276</v>
      </c>
      <c r="C29" s="146">
        <f t="shared" ref="C29:U29" si="7">C80</f>
        <v>147.74646987581519</v>
      </c>
      <c r="D29" s="146">
        <f t="shared" si="7"/>
        <v>147.74646987581519</v>
      </c>
      <c r="E29" s="146">
        <f t="shared" si="7"/>
        <v>147.74646987581519</v>
      </c>
      <c r="F29" s="146">
        <f t="shared" si="7"/>
        <v>147.74646987581519</v>
      </c>
      <c r="G29" s="146">
        <f t="shared" si="7"/>
        <v>147.74646987581519</v>
      </c>
      <c r="H29" s="146">
        <f t="shared" si="7"/>
        <v>147.74646987581519</v>
      </c>
      <c r="I29" s="146">
        <f t="shared" si="7"/>
        <v>147.74646987581519</v>
      </c>
      <c r="J29" s="146">
        <f t="shared" si="7"/>
        <v>147.74646987581519</v>
      </c>
      <c r="K29" s="146">
        <f t="shared" si="7"/>
        <v>147.74646987581519</v>
      </c>
      <c r="L29" s="146">
        <f t="shared" si="7"/>
        <v>147.74646987581519</v>
      </c>
      <c r="M29" s="146">
        <f t="shared" si="7"/>
        <v>147.74646987581519</v>
      </c>
      <c r="N29" s="146">
        <f t="shared" si="7"/>
        <v>147.74646987581519</v>
      </c>
      <c r="O29" s="146">
        <f t="shared" si="7"/>
        <v>147.74646987581519</v>
      </c>
      <c r="P29" s="146">
        <f t="shared" si="7"/>
        <v>147.74646987581519</v>
      </c>
      <c r="Q29" s="146">
        <f t="shared" si="7"/>
        <v>147.74646987581519</v>
      </c>
      <c r="R29" s="146">
        <f t="shared" si="7"/>
        <v>147.74646987581519</v>
      </c>
      <c r="S29" s="146">
        <f t="shared" si="7"/>
        <v>147.74646987581519</v>
      </c>
      <c r="T29" s="146">
        <f t="shared" si="7"/>
        <v>147.74646987581519</v>
      </c>
      <c r="U29" s="146">
        <f t="shared" si="7"/>
        <v>147.74646987581519</v>
      </c>
      <c r="V29" s="91"/>
      <c r="W29" s="91">
        <f t="shared" si="6"/>
        <v>3028.802632454212</v>
      </c>
    </row>
    <row r="30" spans="1:51">
      <c r="A30" s="3" t="s">
        <v>72</v>
      </c>
      <c r="B30" s="127">
        <f t="shared" ref="B30:U30" si="8">SUM(B23:B29)</f>
        <v>3888.8604036708657</v>
      </c>
      <c r="C30" s="127">
        <f t="shared" si="8"/>
        <v>3919.2443896986724</v>
      </c>
      <c r="D30" s="127">
        <f t="shared" si="8"/>
        <v>4026.5873272933577</v>
      </c>
      <c r="E30" s="127">
        <f t="shared" si="8"/>
        <v>4136.9995530158849</v>
      </c>
      <c r="F30" s="127">
        <f t="shared" si="8"/>
        <v>4250.5671455100864</v>
      </c>
      <c r="G30" s="127">
        <f t="shared" si="8"/>
        <v>4367.4787657791139</v>
      </c>
      <c r="H30" s="127">
        <f t="shared" si="8"/>
        <v>4475.1257346562134</v>
      </c>
      <c r="I30" s="127">
        <f t="shared" si="8"/>
        <v>4586.0021125996254</v>
      </c>
      <c r="J30" s="127">
        <f t="shared" si="8"/>
        <v>4700.2047818813398</v>
      </c>
      <c r="K30" s="127">
        <f t="shared" si="8"/>
        <v>4817.8335312415065</v>
      </c>
      <c r="L30" s="127">
        <f t="shared" si="8"/>
        <v>4938.9911430824768</v>
      </c>
      <c r="M30" s="127">
        <f t="shared" si="8"/>
        <v>5063.7834832786766</v>
      </c>
      <c r="N30" s="127">
        <f t="shared" si="8"/>
        <v>5192.3195936807624</v>
      </c>
      <c r="O30" s="127">
        <f t="shared" si="8"/>
        <v>5324.711787394911</v>
      </c>
      <c r="P30" s="127">
        <f t="shared" si="8"/>
        <v>5461.0757469204846</v>
      </c>
      <c r="Q30" s="127">
        <f t="shared" si="8"/>
        <v>5601.5306252318242</v>
      </c>
      <c r="R30" s="127">
        <f t="shared" si="8"/>
        <v>5746.1991498925045</v>
      </c>
      <c r="S30" s="127">
        <f t="shared" si="8"/>
        <v>5895.2077302930047</v>
      </c>
      <c r="T30" s="127">
        <f t="shared" si="8"/>
        <v>6048.6865681055206</v>
      </c>
      <c r="U30" s="127">
        <f t="shared" si="8"/>
        <v>6206.7697710524126</v>
      </c>
      <c r="W30" s="91">
        <f t="shared" si="6"/>
        <v>98648.17934427924</v>
      </c>
    </row>
    <row r="31" spans="1:51" s="62" customFormat="1" outlineLevel="1">
      <c r="A31" s="5"/>
      <c r="B31" s="130"/>
      <c r="C31" s="131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W31" s="91"/>
    </row>
    <row r="32" spans="1:51" s="62" customFormat="1" ht="6.75" customHeight="1">
      <c r="A32" s="5"/>
      <c r="B32" s="130"/>
      <c r="C32" s="131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W32" s="91"/>
    </row>
    <row r="33" spans="1:23" s="57" customFormat="1" ht="18.75" customHeight="1">
      <c r="A33" s="1" t="s">
        <v>73</v>
      </c>
      <c r="B33" s="120">
        <f t="shared" ref="B33:U33" si="9">B20-B30</f>
        <v>37820.027340999979</v>
      </c>
      <c r="C33" s="120">
        <f t="shared" si="9"/>
        <v>37814.700627962819</v>
      </c>
      <c r="D33" s="120">
        <f t="shared" si="9"/>
        <v>37732.216088648682</v>
      </c>
      <c r="E33" s="120">
        <f t="shared" si="9"/>
        <v>45872.094405281772</v>
      </c>
      <c r="F33" s="120">
        <f t="shared" si="9"/>
        <v>48091.256748609056</v>
      </c>
      <c r="G33" s="120">
        <f t="shared" si="9"/>
        <v>49031.020145442606</v>
      </c>
      <c r="H33" s="120">
        <f t="shared" si="9"/>
        <v>50003.199208217913</v>
      </c>
      <c r="I33" s="120">
        <f t="shared" si="9"/>
        <v>50993.050222093414</v>
      </c>
      <c r="J33" s="120">
        <f t="shared" si="9"/>
        <v>52002.282544152811</v>
      </c>
      <c r="K33" s="120">
        <f t="shared" si="9"/>
        <v>53029.892788492005</v>
      </c>
      <c r="L33" s="120">
        <f t="shared" si="9"/>
        <v>54049.441216891108</v>
      </c>
      <c r="M33" s="120">
        <f t="shared" si="9"/>
        <v>55087.948615332505</v>
      </c>
      <c r="N33" s="120">
        <f t="shared" si="9"/>
        <v>56145.818708084735</v>
      </c>
      <c r="O33" s="120">
        <f t="shared" si="9"/>
        <v>57223.467893188958</v>
      </c>
      <c r="P33" s="120">
        <f t="shared" si="9"/>
        <v>58321.325804935186</v>
      </c>
      <c r="Q33" s="120">
        <f t="shared" si="9"/>
        <v>59169.212888145339</v>
      </c>
      <c r="R33" s="120">
        <f t="shared" si="9"/>
        <v>60029.074381615894</v>
      </c>
      <c r="S33" s="120">
        <f t="shared" si="9"/>
        <v>60899.4630659334</v>
      </c>
      <c r="T33" s="120">
        <f t="shared" si="9"/>
        <v>61780.62072160581</v>
      </c>
      <c r="U33" s="120">
        <f t="shared" si="9"/>
        <v>62674.74573693335</v>
      </c>
      <c r="W33" s="91">
        <f>SUM(B33:U33)</f>
        <v>1047770.8591525673</v>
      </c>
    </row>
    <row r="34" spans="1:23" s="57" customFormat="1" ht="18.75" customHeight="1">
      <c r="A34" s="1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1"/>
    </row>
    <row r="35" spans="1:23">
      <c r="A35" s="3" t="s">
        <v>74</v>
      </c>
      <c r="B35" s="127">
        <f>Depreciation!C53</f>
        <v>10824.155861292062</v>
      </c>
      <c r="C35" s="127">
        <f>Depreciation!D53</f>
        <v>10824.155861292062</v>
      </c>
      <c r="D35" s="127">
        <f>Depreciation!E53</f>
        <v>10824.155861292062</v>
      </c>
      <c r="E35" s="127">
        <f>Depreciation!F53</f>
        <v>10824.155861292062</v>
      </c>
      <c r="F35" s="127">
        <f>Depreciation!G53</f>
        <v>10824.155861292062</v>
      </c>
      <c r="G35" s="127">
        <f>Depreciation!H53</f>
        <v>10824.155861292062</v>
      </c>
      <c r="H35" s="127">
        <f>Depreciation!I53</f>
        <v>10824.155861292062</v>
      </c>
      <c r="I35" s="127">
        <f>Depreciation!J53</f>
        <v>10824.155861292062</v>
      </c>
      <c r="J35" s="127">
        <f>Depreciation!K53</f>
        <v>10824.155861292062</v>
      </c>
      <c r="K35" s="127">
        <f>Depreciation!L53</f>
        <v>10824.155861292062</v>
      </c>
      <c r="L35" s="127">
        <f>Depreciation!M53</f>
        <v>10824.155861292062</v>
      </c>
      <c r="M35" s="127">
        <f>Depreciation!N53</f>
        <v>10824.155861292062</v>
      </c>
      <c r="N35" s="127">
        <f>Depreciation!O53</f>
        <v>10824.155861292062</v>
      </c>
      <c r="O35" s="127">
        <f>Depreciation!P53</f>
        <v>10824.155861292062</v>
      </c>
      <c r="P35" s="127">
        <f>Depreciation!Q53</f>
        <v>10824.155861292062</v>
      </c>
      <c r="Q35" s="127">
        <f>Depreciation!R53</f>
        <v>10824.155861292062</v>
      </c>
      <c r="R35" s="127">
        <f>Depreciation!S53</f>
        <v>10824.155861292062</v>
      </c>
      <c r="S35" s="127">
        <f>Depreciation!T53</f>
        <v>10824.155861292062</v>
      </c>
      <c r="T35" s="127">
        <f>Depreciation!U53</f>
        <v>10824.155861292062</v>
      </c>
      <c r="U35" s="127">
        <f>Depreciation!V53</f>
        <v>10824.155861292062</v>
      </c>
      <c r="W35" s="91">
        <f>SUM(B35:U35)</f>
        <v>216483.11722584124</v>
      </c>
    </row>
    <row r="36" spans="1:23">
      <c r="A36" s="3"/>
      <c r="B36" s="127"/>
      <c r="C36" s="91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W36" s="91"/>
    </row>
    <row r="37" spans="1:23" s="57" customFormat="1">
      <c r="A37" s="1" t="s">
        <v>75</v>
      </c>
      <c r="B37" s="132">
        <f t="shared" ref="B37:U37" si="10">B33-B35</f>
        <v>26995.871479707916</v>
      </c>
      <c r="C37" s="132">
        <f t="shared" si="10"/>
        <v>26990.544766670755</v>
      </c>
      <c r="D37" s="132">
        <f t="shared" si="10"/>
        <v>26908.060227356618</v>
      </c>
      <c r="E37" s="132">
        <f t="shared" si="10"/>
        <v>35047.938543989709</v>
      </c>
      <c r="F37" s="132">
        <f t="shared" si="10"/>
        <v>37267.100887316992</v>
      </c>
      <c r="G37" s="132">
        <f t="shared" si="10"/>
        <v>38206.864284150543</v>
      </c>
      <c r="H37" s="132">
        <f t="shared" si="10"/>
        <v>39179.04334692585</v>
      </c>
      <c r="I37" s="132">
        <f t="shared" si="10"/>
        <v>40168.894360801351</v>
      </c>
      <c r="J37" s="132">
        <f t="shared" si="10"/>
        <v>41178.126682860748</v>
      </c>
      <c r="K37" s="132">
        <f t="shared" si="10"/>
        <v>42205.736927199941</v>
      </c>
      <c r="L37" s="132">
        <f t="shared" si="10"/>
        <v>43225.285355599044</v>
      </c>
      <c r="M37" s="132">
        <f t="shared" si="10"/>
        <v>44263.792754040442</v>
      </c>
      <c r="N37" s="132">
        <f t="shared" si="10"/>
        <v>45321.662846792671</v>
      </c>
      <c r="O37" s="132">
        <f t="shared" si="10"/>
        <v>46399.312031896894</v>
      </c>
      <c r="P37" s="132">
        <f t="shared" si="10"/>
        <v>47497.169943643123</v>
      </c>
      <c r="Q37" s="132">
        <f t="shared" si="10"/>
        <v>48345.057026853276</v>
      </c>
      <c r="R37" s="132">
        <f t="shared" si="10"/>
        <v>49204.91852032383</v>
      </c>
      <c r="S37" s="132">
        <f t="shared" si="10"/>
        <v>50075.307204641336</v>
      </c>
      <c r="T37" s="132">
        <f t="shared" si="10"/>
        <v>50956.464860313747</v>
      </c>
      <c r="U37" s="132">
        <f t="shared" si="10"/>
        <v>51850.589875641286</v>
      </c>
      <c r="W37" s="91">
        <f>SUM(B37:U37)</f>
        <v>831287.74192672595</v>
      </c>
    </row>
    <row r="38" spans="1:23" s="57" customFormat="1">
      <c r="A38" s="1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W38" s="91"/>
    </row>
    <row r="39" spans="1:23">
      <c r="A39" s="6" t="s">
        <v>76</v>
      </c>
      <c r="B39" s="127">
        <f>IS!B40*Allocation!$E$14</f>
        <v>16655.92105680687</v>
      </c>
      <c r="C39" s="127">
        <f>IS!C40*Allocation!$E$14</f>
        <v>16289.659735150924</v>
      </c>
      <c r="D39" s="127">
        <f>IS!D40*Allocation!$E$14</f>
        <v>15798.432941925961</v>
      </c>
      <c r="E39" s="127">
        <f>IS!E40*Allocation!$E$14</f>
        <v>15446.198900277241</v>
      </c>
      <c r="F39" s="127">
        <f>IS!F40*Allocation!$E$14</f>
        <v>15005.175008531787</v>
      </c>
      <c r="G39" s="127">
        <f>IS!G40*Allocation!$E$14</f>
        <v>14486.830415423334</v>
      </c>
      <c r="H39" s="127">
        <f>IS!H40*Allocation!$E$14</f>
        <v>13904.280882787762</v>
      </c>
      <c r="I39" s="127">
        <f>IS!I40*Allocation!$E$14</f>
        <v>13298.52489972104</v>
      </c>
      <c r="J39" s="127">
        <f>IS!J40*Allocation!$E$14</f>
        <v>12537.790446529152</v>
      </c>
      <c r="K39" s="127">
        <f>IS!K40*Allocation!$E$14</f>
        <v>11698.937423573709</v>
      </c>
      <c r="L39" s="127">
        <f>IS!L40*Allocation!$E$14</f>
        <v>10762.00738748197</v>
      </c>
      <c r="M39" s="127">
        <f>IS!M40*Allocation!$E$14</f>
        <v>9667.9122098464304</v>
      </c>
      <c r="N39" s="127">
        <f>IS!N40*Allocation!$E$14</f>
        <v>8519.4425140467774</v>
      </c>
      <c r="O39" s="127">
        <f>IS!O40*Allocation!$E$14</f>
        <v>7398.1600773291811</v>
      </c>
      <c r="P39" s="127">
        <f>IS!P40*Allocation!$E$14</f>
        <v>6262.7464099022673</v>
      </c>
      <c r="Q39" s="127">
        <f>IS!Q40*Allocation!$E$14</f>
        <v>5086.01425268398</v>
      </c>
      <c r="R39" s="127">
        <f>IS!R40*Allocation!$E$14</f>
        <v>3837.8579402501182</v>
      </c>
      <c r="S39" s="127">
        <f>IS!S40*Allocation!$E$14</f>
        <v>2660.9721826980326</v>
      </c>
      <c r="T39" s="127">
        <f>IS!T40*Allocation!$E$14</f>
        <v>1651.817989652196</v>
      </c>
      <c r="U39" s="127">
        <f>IS!U40*Allocation!$E$14</f>
        <v>645.12140194711026</v>
      </c>
      <c r="W39" s="91">
        <f>SUM(B39:U39)</f>
        <v>201613.80407656581</v>
      </c>
    </row>
    <row r="40" spans="1:23" ht="6" customHeight="1">
      <c r="B40" s="67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W40" s="91"/>
    </row>
    <row r="41" spans="1:23" s="57" customFormat="1">
      <c r="A41" s="1" t="s">
        <v>77</v>
      </c>
      <c r="B41" s="132">
        <f t="shared" ref="B41:U41" si="11">B37-B39</f>
        <v>10339.950422901045</v>
      </c>
      <c r="C41" s="132">
        <f t="shared" si="11"/>
        <v>10700.885031519831</v>
      </c>
      <c r="D41" s="132">
        <f t="shared" si="11"/>
        <v>11109.627285430657</v>
      </c>
      <c r="E41" s="132">
        <f t="shared" si="11"/>
        <v>19601.73964371247</v>
      </c>
      <c r="F41" s="132">
        <f t="shared" si="11"/>
        <v>22261.925878785205</v>
      </c>
      <c r="G41" s="132">
        <f t="shared" si="11"/>
        <v>23720.033868727209</v>
      </c>
      <c r="H41" s="132">
        <f t="shared" si="11"/>
        <v>25274.76246413809</v>
      </c>
      <c r="I41" s="132">
        <f t="shared" si="11"/>
        <v>26870.36946108031</v>
      </c>
      <c r="J41" s="132">
        <f t="shared" si="11"/>
        <v>28640.336236331597</v>
      </c>
      <c r="K41" s="132">
        <f t="shared" si="11"/>
        <v>30506.799503626233</v>
      </c>
      <c r="L41" s="132">
        <f t="shared" si="11"/>
        <v>32463.277968117072</v>
      </c>
      <c r="M41" s="132">
        <f t="shared" si="11"/>
        <v>34595.880544194013</v>
      </c>
      <c r="N41" s="132">
        <f t="shared" si="11"/>
        <v>36802.220332745892</v>
      </c>
      <c r="O41" s="132">
        <f t="shared" si="11"/>
        <v>39001.151954567715</v>
      </c>
      <c r="P41" s="132">
        <f t="shared" si="11"/>
        <v>41234.423533740854</v>
      </c>
      <c r="Q41" s="132">
        <f t="shared" si="11"/>
        <v>43259.042774169298</v>
      </c>
      <c r="R41" s="132">
        <f t="shared" si="11"/>
        <v>45367.06058007371</v>
      </c>
      <c r="S41" s="132">
        <f t="shared" si="11"/>
        <v>47414.335021943305</v>
      </c>
      <c r="T41" s="132">
        <f t="shared" si="11"/>
        <v>49304.646870661549</v>
      </c>
      <c r="U41" s="132">
        <f t="shared" si="11"/>
        <v>51205.468473694178</v>
      </c>
      <c r="W41" s="91">
        <f>SUM(B41:U41)</f>
        <v>629673.93785016018</v>
      </c>
    </row>
    <row r="42" spans="1:23" s="57" customFormat="1">
      <c r="A42" s="1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W42" s="91"/>
    </row>
    <row r="43" spans="1:23">
      <c r="A43" s="3" t="s">
        <v>78</v>
      </c>
      <c r="B43" s="127">
        <f>B41*-Assumptions!$I$47</f>
        <v>-742.40844036429507</v>
      </c>
      <c r="C43" s="127">
        <f>C41*-Assumptions!$I$47</f>
        <v>-768.32354526312383</v>
      </c>
      <c r="D43" s="127">
        <f>D41*-Assumptions!$I$47</f>
        <v>-797.67123909392126</v>
      </c>
      <c r="E43" s="127">
        <f>E41*-Assumptions!$I$47</f>
        <v>-1407.4049064185554</v>
      </c>
      <c r="F43" s="127">
        <f>F41*-Assumptions!$I$47</f>
        <v>-1598.4062780967777</v>
      </c>
      <c r="G43" s="127">
        <f>G41*-Assumptions!$I$47</f>
        <v>-1703.0984317746136</v>
      </c>
      <c r="H43" s="127">
        <f>H41*-Assumptions!$I$47</f>
        <v>-1814.727944925115</v>
      </c>
      <c r="I43" s="127">
        <f>I41*-Assumptions!$I$47</f>
        <v>-1929.2925273055664</v>
      </c>
      <c r="J43" s="127">
        <f>J41*-Assumptions!$I$47</f>
        <v>-2056.3761417686087</v>
      </c>
      <c r="K43" s="127">
        <f>K41*-Assumptions!$I$47</f>
        <v>-2190.3882043603635</v>
      </c>
      <c r="L43" s="127">
        <f>L41*-Assumptions!$I$47</f>
        <v>-2330.8633581108061</v>
      </c>
      <c r="M43" s="127">
        <f>M41*-Assumptions!$I$47</f>
        <v>-2483.9842230731301</v>
      </c>
      <c r="N43" s="127">
        <f>N41*-Assumptions!$I$47</f>
        <v>-2642.399419891155</v>
      </c>
      <c r="O43" s="127">
        <f>O41*-Assumptions!$I$47</f>
        <v>-2800.2827103379618</v>
      </c>
      <c r="P43" s="127">
        <f>P41*-Assumptions!$I$47</f>
        <v>-2960.6316097225936</v>
      </c>
      <c r="Q43" s="127">
        <f>Q41*-Assumptions!$I$47</f>
        <v>-3105.9992711853556</v>
      </c>
      <c r="R43" s="127">
        <f>R41*-Assumptions!$I$47</f>
        <v>-3257.3549496492924</v>
      </c>
      <c r="S43" s="127">
        <f>S41*-Assumptions!$I$47</f>
        <v>-3404.3492545755294</v>
      </c>
      <c r="T43" s="127">
        <f>T41*-Assumptions!$I$47</f>
        <v>-3540.0736453134991</v>
      </c>
      <c r="U43" s="127">
        <f>U41*-Assumptions!$I$47</f>
        <v>-3676.552636411242</v>
      </c>
      <c r="W43" s="91">
        <f>SUM(B43:U43)</f>
        <v>-45210.588737641505</v>
      </c>
    </row>
    <row r="44" spans="1:23">
      <c r="A44" s="3" t="s">
        <v>79</v>
      </c>
      <c r="B44" s="121">
        <f>(B41+B43)*-Assumptions!$I$46</f>
        <v>-3359.1396938878624</v>
      </c>
      <c r="C44" s="121">
        <f>(C41+C43)*-Assumptions!$I$46</f>
        <v>-3476.3965201898473</v>
      </c>
      <c r="D44" s="121">
        <f>(D41+D43)*-Assumptions!$I$46</f>
        <v>-3609.1846162178572</v>
      </c>
      <c r="E44" s="121">
        <f>(E41+E43)*-Assumptions!$I$46</f>
        <v>-6368.0171580528695</v>
      </c>
      <c r="F44" s="121">
        <f>(F41+F43)*-Assumptions!$I$46</f>
        <v>-7232.2318602409496</v>
      </c>
      <c r="G44" s="121">
        <f>(G41+G43)*-Assumptions!$I$46</f>
        <v>-7705.9274029334074</v>
      </c>
      <c r="H44" s="121">
        <f>(H41+H43)*-Assumptions!$I$46</f>
        <v>-8211.0120817245406</v>
      </c>
      <c r="I44" s="121">
        <f>(I41+I43)*-Assumptions!$I$46</f>
        <v>-8729.3769268211599</v>
      </c>
      <c r="J44" s="121">
        <f>(J41+J43)*-Assumptions!$I$46</f>
        <v>-9304.3860330970456</v>
      </c>
      <c r="K44" s="121">
        <f>(K41+K43)*-Assumptions!$I$46</f>
        <v>-9910.7439547430531</v>
      </c>
      <c r="L44" s="121">
        <f>(L41+L43)*-Assumptions!$I$46</f>
        <v>-10546.345113502191</v>
      </c>
      <c r="M44" s="121">
        <f>(M41+M43)*-Assumptions!$I$46</f>
        <v>-11239.163712392308</v>
      </c>
      <c r="N44" s="121">
        <f>(N41+N43)*-Assumptions!$I$46</f>
        <v>-11955.937319499159</v>
      </c>
      <c r="O44" s="121">
        <f>(O41+O43)*-Assumptions!$I$46</f>
        <v>-12670.304235480413</v>
      </c>
      <c r="P44" s="121">
        <f>(P41+P43)*-Assumptions!$I$46</f>
        <v>-13395.827173406391</v>
      </c>
      <c r="Q44" s="121">
        <f>(Q41+Q43)*-Assumptions!$I$46</f>
        <v>-14053.565226044379</v>
      </c>
      <c r="R44" s="121">
        <f>(R41+R43)*-Assumptions!$I$46</f>
        <v>-14738.396970648546</v>
      </c>
      <c r="S44" s="121">
        <f>(S41+S43)*-Assumptions!$I$46</f>
        <v>-15403.49501857872</v>
      </c>
      <c r="T44" s="121">
        <f>(T41+T43)*-Assumptions!$I$46</f>
        <v>-16017.600628871818</v>
      </c>
      <c r="U44" s="121">
        <f>(U41+U43)*-Assumptions!$I$46</f>
        <v>-16635.120543049026</v>
      </c>
      <c r="W44" s="91">
        <f>SUM(B44:U44)</f>
        <v>-204562.17218938156</v>
      </c>
    </row>
    <row r="45" spans="1:23" ht="6" customHeight="1"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W45" s="91"/>
    </row>
    <row r="46" spans="1:23" s="64" customFormat="1" ht="15.75">
      <c r="A46" s="45" t="s">
        <v>256</v>
      </c>
      <c r="B46" s="134">
        <f t="shared" ref="B46:U46" si="12">SUM(B41:B44)</f>
        <v>6238.4022886488874</v>
      </c>
      <c r="C46" s="134">
        <f t="shared" si="12"/>
        <v>6456.16496606686</v>
      </c>
      <c r="D46" s="134">
        <f t="shared" si="12"/>
        <v>6702.7714301188789</v>
      </c>
      <c r="E46" s="134">
        <f t="shared" si="12"/>
        <v>11826.317579241044</v>
      </c>
      <c r="F46" s="134">
        <f t="shared" si="12"/>
        <v>13431.287740447478</v>
      </c>
      <c r="G46" s="134">
        <f t="shared" si="12"/>
        <v>14311.008034019185</v>
      </c>
      <c r="H46" s="134">
        <f t="shared" si="12"/>
        <v>15249.022437488435</v>
      </c>
      <c r="I46" s="134">
        <f t="shared" si="12"/>
        <v>16211.700006953584</v>
      </c>
      <c r="J46" s="134">
        <f t="shared" si="12"/>
        <v>17279.574061465944</v>
      </c>
      <c r="K46" s="134">
        <f t="shared" si="12"/>
        <v>18405.667344522815</v>
      </c>
      <c r="L46" s="134">
        <f t="shared" si="12"/>
        <v>19586.069496504075</v>
      </c>
      <c r="M46" s="134">
        <f t="shared" si="12"/>
        <v>20872.732608728576</v>
      </c>
      <c r="N46" s="134">
        <f t="shared" si="12"/>
        <v>22203.883593355582</v>
      </c>
      <c r="O46" s="134">
        <f t="shared" si="12"/>
        <v>23530.565008749341</v>
      </c>
      <c r="P46" s="134">
        <f t="shared" si="12"/>
        <v>24877.964750611871</v>
      </c>
      <c r="Q46" s="134">
        <f t="shared" si="12"/>
        <v>26099.478276939564</v>
      </c>
      <c r="R46" s="134">
        <f t="shared" si="12"/>
        <v>27371.308659775874</v>
      </c>
      <c r="S46" s="134">
        <f t="shared" si="12"/>
        <v>28606.490748789056</v>
      </c>
      <c r="T46" s="134">
        <f t="shared" si="12"/>
        <v>29746.972596476233</v>
      </c>
      <c r="U46" s="134">
        <f t="shared" si="12"/>
        <v>30893.795294233907</v>
      </c>
      <c r="W46" s="91">
        <f>SUM(B46:U46)</f>
        <v>379901.17692313722</v>
      </c>
    </row>
    <row r="47" spans="1:23" s="62" customFormat="1" ht="9" outlineLevel="1">
      <c r="A47" s="4"/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 spans="1:23" s="62" customFormat="1" ht="9" outlineLevel="1">
      <c r="A48" s="4"/>
      <c r="B48" s="60"/>
      <c r="C48" s="61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</row>
    <row r="49" spans="1:51" outlineLevel="1">
      <c r="A49" s="13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1" ht="18.75" outlineLevel="1">
      <c r="A50" s="55" t="s">
        <v>252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1" ht="12.75" customHeight="1" outlineLevel="1">
      <c r="A52" s="1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 spans="1:51" ht="12.75" customHeight="1" outlineLevel="1">
      <c r="A53" s="1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 spans="1:51" ht="13.5" outlineLevel="1" thickBot="1">
      <c r="A54" s="197" t="s">
        <v>65</v>
      </c>
      <c r="B54" s="8">
        <v>2001</v>
      </c>
      <c r="C54" s="8">
        <f>B54+1</f>
        <v>2002</v>
      </c>
      <c r="D54" s="8">
        <f t="shared" ref="D54:U54" si="13">C54+1</f>
        <v>2003</v>
      </c>
      <c r="E54" s="8">
        <f t="shared" si="13"/>
        <v>2004</v>
      </c>
      <c r="F54" s="8">
        <f t="shared" si="13"/>
        <v>2005</v>
      </c>
      <c r="G54" s="8">
        <f t="shared" si="13"/>
        <v>2006</v>
      </c>
      <c r="H54" s="8">
        <f t="shared" si="13"/>
        <v>2007</v>
      </c>
      <c r="I54" s="8">
        <f t="shared" si="13"/>
        <v>2008</v>
      </c>
      <c r="J54" s="8">
        <f t="shared" si="13"/>
        <v>2009</v>
      </c>
      <c r="K54" s="8">
        <f t="shared" si="13"/>
        <v>2010</v>
      </c>
      <c r="L54" s="8">
        <f t="shared" si="13"/>
        <v>2011</v>
      </c>
      <c r="M54" s="8">
        <f t="shared" si="13"/>
        <v>2012</v>
      </c>
      <c r="N54" s="8">
        <f t="shared" si="13"/>
        <v>2013</v>
      </c>
      <c r="O54" s="8">
        <f t="shared" si="13"/>
        <v>2014</v>
      </c>
      <c r="P54" s="8">
        <f t="shared" si="13"/>
        <v>2015</v>
      </c>
      <c r="Q54" s="8">
        <f t="shared" si="13"/>
        <v>2016</v>
      </c>
      <c r="R54" s="8">
        <f t="shared" si="13"/>
        <v>2017</v>
      </c>
      <c r="S54" s="8">
        <f t="shared" si="13"/>
        <v>2018</v>
      </c>
      <c r="T54" s="8">
        <f t="shared" si="13"/>
        <v>2019</v>
      </c>
      <c r="U54" s="8">
        <f t="shared" si="13"/>
        <v>2020</v>
      </c>
      <c r="W54" s="425" t="s">
        <v>181</v>
      </c>
    </row>
    <row r="55" spans="1:51" outlineLevel="1">
      <c r="A55" s="12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W55" s="23"/>
    </row>
    <row r="56" spans="1:51" outlineLevel="1">
      <c r="A56" s="13" t="s">
        <v>293</v>
      </c>
      <c r="B56" s="67">
        <f>B33-B12</f>
        <v>26459.23126848325</v>
      </c>
      <c r="C56" s="67">
        <f>C33-C12</f>
        <v>26453.90455544609</v>
      </c>
      <c r="D56" s="67">
        <f>D33-D12</f>
        <v>26371.420016131953</v>
      </c>
      <c r="E56" s="67">
        <f t="shared" ref="E56:U56" si="14">E33</f>
        <v>45872.094405281772</v>
      </c>
      <c r="F56" s="67">
        <f t="shared" si="14"/>
        <v>48091.256748609056</v>
      </c>
      <c r="G56" s="67">
        <f t="shared" si="14"/>
        <v>49031.020145442606</v>
      </c>
      <c r="H56" s="67">
        <f t="shared" si="14"/>
        <v>50003.199208217913</v>
      </c>
      <c r="I56" s="67">
        <f t="shared" si="14"/>
        <v>50993.050222093414</v>
      </c>
      <c r="J56" s="67">
        <f t="shared" si="14"/>
        <v>52002.282544152811</v>
      </c>
      <c r="K56" s="67">
        <f t="shared" si="14"/>
        <v>53029.892788492005</v>
      </c>
      <c r="L56" s="67">
        <f t="shared" si="14"/>
        <v>54049.441216891108</v>
      </c>
      <c r="M56" s="67">
        <f t="shared" si="14"/>
        <v>55087.948615332505</v>
      </c>
      <c r="N56" s="67">
        <f t="shared" si="14"/>
        <v>56145.818708084735</v>
      </c>
      <c r="O56" s="67">
        <f t="shared" si="14"/>
        <v>57223.467893188958</v>
      </c>
      <c r="P56" s="67">
        <f t="shared" si="14"/>
        <v>58321.325804935186</v>
      </c>
      <c r="Q56" s="67">
        <f t="shared" si="14"/>
        <v>59169.212888145339</v>
      </c>
      <c r="R56" s="67">
        <f t="shared" si="14"/>
        <v>60029.074381615894</v>
      </c>
      <c r="S56" s="67">
        <f t="shared" si="14"/>
        <v>60899.4630659334</v>
      </c>
      <c r="T56" s="67">
        <f t="shared" si="14"/>
        <v>61780.62072160581</v>
      </c>
      <c r="U56" s="67">
        <f t="shared" si="14"/>
        <v>62674.74573693335</v>
      </c>
      <c r="W56" s="426">
        <f>SUM(B56:U56)</f>
        <v>1013688.4709350172</v>
      </c>
    </row>
    <row r="57" spans="1:51">
      <c r="A57" s="13" t="s">
        <v>195</v>
      </c>
      <c r="B57" s="67">
        <f>B28</f>
        <v>572</v>
      </c>
      <c r="C57" s="67">
        <f t="shared" ref="C57:U57" si="15">C28</f>
        <v>583.4</v>
      </c>
      <c r="D57" s="67">
        <f t="shared" si="15"/>
        <v>595.1</v>
      </c>
      <c r="E57" s="67">
        <f t="shared" si="15"/>
        <v>607</v>
      </c>
      <c r="F57" s="67">
        <f t="shared" si="15"/>
        <v>619.1</v>
      </c>
      <c r="G57" s="67">
        <f t="shared" si="15"/>
        <v>631.5</v>
      </c>
      <c r="H57" s="67">
        <f t="shared" si="15"/>
        <v>631.5</v>
      </c>
      <c r="I57" s="67">
        <f t="shared" si="15"/>
        <v>631.5</v>
      </c>
      <c r="J57" s="67">
        <f t="shared" si="15"/>
        <v>631.5</v>
      </c>
      <c r="K57" s="67">
        <f t="shared" si="15"/>
        <v>631.5</v>
      </c>
      <c r="L57" s="67">
        <f t="shared" si="15"/>
        <v>631.5</v>
      </c>
      <c r="M57" s="67">
        <f t="shared" si="15"/>
        <v>631.5</v>
      </c>
      <c r="N57" s="67">
        <f t="shared" si="15"/>
        <v>631.5</v>
      </c>
      <c r="O57" s="67">
        <f t="shared" si="15"/>
        <v>631.5</v>
      </c>
      <c r="P57" s="67">
        <f t="shared" si="15"/>
        <v>631.5</v>
      </c>
      <c r="Q57" s="67">
        <f t="shared" si="15"/>
        <v>631.5</v>
      </c>
      <c r="R57" s="67">
        <f t="shared" si="15"/>
        <v>631.5</v>
      </c>
      <c r="S57" s="67">
        <f t="shared" si="15"/>
        <v>631.5</v>
      </c>
      <c r="T57" s="67">
        <f t="shared" si="15"/>
        <v>631.5</v>
      </c>
      <c r="U57" s="67">
        <f t="shared" si="15"/>
        <v>631.5</v>
      </c>
      <c r="W57" s="426">
        <f>SUM(B57:U57)</f>
        <v>12449.1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</row>
    <row r="58" spans="1:51">
      <c r="A58" s="13" t="s">
        <v>196</v>
      </c>
      <c r="B58" s="495">
        <v>-333.7</v>
      </c>
      <c r="C58" s="67">
        <f>-B57</f>
        <v>-572</v>
      </c>
      <c r="D58" s="67">
        <f t="shared" ref="D58:U58" si="16">-C57</f>
        <v>-583.4</v>
      </c>
      <c r="E58" s="67">
        <f t="shared" si="16"/>
        <v>-595.1</v>
      </c>
      <c r="F58" s="67">
        <f t="shared" si="16"/>
        <v>-607</v>
      </c>
      <c r="G58" s="67">
        <f t="shared" si="16"/>
        <v>-619.1</v>
      </c>
      <c r="H58" s="67">
        <f t="shared" si="16"/>
        <v>-631.5</v>
      </c>
      <c r="I58" s="67">
        <f t="shared" si="16"/>
        <v>-631.5</v>
      </c>
      <c r="J58" s="67">
        <f t="shared" si="16"/>
        <v>-631.5</v>
      </c>
      <c r="K58" s="67">
        <f t="shared" si="16"/>
        <v>-631.5</v>
      </c>
      <c r="L58" s="67">
        <f t="shared" si="16"/>
        <v>-631.5</v>
      </c>
      <c r="M58" s="67">
        <f t="shared" si="16"/>
        <v>-631.5</v>
      </c>
      <c r="N58" s="67">
        <f t="shared" si="16"/>
        <v>-631.5</v>
      </c>
      <c r="O58" s="67">
        <f t="shared" si="16"/>
        <v>-631.5</v>
      </c>
      <c r="P58" s="67">
        <f t="shared" si="16"/>
        <v>-631.5</v>
      </c>
      <c r="Q58" s="67">
        <f t="shared" si="16"/>
        <v>-631.5</v>
      </c>
      <c r="R58" s="67">
        <f t="shared" si="16"/>
        <v>-631.5</v>
      </c>
      <c r="S58" s="67">
        <f t="shared" si="16"/>
        <v>-631.5</v>
      </c>
      <c r="T58" s="67">
        <f t="shared" si="16"/>
        <v>-631.5</v>
      </c>
      <c r="U58" s="67">
        <f t="shared" si="16"/>
        <v>-631.5</v>
      </c>
      <c r="W58" s="426">
        <f>SUM(B58:U58)</f>
        <v>-12151.3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</row>
    <row r="59" spans="1:51" outlineLevel="1">
      <c r="A59" s="13" t="s">
        <v>81</v>
      </c>
      <c r="B59" s="424">
        <f>-Debt!B77*Allocation!$E$14</f>
        <v>-21141.896519800841</v>
      </c>
      <c r="C59" s="424">
        <f>-Debt!C77*Allocation!$E$14</f>
        <v>-21101.230191426712</v>
      </c>
      <c r="D59" s="424">
        <f>-Debt!D77*Allocation!$E$14</f>
        <v>-20971.775612959329</v>
      </c>
      <c r="E59" s="424">
        <f>-Debt!E77*Allocation!$E$14</f>
        <v>-18757.8060969043</v>
      </c>
      <c r="F59" s="424">
        <f>-Debt!F77*Allocation!$E$14</f>
        <v>-19563.504914477271</v>
      </c>
      <c r="G59" s="424">
        <f>-Debt!G77*Allocation!$E$14</f>
        <v>-19668.521676028031</v>
      </c>
      <c r="H59" s="424">
        <f>-Debt!H77*Allocation!$E$14</f>
        <v>-19553.493159386868</v>
      </c>
      <c r="I59" s="424">
        <f>-Debt!I77*Allocation!$E$14</f>
        <v>-19726.93886964416</v>
      </c>
      <c r="J59" s="424">
        <f>-Debt!J77*Allocation!$E$14</f>
        <v>-19589.565771111484</v>
      </c>
      <c r="K59" s="424">
        <f>-Debt!K77*Allocation!$E$14</f>
        <v>-19980.738278331803</v>
      </c>
      <c r="L59" s="424">
        <f>-Debt!L77*Allocation!$E$14</f>
        <v>-20780.314873076441</v>
      </c>
      <c r="M59" s="424">
        <f>-Debt!M77*Allocation!$E$14</f>
        <v>-19686.219695440901</v>
      </c>
      <c r="N59" s="424">
        <f>-Debt!N77*Allocation!$E$14</f>
        <v>-18537.749999641248</v>
      </c>
      <c r="O59" s="424">
        <f>-Debt!O77*Allocation!$E$14</f>
        <v>-17416.467562923655</v>
      </c>
      <c r="P59" s="424">
        <f>-Debt!P77*Allocation!$E$14</f>
        <v>-16781.969269776466</v>
      </c>
      <c r="Q59" s="424">
        <f>-Debt!Q77*Allocation!$E$14</f>
        <v>-16106.152486837902</v>
      </c>
      <c r="R59" s="424">
        <f>-Debt!R77*Allocation!$E$14</f>
        <v>-14857.996174404037</v>
      </c>
      <c r="S59" s="424">
        <f>-Debt!S77*Allocation!$E$14</f>
        <v>-11677.448919733057</v>
      </c>
      <c r="T59" s="424">
        <f>-Debt!T77*Allocation!$E$14</f>
        <v>-10668.294726687222</v>
      </c>
      <c r="U59" s="424">
        <f>-Debt!U77*Allocation!$E$14</f>
        <v>-8659.7673904226976</v>
      </c>
      <c r="W59" s="426">
        <f>SUM(B59:U59)</f>
        <v>-355227.85218901449</v>
      </c>
    </row>
    <row r="60" spans="1:51" outlineLevel="1">
      <c r="A60" s="13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W60" s="427"/>
    </row>
    <row r="61" spans="1:51" s="57" customFormat="1" outlineLevel="1">
      <c r="A61" s="12" t="s">
        <v>82</v>
      </c>
      <c r="B61" s="136">
        <f t="shared" ref="B61:U61" si="17">SUM(B56:B59)</f>
        <v>5555.6347486824088</v>
      </c>
      <c r="C61" s="136">
        <f t="shared" si="17"/>
        <v>5364.0743640193796</v>
      </c>
      <c r="D61" s="136">
        <f t="shared" si="17"/>
        <v>5411.3444031726212</v>
      </c>
      <c r="E61" s="136">
        <f t="shared" si="17"/>
        <v>27126.188308377474</v>
      </c>
      <c r="F61" s="136">
        <f t="shared" si="17"/>
        <v>28539.851834131783</v>
      </c>
      <c r="G61" s="136">
        <f t="shared" si="17"/>
        <v>29374.898469414577</v>
      </c>
      <c r="H61" s="136">
        <f t="shared" si="17"/>
        <v>30449.706048831045</v>
      </c>
      <c r="I61" s="136">
        <f t="shared" si="17"/>
        <v>31266.111352449254</v>
      </c>
      <c r="J61" s="136">
        <f t="shared" si="17"/>
        <v>32412.716773041328</v>
      </c>
      <c r="K61" s="136">
        <f t="shared" si="17"/>
        <v>33049.154510160202</v>
      </c>
      <c r="L61" s="136">
        <f t="shared" si="17"/>
        <v>33269.126343814671</v>
      </c>
      <c r="M61" s="136">
        <f t="shared" si="17"/>
        <v>35401.728919891604</v>
      </c>
      <c r="N61" s="136">
        <f t="shared" si="17"/>
        <v>37608.06870844349</v>
      </c>
      <c r="O61" s="136">
        <f t="shared" si="17"/>
        <v>39807.000330265306</v>
      </c>
      <c r="P61" s="136">
        <f t="shared" si="17"/>
        <v>41539.356535158717</v>
      </c>
      <c r="Q61" s="136">
        <f t="shared" si="17"/>
        <v>43063.060401307433</v>
      </c>
      <c r="R61" s="136">
        <f t="shared" si="17"/>
        <v>45171.07820721186</v>
      </c>
      <c r="S61" s="136">
        <f t="shared" si="17"/>
        <v>49222.014146200345</v>
      </c>
      <c r="T61" s="136">
        <f t="shared" si="17"/>
        <v>51112.325994918589</v>
      </c>
      <c r="U61" s="136">
        <f t="shared" si="17"/>
        <v>54014.978346510652</v>
      </c>
      <c r="W61" s="426">
        <f>SUM(B61:U61)</f>
        <v>658758.41874600272</v>
      </c>
    </row>
    <row r="62" spans="1:51" outlineLevel="1">
      <c r="A62" s="12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W62" s="427"/>
    </row>
    <row r="63" spans="1:51" ht="15" outlineLevel="1">
      <c r="A63" s="13" t="s">
        <v>109</v>
      </c>
      <c r="B63" s="229">
        <f>-B99</f>
        <v>0</v>
      </c>
      <c r="C63" s="229">
        <f t="shared" ref="C63:U63" si="18">-C99</f>
        <v>0</v>
      </c>
      <c r="D63" s="229">
        <f t="shared" si="18"/>
        <v>0</v>
      </c>
      <c r="E63" s="229">
        <f t="shared" si="18"/>
        <v>0</v>
      </c>
      <c r="F63" s="229">
        <f t="shared" si="18"/>
        <v>0</v>
      </c>
      <c r="G63" s="229">
        <f t="shared" si="18"/>
        <v>0</v>
      </c>
      <c r="H63" s="229">
        <f t="shared" si="18"/>
        <v>-275.80304255256374</v>
      </c>
      <c r="I63" s="229">
        <f t="shared" si="18"/>
        <v>-1336.1272843173394</v>
      </c>
      <c r="J63" s="229">
        <f t="shared" si="18"/>
        <v>-1465.5295783638492</v>
      </c>
      <c r="K63" s="229">
        <f t="shared" si="18"/>
        <v>-1597.2229613721368</v>
      </c>
      <c r="L63" s="229">
        <f t="shared" si="18"/>
        <v>-1740.0167947060463</v>
      </c>
      <c r="M63" s="229">
        <f t="shared" si="18"/>
        <v>-1890.8189800849036</v>
      </c>
      <c r="N63" s="229">
        <f t="shared" si="18"/>
        <v>-2051.5528564863957</v>
      </c>
      <c r="O63" s="229">
        <f t="shared" si="18"/>
        <v>-2207.1174673497353</v>
      </c>
      <c r="P63" s="229">
        <f t="shared" si="18"/>
        <v>-2369.7850463178338</v>
      </c>
      <c r="Q63" s="229">
        <f t="shared" si="18"/>
        <v>-3199.1631849033606</v>
      </c>
      <c r="R63" s="229">
        <f t="shared" si="18"/>
        <v>-4034.5293404900626</v>
      </c>
      <c r="S63" s="229">
        <f t="shared" si="18"/>
        <v>-4181.5236454162996</v>
      </c>
      <c r="T63" s="229">
        <f t="shared" si="18"/>
        <v>-4317.2480361542694</v>
      </c>
      <c r="U63" s="229">
        <f t="shared" si="18"/>
        <v>-4453.7270272520127</v>
      </c>
      <c r="W63" s="426">
        <f>SUM(B63:U63)</f>
        <v>-35120.16524576681</v>
      </c>
    </row>
    <row r="64" spans="1:51" outlineLevel="1">
      <c r="A64" s="13" t="s">
        <v>110</v>
      </c>
      <c r="B64" s="128">
        <f>-Allocation!$E$14*Tax!B24</f>
        <v>0</v>
      </c>
      <c r="C64" s="128">
        <f>-Allocation!$E$14*Tax!C24</f>
        <v>0</v>
      </c>
      <c r="D64" s="128">
        <f>-Allocation!$E$14*Tax!D24</f>
        <v>0</v>
      </c>
      <c r="E64" s="128">
        <f>-Allocation!$E$14*Tax!E24</f>
        <v>0</v>
      </c>
      <c r="F64" s="128">
        <f>-Allocation!$E$14*Tax!F24</f>
        <v>0</v>
      </c>
      <c r="G64" s="128">
        <f>-Allocation!$E$14*Tax!G24</f>
        <v>-1648.4184905255083</v>
      </c>
      <c r="H64" s="128">
        <f>-Allocation!$E$14*Tax!H24</f>
        <v>-6409.2055917885282</v>
      </c>
      <c r="I64" s="128">
        <f>-Allocation!$E$14*Tax!I24</f>
        <v>-6741.6486267815771</v>
      </c>
      <c r="J64" s="128">
        <f>-Allocation!$E$14*Tax!J24</f>
        <v>-7247.8873698140751</v>
      </c>
      <c r="K64" s="128">
        <f>-Allocation!$E$14*Tax!K24</f>
        <v>-7705.5389265610866</v>
      </c>
      <c r="L64" s="128">
        <f>-Allocation!$E$14*Tax!L24</f>
        <v>-8352.2251505737222</v>
      </c>
      <c r="M64" s="128">
        <f>-Allocation!$E$14*Tax!M24</f>
        <v>-9050.9764858945637</v>
      </c>
      <c r="N64" s="128">
        <f>-Allocation!$E$14*Tax!N24</f>
        <v>-9754.9879445628958</v>
      </c>
      <c r="O64" s="128">
        <f>-Allocation!$E$14*Tax!O24</f>
        <v>-10443.326839807341</v>
      </c>
      <c r="P64" s="128">
        <f>-Allocation!$E$14*Tax!P24</f>
        <v>-11124.395243649091</v>
      </c>
      <c r="Q64" s="128">
        <f>-Allocation!$E$14*Tax!Q24</f>
        <v>-14578.196614263039</v>
      </c>
      <c r="R64" s="128">
        <f>-Allocation!$E$14*Tax!R24</f>
        <v>-18014.644805574844</v>
      </c>
      <c r="S64" s="128">
        <f>-Allocation!$E$14*Tax!S24</f>
        <v>-18648.008216232651</v>
      </c>
      <c r="T64" s="128">
        <f>-Allocation!$E$14*Tax!T24</f>
        <v>-19229.100909073644</v>
      </c>
      <c r="U64" s="128">
        <f>-Allocation!$E$14*Tax!U24</f>
        <v>-19812.772307066298</v>
      </c>
      <c r="W64" s="426">
        <f>SUM(B64:U64)</f>
        <v>-168761.33352216886</v>
      </c>
    </row>
    <row r="65" spans="1:252" outlineLevel="1">
      <c r="A65" s="13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W65" s="427"/>
    </row>
    <row r="66" spans="1:252" s="64" customFormat="1" ht="15.75" outlineLevel="1">
      <c r="A66" s="46" t="s">
        <v>83</v>
      </c>
      <c r="B66" s="137">
        <f t="shared" ref="B66:U66" si="19">B61+B64+B63</f>
        <v>5555.6347486824088</v>
      </c>
      <c r="C66" s="137">
        <f t="shared" si="19"/>
        <v>5364.0743640193796</v>
      </c>
      <c r="D66" s="137">
        <f t="shared" si="19"/>
        <v>5411.3444031726212</v>
      </c>
      <c r="E66" s="137">
        <f t="shared" si="19"/>
        <v>27126.188308377474</v>
      </c>
      <c r="F66" s="137">
        <f t="shared" si="19"/>
        <v>28539.851834131783</v>
      </c>
      <c r="G66" s="137">
        <f t="shared" si="19"/>
        <v>27726.479978889067</v>
      </c>
      <c r="H66" s="137">
        <f t="shared" si="19"/>
        <v>23764.69741448995</v>
      </c>
      <c r="I66" s="137">
        <f t="shared" si="19"/>
        <v>23188.335441350337</v>
      </c>
      <c r="J66" s="137">
        <f t="shared" si="19"/>
        <v>23699.299824863403</v>
      </c>
      <c r="K66" s="137">
        <f t="shared" si="19"/>
        <v>23746.39262222698</v>
      </c>
      <c r="L66" s="137">
        <f t="shared" si="19"/>
        <v>23176.884398534901</v>
      </c>
      <c r="M66" s="137">
        <f t="shared" si="19"/>
        <v>24459.933453912137</v>
      </c>
      <c r="N66" s="137">
        <f t="shared" si="19"/>
        <v>25801.527907394197</v>
      </c>
      <c r="O66" s="137">
        <f t="shared" si="19"/>
        <v>27156.556023108227</v>
      </c>
      <c r="P66" s="137">
        <f t="shared" si="19"/>
        <v>28045.176245191793</v>
      </c>
      <c r="Q66" s="137">
        <f t="shared" si="19"/>
        <v>25285.700602141031</v>
      </c>
      <c r="R66" s="137">
        <f t="shared" si="19"/>
        <v>23121.904061146954</v>
      </c>
      <c r="S66" s="137">
        <f t="shared" si="19"/>
        <v>26392.482284551395</v>
      </c>
      <c r="T66" s="137">
        <f t="shared" si="19"/>
        <v>27565.977049690675</v>
      </c>
      <c r="U66" s="137">
        <f t="shared" si="19"/>
        <v>29748.479012192343</v>
      </c>
      <c r="W66" s="426">
        <f>SUM(B66:U66)</f>
        <v>454876.91997806705</v>
      </c>
    </row>
    <row r="67" spans="1:252" outlineLevel="1">
      <c r="A67" s="68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252" outlineLevel="1">
      <c r="A68" s="6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</row>
    <row r="69" spans="1:252" outlineLevel="1">
      <c r="A69" s="70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59"/>
      <c r="M69" s="59"/>
      <c r="N69" s="59"/>
      <c r="O69" s="59"/>
      <c r="P69" s="59"/>
      <c r="Q69" s="59"/>
      <c r="R69" s="59"/>
      <c r="S69" s="59"/>
      <c r="T69" s="59"/>
      <c r="U69" s="59"/>
    </row>
    <row r="70" spans="1:252" ht="18.75" outlineLevel="1">
      <c r="A70" s="55" t="s">
        <v>259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52" outlineLevel="1">
      <c r="A71" s="57"/>
      <c r="B71" s="18"/>
      <c r="C71" s="18"/>
      <c r="D71" s="18"/>
      <c r="E71" s="18"/>
      <c r="F71" s="18"/>
      <c r="G71" s="138"/>
      <c r="H71" s="18"/>
      <c r="I71" s="18"/>
      <c r="J71" s="18"/>
      <c r="K71" s="18"/>
      <c r="L71" s="18"/>
      <c r="M71" s="138"/>
      <c r="N71" s="18"/>
      <c r="O71" s="18"/>
      <c r="P71" s="18"/>
      <c r="Q71" s="18"/>
      <c r="R71" s="18"/>
      <c r="S71" s="138"/>
      <c r="T71" s="18"/>
      <c r="U71" s="18"/>
    </row>
    <row r="72" spans="1:252" outlineLevel="1">
      <c r="A72" s="230"/>
      <c r="B72" s="248">
        <v>3</v>
      </c>
      <c r="C72" s="248">
        <v>4</v>
      </c>
      <c r="D72" s="248">
        <v>5</v>
      </c>
      <c r="E72" s="249">
        <v>6</v>
      </c>
      <c r="F72" s="248">
        <v>7</v>
      </c>
      <c r="G72" s="248">
        <v>8</v>
      </c>
      <c r="H72" s="248">
        <v>9</v>
      </c>
      <c r="I72" s="248">
        <v>10</v>
      </c>
      <c r="J72" s="248">
        <v>11</v>
      </c>
      <c r="K72" s="249">
        <v>12</v>
      </c>
      <c r="L72" s="248">
        <v>13</v>
      </c>
      <c r="M72" s="248">
        <v>14</v>
      </c>
      <c r="N72" s="248">
        <v>15</v>
      </c>
      <c r="O72" s="248">
        <v>16</v>
      </c>
      <c r="P72" s="248">
        <v>17</v>
      </c>
      <c r="Q72" s="249">
        <v>18</v>
      </c>
      <c r="R72" s="248">
        <v>19</v>
      </c>
      <c r="S72" s="248">
        <v>20</v>
      </c>
      <c r="T72" s="248">
        <v>21</v>
      </c>
      <c r="U72" s="248">
        <v>22</v>
      </c>
    </row>
    <row r="73" spans="1:252" ht="13.5" outlineLevel="1" thickBot="1">
      <c r="A73" s="197" t="s">
        <v>65</v>
      </c>
      <c r="B73" s="8">
        <v>2001</v>
      </c>
      <c r="C73" s="8">
        <v>2002</v>
      </c>
      <c r="D73" s="8">
        <v>2003</v>
      </c>
      <c r="E73" s="8">
        <v>2004</v>
      </c>
      <c r="F73" s="8">
        <v>2005</v>
      </c>
      <c r="G73" s="8">
        <v>2006</v>
      </c>
      <c r="H73" s="8">
        <v>2007</v>
      </c>
      <c r="I73" s="8">
        <v>2008</v>
      </c>
      <c r="J73" s="8">
        <v>2009</v>
      </c>
      <c r="K73" s="8">
        <v>2010</v>
      </c>
      <c r="L73" s="8">
        <v>2011</v>
      </c>
      <c r="M73" s="8">
        <v>2012</v>
      </c>
      <c r="N73" s="8">
        <v>2013</v>
      </c>
      <c r="O73" s="8">
        <v>2014</v>
      </c>
      <c r="P73" s="8">
        <v>2015</v>
      </c>
      <c r="Q73" s="8">
        <v>2016</v>
      </c>
      <c r="R73" s="8">
        <v>2017</v>
      </c>
      <c r="S73" s="8">
        <v>2018</v>
      </c>
      <c r="T73" s="8">
        <v>2019</v>
      </c>
      <c r="U73" s="8">
        <v>2020</v>
      </c>
    </row>
    <row r="74" spans="1:252" outlineLevel="1">
      <c r="A74" s="230"/>
      <c r="B74" s="255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52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 spans="1:252" outlineLevel="1">
      <c r="A76" s="231" t="s">
        <v>216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</row>
    <row r="77" spans="1:252" s="455" customFormat="1" ht="12" customHeight="1">
      <c r="A77" s="466"/>
      <c r="B77" s="451"/>
      <c r="C77" s="451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451"/>
      <c r="AA77" s="454"/>
      <c r="AB77" s="454"/>
      <c r="AC77" s="454"/>
      <c r="AD77" s="454"/>
      <c r="AE77" s="454"/>
      <c r="AF77" s="454"/>
      <c r="AG77" s="454"/>
      <c r="AH77" s="454"/>
      <c r="AI77" s="454"/>
      <c r="AJ77" s="454"/>
      <c r="AK77" s="454"/>
      <c r="AL77" s="454"/>
      <c r="AM77" s="454"/>
      <c r="AN77" s="454"/>
      <c r="AO77" s="454"/>
      <c r="AP77" s="454"/>
      <c r="AQ77" s="454"/>
      <c r="AR77" s="454"/>
      <c r="AS77" s="454"/>
      <c r="AT77" s="454"/>
      <c r="AU77" s="454"/>
      <c r="AV77" s="454"/>
      <c r="AW77" s="454"/>
      <c r="AX77" s="454"/>
      <c r="AY77" s="454"/>
      <c r="AZ77" s="454"/>
      <c r="BA77" s="454"/>
      <c r="BB77" s="454"/>
      <c r="BC77" s="454"/>
      <c r="BD77" s="454"/>
      <c r="BE77" s="454"/>
      <c r="BF77" s="454"/>
      <c r="BG77" s="454"/>
      <c r="BH77" s="454"/>
      <c r="BI77" s="454"/>
      <c r="BJ77" s="454"/>
      <c r="BK77" s="454"/>
      <c r="BL77" s="454"/>
      <c r="BM77" s="454"/>
      <c r="BN77" s="454"/>
      <c r="BO77" s="454"/>
      <c r="BP77" s="454"/>
      <c r="BQ77" s="454"/>
      <c r="BR77" s="454"/>
      <c r="BS77" s="454"/>
      <c r="BT77" s="454"/>
      <c r="BU77" s="454"/>
      <c r="BV77" s="454"/>
      <c r="BW77" s="454"/>
      <c r="BX77" s="454"/>
      <c r="BY77" s="454"/>
      <c r="BZ77" s="454"/>
      <c r="CA77" s="454"/>
      <c r="CB77" s="454"/>
      <c r="CC77" s="454"/>
      <c r="CD77" s="454"/>
      <c r="CE77" s="454"/>
      <c r="CF77" s="454"/>
      <c r="CG77" s="454"/>
      <c r="CH77" s="454"/>
      <c r="CI77" s="454"/>
      <c r="CJ77" s="454"/>
      <c r="CK77" s="454"/>
      <c r="CL77" s="454"/>
      <c r="CM77" s="454"/>
      <c r="CN77" s="454"/>
      <c r="CO77" s="454"/>
      <c r="CP77" s="454"/>
      <c r="CQ77" s="454"/>
      <c r="CR77" s="454"/>
      <c r="CS77" s="454"/>
      <c r="CT77" s="454"/>
      <c r="CU77" s="454"/>
      <c r="CV77" s="454"/>
      <c r="CW77" s="454"/>
      <c r="CX77" s="454"/>
      <c r="CY77" s="454"/>
      <c r="CZ77" s="454"/>
      <c r="DA77" s="454"/>
      <c r="DB77" s="454"/>
      <c r="DC77" s="454"/>
      <c r="DD77" s="454"/>
      <c r="DE77" s="454"/>
      <c r="DF77" s="454"/>
      <c r="DG77" s="454"/>
      <c r="DH77" s="454"/>
      <c r="DI77" s="454"/>
      <c r="DJ77" s="454"/>
      <c r="DK77" s="454"/>
      <c r="DL77" s="454"/>
      <c r="DM77" s="454"/>
      <c r="DN77" s="454"/>
      <c r="DO77" s="454"/>
      <c r="DP77" s="454"/>
      <c r="DQ77" s="454"/>
      <c r="DR77" s="454"/>
      <c r="DS77" s="454"/>
      <c r="DT77" s="454"/>
      <c r="DU77" s="454"/>
      <c r="DV77" s="454"/>
      <c r="DW77" s="454"/>
      <c r="DX77" s="454"/>
      <c r="DY77" s="454"/>
      <c r="DZ77" s="454"/>
      <c r="EA77" s="454"/>
      <c r="EB77" s="454"/>
      <c r="EC77" s="454"/>
      <c r="ED77" s="454"/>
      <c r="EE77" s="454"/>
      <c r="EF77" s="454"/>
      <c r="EG77" s="454"/>
      <c r="EH77" s="454"/>
      <c r="EI77" s="454"/>
      <c r="EJ77" s="454"/>
      <c r="EK77" s="454"/>
      <c r="EL77" s="454"/>
      <c r="EM77" s="454"/>
      <c r="EN77" s="454"/>
      <c r="EO77" s="454"/>
      <c r="EP77" s="454"/>
      <c r="EQ77" s="454"/>
      <c r="ER77" s="454"/>
      <c r="ES77" s="454"/>
      <c r="ET77" s="454"/>
      <c r="EU77" s="454"/>
      <c r="EV77" s="454"/>
      <c r="EW77" s="454"/>
      <c r="EX77" s="454"/>
      <c r="EY77" s="454"/>
      <c r="EZ77" s="454"/>
      <c r="FA77" s="454"/>
      <c r="FB77" s="454"/>
      <c r="FC77" s="454"/>
      <c r="FD77" s="454"/>
      <c r="FE77" s="454"/>
      <c r="FF77" s="454"/>
      <c r="FG77" s="454"/>
      <c r="FH77" s="454"/>
      <c r="FI77" s="454"/>
      <c r="FJ77" s="454"/>
      <c r="FK77" s="454"/>
      <c r="FL77" s="454"/>
      <c r="FM77" s="454"/>
      <c r="FN77" s="454"/>
      <c r="FO77" s="454"/>
      <c r="FP77" s="454"/>
      <c r="FQ77" s="454"/>
      <c r="FR77" s="454"/>
      <c r="FS77" s="454"/>
      <c r="FT77" s="454"/>
      <c r="FU77" s="454"/>
      <c r="FV77" s="454"/>
      <c r="FW77" s="454"/>
      <c r="FX77" s="454"/>
      <c r="FY77" s="454"/>
      <c r="FZ77" s="454"/>
      <c r="GA77" s="454"/>
      <c r="GB77" s="454"/>
      <c r="GC77" s="454"/>
      <c r="GD77" s="454"/>
      <c r="GE77" s="454"/>
      <c r="GF77" s="454"/>
      <c r="GG77" s="454"/>
      <c r="GH77" s="454"/>
      <c r="GI77" s="454"/>
      <c r="GJ77" s="454"/>
      <c r="GK77" s="454"/>
      <c r="GL77" s="454"/>
      <c r="GM77" s="454"/>
      <c r="GN77" s="454"/>
      <c r="GO77" s="454"/>
      <c r="GP77" s="454"/>
      <c r="GQ77" s="454"/>
      <c r="GR77" s="454"/>
      <c r="GS77" s="454"/>
      <c r="GT77" s="454"/>
      <c r="GU77" s="454"/>
      <c r="GV77" s="454"/>
      <c r="GW77" s="454"/>
      <c r="GX77" s="454"/>
      <c r="GY77" s="454"/>
      <c r="GZ77" s="454"/>
      <c r="HA77" s="454"/>
      <c r="HB77" s="454"/>
      <c r="HC77" s="454"/>
      <c r="HD77" s="454"/>
      <c r="HE77" s="454"/>
      <c r="HF77" s="454"/>
      <c r="HG77" s="454"/>
      <c r="HH77" s="454"/>
      <c r="HI77" s="454"/>
      <c r="HJ77" s="454"/>
      <c r="HK77" s="454"/>
      <c r="HL77" s="454"/>
      <c r="HM77" s="454"/>
      <c r="HN77" s="454"/>
      <c r="HO77" s="454"/>
      <c r="HP77" s="454"/>
      <c r="HQ77" s="454"/>
      <c r="HR77" s="454"/>
      <c r="HS77" s="454"/>
      <c r="HT77" s="454"/>
      <c r="HU77" s="454"/>
      <c r="HV77" s="454"/>
      <c r="HW77" s="454"/>
      <c r="HX77" s="454"/>
      <c r="HY77" s="454"/>
      <c r="HZ77" s="454"/>
      <c r="IA77" s="454"/>
      <c r="IB77" s="454"/>
      <c r="IC77" s="454"/>
      <c r="ID77" s="454"/>
      <c r="IE77" s="454"/>
      <c r="IF77" s="454"/>
      <c r="IG77" s="454"/>
      <c r="IH77" s="454"/>
      <c r="II77" s="454"/>
      <c r="IJ77" s="454"/>
      <c r="IK77" s="454"/>
      <c r="IL77" s="454"/>
      <c r="IM77" s="454"/>
      <c r="IN77" s="454"/>
      <c r="IO77" s="454"/>
      <c r="IP77" s="454"/>
      <c r="IQ77" s="454"/>
      <c r="IR77" s="454"/>
    </row>
    <row r="78" spans="1:252" s="455" customFormat="1" ht="12" customHeight="1">
      <c r="A78" s="467" t="s">
        <v>214</v>
      </c>
      <c r="B78" s="461">
        <f>Depreciation!$B$52*'Summary Output'!$B$8</f>
        <v>147746.46987581518</v>
      </c>
      <c r="C78" s="461">
        <f>Depreciation!$B$52*'Summary Output'!$B$8</f>
        <v>147746.46987581518</v>
      </c>
      <c r="D78" s="461">
        <f>Depreciation!$B$52*'Summary Output'!$B$8</f>
        <v>147746.46987581518</v>
      </c>
      <c r="E78" s="461">
        <f>Depreciation!$B$52*'Summary Output'!$B$8</f>
        <v>147746.46987581518</v>
      </c>
      <c r="F78" s="461">
        <f>Depreciation!$B$52*'Summary Output'!$B$8</f>
        <v>147746.46987581518</v>
      </c>
      <c r="G78" s="461">
        <f>Depreciation!$B$52*'Summary Output'!$B$8</f>
        <v>147746.46987581518</v>
      </c>
      <c r="H78" s="461">
        <f>Depreciation!$B$52*'Summary Output'!$B$8</f>
        <v>147746.46987581518</v>
      </c>
      <c r="I78" s="461">
        <f>Depreciation!$B$52*'Summary Output'!$B$8</f>
        <v>147746.46987581518</v>
      </c>
      <c r="J78" s="461">
        <f>Depreciation!$B$52*'Summary Output'!$B$8</f>
        <v>147746.46987581518</v>
      </c>
      <c r="K78" s="461">
        <f>Depreciation!$B$52*'Summary Output'!$B$8</f>
        <v>147746.46987581518</v>
      </c>
      <c r="L78" s="461">
        <f>Depreciation!$B$52*'Summary Output'!$B$8</f>
        <v>147746.46987581518</v>
      </c>
      <c r="M78" s="461">
        <f>Depreciation!$B$52*'Summary Output'!$B$8</f>
        <v>147746.46987581518</v>
      </c>
      <c r="N78" s="461">
        <f>Depreciation!$B$52*'Summary Output'!$B$8</f>
        <v>147746.46987581518</v>
      </c>
      <c r="O78" s="461">
        <f>Depreciation!$B$52*'Summary Output'!$B$8</f>
        <v>147746.46987581518</v>
      </c>
      <c r="P78" s="461">
        <f>Depreciation!$B$52*'Summary Output'!$B$8</f>
        <v>147746.46987581518</v>
      </c>
      <c r="Q78" s="461">
        <f>Depreciation!$B$52*'Summary Output'!$B$8</f>
        <v>147746.46987581518</v>
      </c>
      <c r="R78" s="461">
        <f>Depreciation!$B$52*'Summary Output'!$B$8</f>
        <v>147746.46987581518</v>
      </c>
      <c r="S78" s="461">
        <f>Depreciation!$B$52*'Summary Output'!$B$8</f>
        <v>147746.46987581518</v>
      </c>
      <c r="T78" s="461">
        <f>Depreciation!$B$52*'Summary Output'!$B$8</f>
        <v>147746.46987581518</v>
      </c>
      <c r="U78" s="461">
        <f>Depreciation!$B$52*'Summary Output'!$B$8</f>
        <v>147746.46987581518</v>
      </c>
      <c r="V78" s="461"/>
      <c r="W78" s="461"/>
      <c r="X78" s="461"/>
      <c r="Y78" s="461"/>
      <c r="Z78" s="451"/>
      <c r="AA78" s="454"/>
      <c r="AB78" s="454"/>
      <c r="AC78" s="454"/>
      <c r="AD78" s="454"/>
      <c r="AE78" s="454"/>
      <c r="AF78" s="454"/>
      <c r="AG78" s="454"/>
      <c r="AH78" s="454"/>
      <c r="AI78" s="454"/>
      <c r="AJ78" s="454"/>
      <c r="AK78" s="454"/>
      <c r="AL78" s="454"/>
      <c r="AM78" s="454"/>
      <c r="AN78" s="454"/>
      <c r="AO78" s="454"/>
      <c r="AP78" s="454"/>
      <c r="AQ78" s="454"/>
      <c r="AR78" s="454"/>
      <c r="AS78" s="454"/>
      <c r="AT78" s="454"/>
      <c r="AU78" s="454"/>
      <c r="AV78" s="454"/>
      <c r="AW78" s="454"/>
      <c r="AX78" s="454"/>
      <c r="AY78" s="454"/>
      <c r="AZ78" s="454"/>
      <c r="BA78" s="454"/>
      <c r="BB78" s="454"/>
      <c r="BC78" s="454"/>
      <c r="BD78" s="454"/>
      <c r="BE78" s="454"/>
      <c r="BF78" s="454"/>
      <c r="BG78" s="454"/>
      <c r="BH78" s="454"/>
      <c r="BI78" s="454"/>
      <c r="BJ78" s="454"/>
      <c r="BK78" s="454"/>
      <c r="BL78" s="454"/>
      <c r="BM78" s="454"/>
      <c r="BN78" s="454"/>
      <c r="BO78" s="454"/>
      <c r="BP78" s="454"/>
      <c r="BQ78" s="454"/>
      <c r="BR78" s="454"/>
      <c r="BS78" s="454"/>
      <c r="BT78" s="454"/>
      <c r="BU78" s="454"/>
      <c r="BV78" s="454"/>
      <c r="BW78" s="454"/>
      <c r="BX78" s="454"/>
      <c r="BY78" s="454"/>
      <c r="BZ78" s="454"/>
      <c r="CA78" s="454"/>
      <c r="CB78" s="454"/>
      <c r="CC78" s="454"/>
      <c r="CD78" s="454"/>
      <c r="CE78" s="454"/>
      <c r="CF78" s="454"/>
      <c r="CG78" s="454"/>
      <c r="CH78" s="454"/>
      <c r="CI78" s="454"/>
      <c r="CJ78" s="454"/>
      <c r="CK78" s="454"/>
      <c r="CL78" s="454"/>
      <c r="CM78" s="454"/>
      <c r="CN78" s="454"/>
      <c r="CO78" s="454"/>
      <c r="CP78" s="454"/>
      <c r="CQ78" s="454"/>
      <c r="CR78" s="454"/>
      <c r="CS78" s="454"/>
      <c r="CT78" s="454"/>
      <c r="CU78" s="454"/>
      <c r="CV78" s="454"/>
      <c r="CW78" s="454"/>
      <c r="CX78" s="454"/>
      <c r="CY78" s="454"/>
      <c r="CZ78" s="454"/>
      <c r="DA78" s="454"/>
      <c r="DB78" s="454"/>
      <c r="DC78" s="454"/>
      <c r="DD78" s="454"/>
      <c r="DE78" s="454"/>
      <c r="DF78" s="454"/>
      <c r="DG78" s="454"/>
      <c r="DH78" s="454"/>
      <c r="DI78" s="454"/>
      <c r="DJ78" s="454"/>
      <c r="DK78" s="454"/>
      <c r="DL78" s="454"/>
      <c r="DM78" s="454"/>
      <c r="DN78" s="454"/>
      <c r="DO78" s="454"/>
      <c r="DP78" s="454"/>
      <c r="DQ78" s="454"/>
      <c r="DR78" s="454"/>
      <c r="DS78" s="454"/>
      <c r="DT78" s="454"/>
      <c r="DU78" s="454"/>
      <c r="DV78" s="454"/>
      <c r="DW78" s="454"/>
      <c r="DX78" s="454"/>
      <c r="DY78" s="454"/>
      <c r="DZ78" s="454"/>
      <c r="EA78" s="454"/>
      <c r="EB78" s="454"/>
      <c r="EC78" s="454"/>
      <c r="ED78" s="454"/>
      <c r="EE78" s="454"/>
      <c r="EF78" s="454"/>
      <c r="EG78" s="454"/>
      <c r="EH78" s="454"/>
      <c r="EI78" s="454"/>
      <c r="EJ78" s="454"/>
      <c r="EK78" s="454"/>
      <c r="EL78" s="454"/>
      <c r="EM78" s="454"/>
      <c r="EN78" s="454"/>
      <c r="EO78" s="454"/>
      <c r="EP78" s="454"/>
      <c r="EQ78" s="454"/>
      <c r="ER78" s="454"/>
      <c r="ES78" s="454"/>
      <c r="ET78" s="454"/>
      <c r="EU78" s="454"/>
      <c r="EV78" s="454"/>
      <c r="EW78" s="454"/>
      <c r="EX78" s="454"/>
      <c r="EY78" s="454"/>
      <c r="EZ78" s="454"/>
      <c r="FA78" s="454"/>
      <c r="FB78" s="454"/>
      <c r="FC78" s="454"/>
      <c r="FD78" s="454"/>
      <c r="FE78" s="454"/>
      <c r="FF78" s="454"/>
      <c r="FG78" s="454"/>
      <c r="FH78" s="454"/>
      <c r="FI78" s="454"/>
      <c r="FJ78" s="454"/>
      <c r="FK78" s="454"/>
      <c r="FL78" s="454"/>
      <c r="FM78" s="454"/>
      <c r="FN78" s="454"/>
      <c r="FO78" s="454"/>
      <c r="FP78" s="454"/>
      <c r="FQ78" s="454"/>
      <c r="FR78" s="454"/>
      <c r="FS78" s="454"/>
      <c r="FT78" s="454"/>
      <c r="FU78" s="454"/>
      <c r="FV78" s="454"/>
      <c r="FW78" s="454"/>
      <c r="FX78" s="454"/>
      <c r="FY78" s="454"/>
      <c r="FZ78" s="454"/>
      <c r="GA78" s="454"/>
      <c r="GB78" s="454"/>
      <c r="GC78" s="454"/>
      <c r="GD78" s="454"/>
      <c r="GE78" s="454"/>
      <c r="GF78" s="454"/>
      <c r="GG78" s="454"/>
      <c r="GH78" s="454"/>
      <c r="GI78" s="454"/>
      <c r="GJ78" s="454"/>
      <c r="GK78" s="454"/>
      <c r="GL78" s="454"/>
      <c r="GM78" s="454"/>
      <c r="GN78" s="454"/>
      <c r="GO78" s="454"/>
      <c r="GP78" s="454"/>
      <c r="GQ78" s="454"/>
      <c r="GR78" s="454"/>
      <c r="GS78" s="454"/>
      <c r="GT78" s="454"/>
      <c r="GU78" s="454"/>
      <c r="GV78" s="454"/>
      <c r="GW78" s="454"/>
      <c r="GX78" s="454"/>
      <c r="GY78" s="454"/>
      <c r="GZ78" s="454"/>
      <c r="HA78" s="454"/>
      <c r="HB78" s="454"/>
      <c r="HC78" s="454"/>
      <c r="HD78" s="454"/>
      <c r="HE78" s="454"/>
      <c r="HF78" s="454"/>
      <c r="HG78" s="454"/>
      <c r="HH78" s="454"/>
      <c r="HI78" s="454"/>
      <c r="HJ78" s="454"/>
      <c r="HK78" s="454"/>
      <c r="HL78" s="454"/>
      <c r="HM78" s="454"/>
      <c r="HN78" s="454"/>
      <c r="HO78" s="454"/>
      <c r="HP78" s="454"/>
      <c r="HQ78" s="454"/>
      <c r="HR78" s="454"/>
      <c r="HS78" s="454"/>
      <c r="HT78" s="454"/>
      <c r="HU78" s="454"/>
      <c r="HV78" s="454"/>
      <c r="HW78" s="454"/>
      <c r="HX78" s="454"/>
      <c r="HY78" s="454"/>
      <c r="HZ78" s="454"/>
      <c r="IA78" s="454"/>
      <c r="IB78" s="454"/>
      <c r="IC78" s="454"/>
      <c r="ID78" s="454"/>
      <c r="IE78" s="454"/>
      <c r="IF78" s="454"/>
      <c r="IG78" s="454"/>
      <c r="IH78" s="454"/>
      <c r="II78" s="454"/>
      <c r="IJ78" s="454"/>
      <c r="IK78" s="454"/>
      <c r="IL78" s="454"/>
      <c r="IM78" s="454"/>
      <c r="IN78" s="454"/>
      <c r="IO78" s="454"/>
      <c r="IP78" s="454"/>
      <c r="IQ78" s="454"/>
      <c r="IR78" s="454"/>
    </row>
    <row r="79" spans="1:252" s="456" customFormat="1" ht="12" customHeight="1">
      <c r="A79" s="467" t="s">
        <v>217</v>
      </c>
      <c r="B79" s="462">
        <f>Assumptions!I50</f>
        <v>1.5E-3</v>
      </c>
      <c r="C79" s="462">
        <f>Assumptions!$I$51</f>
        <v>1E-3</v>
      </c>
      <c r="D79" s="462">
        <f>Assumptions!$I$51</f>
        <v>1E-3</v>
      </c>
      <c r="E79" s="462">
        <f>Assumptions!$I$51</f>
        <v>1E-3</v>
      </c>
      <c r="F79" s="462">
        <f>Assumptions!$I$51</f>
        <v>1E-3</v>
      </c>
      <c r="G79" s="462">
        <f>Assumptions!$I$51</f>
        <v>1E-3</v>
      </c>
      <c r="H79" s="462">
        <f>Assumptions!$I$51</f>
        <v>1E-3</v>
      </c>
      <c r="I79" s="462">
        <f>Assumptions!$I$51</f>
        <v>1E-3</v>
      </c>
      <c r="J79" s="462">
        <f>Assumptions!$I$51</f>
        <v>1E-3</v>
      </c>
      <c r="K79" s="462">
        <f>Assumptions!$I$51</f>
        <v>1E-3</v>
      </c>
      <c r="L79" s="462">
        <f>Assumptions!$I$51</f>
        <v>1E-3</v>
      </c>
      <c r="M79" s="462">
        <f>Assumptions!$I$51</f>
        <v>1E-3</v>
      </c>
      <c r="N79" s="462">
        <f>Assumptions!$I$51</f>
        <v>1E-3</v>
      </c>
      <c r="O79" s="462">
        <f>Assumptions!$I$51</f>
        <v>1E-3</v>
      </c>
      <c r="P79" s="462">
        <f>Assumptions!$I$51</f>
        <v>1E-3</v>
      </c>
      <c r="Q79" s="462">
        <f>Assumptions!$I$51</f>
        <v>1E-3</v>
      </c>
      <c r="R79" s="462">
        <f>Assumptions!$I$51</f>
        <v>1E-3</v>
      </c>
      <c r="S79" s="462">
        <f>Assumptions!$I$51</f>
        <v>1E-3</v>
      </c>
      <c r="T79" s="462">
        <f>Assumptions!$I$51</f>
        <v>1E-3</v>
      </c>
      <c r="U79" s="462">
        <f>Assumptions!$I$51</f>
        <v>1E-3</v>
      </c>
      <c r="V79" s="462"/>
      <c r="W79" s="462"/>
      <c r="X79" s="462"/>
      <c r="Y79" s="462"/>
      <c r="Z79" s="453"/>
      <c r="AA79" s="454"/>
      <c r="AB79" s="454"/>
      <c r="AC79" s="454"/>
      <c r="AD79" s="454"/>
      <c r="AE79" s="454"/>
      <c r="AF79" s="454"/>
      <c r="AG79" s="454"/>
      <c r="AH79" s="454"/>
      <c r="AI79" s="454"/>
      <c r="AJ79" s="454"/>
      <c r="AK79" s="454"/>
      <c r="AL79" s="454"/>
      <c r="AM79" s="454"/>
      <c r="AN79" s="454"/>
      <c r="AO79" s="454"/>
      <c r="AP79" s="454"/>
      <c r="AQ79" s="454"/>
      <c r="AR79" s="454"/>
      <c r="AS79" s="454"/>
      <c r="AT79" s="454"/>
      <c r="AU79" s="454"/>
      <c r="AV79" s="454"/>
      <c r="AW79" s="454"/>
      <c r="AX79" s="454"/>
      <c r="AY79" s="454"/>
      <c r="AZ79" s="454"/>
      <c r="BA79" s="454"/>
      <c r="BB79" s="454"/>
      <c r="BC79" s="454"/>
      <c r="BD79" s="454"/>
      <c r="BE79" s="454"/>
      <c r="BF79" s="454"/>
      <c r="BG79" s="454"/>
      <c r="BH79" s="454"/>
      <c r="BI79" s="454"/>
      <c r="BJ79" s="454"/>
      <c r="BK79" s="454"/>
      <c r="BL79" s="454"/>
      <c r="BM79" s="454"/>
      <c r="BN79" s="454"/>
      <c r="BO79" s="454"/>
      <c r="BP79" s="454"/>
      <c r="BQ79" s="454"/>
      <c r="BR79" s="454"/>
      <c r="BS79" s="454"/>
      <c r="BT79" s="454"/>
      <c r="BU79" s="454"/>
      <c r="BV79" s="454"/>
      <c r="BW79" s="454"/>
      <c r="BX79" s="454"/>
      <c r="BY79" s="454"/>
      <c r="BZ79" s="454"/>
      <c r="CA79" s="454"/>
      <c r="CB79" s="454"/>
      <c r="CC79" s="454"/>
      <c r="CD79" s="454"/>
      <c r="CE79" s="454"/>
      <c r="CF79" s="454"/>
      <c r="CG79" s="454"/>
      <c r="CH79" s="454"/>
      <c r="CI79" s="454"/>
      <c r="CJ79" s="454"/>
      <c r="CK79" s="454"/>
      <c r="CL79" s="454"/>
      <c r="CM79" s="454"/>
      <c r="CN79" s="454"/>
      <c r="CO79" s="454"/>
      <c r="CP79" s="454"/>
      <c r="CQ79" s="454"/>
      <c r="CR79" s="454"/>
      <c r="CS79" s="454"/>
      <c r="CT79" s="454"/>
      <c r="CU79" s="454"/>
      <c r="CV79" s="454"/>
      <c r="CW79" s="454"/>
      <c r="CX79" s="454"/>
      <c r="CY79" s="454"/>
      <c r="CZ79" s="454"/>
      <c r="DA79" s="454"/>
      <c r="DB79" s="454"/>
      <c r="DC79" s="454"/>
      <c r="DD79" s="454"/>
      <c r="DE79" s="454"/>
      <c r="DF79" s="454"/>
      <c r="DG79" s="454"/>
      <c r="DH79" s="454"/>
      <c r="DI79" s="454"/>
      <c r="DJ79" s="454"/>
      <c r="DK79" s="454"/>
      <c r="DL79" s="454"/>
      <c r="DM79" s="454"/>
      <c r="DN79" s="454"/>
      <c r="DO79" s="454"/>
      <c r="DP79" s="454"/>
      <c r="DQ79" s="454"/>
      <c r="DR79" s="454"/>
      <c r="DS79" s="454"/>
      <c r="DT79" s="454"/>
      <c r="DU79" s="454"/>
      <c r="DV79" s="454"/>
      <c r="DW79" s="454"/>
      <c r="DX79" s="454"/>
      <c r="DY79" s="454"/>
      <c r="DZ79" s="454"/>
      <c r="EA79" s="454"/>
      <c r="EB79" s="454"/>
      <c r="EC79" s="454"/>
      <c r="ED79" s="454"/>
      <c r="EE79" s="454"/>
      <c r="EF79" s="454"/>
      <c r="EG79" s="454"/>
      <c r="EH79" s="454"/>
      <c r="EI79" s="454"/>
      <c r="EJ79" s="454"/>
      <c r="EK79" s="454"/>
      <c r="EL79" s="454"/>
      <c r="EM79" s="454"/>
      <c r="EN79" s="454"/>
      <c r="EO79" s="454"/>
      <c r="EP79" s="454"/>
      <c r="EQ79" s="454"/>
      <c r="ER79" s="454"/>
      <c r="ES79" s="454"/>
      <c r="ET79" s="454"/>
      <c r="EU79" s="454"/>
      <c r="EV79" s="454"/>
      <c r="EW79" s="454"/>
      <c r="EX79" s="454"/>
      <c r="EY79" s="454"/>
      <c r="EZ79" s="454"/>
      <c r="FA79" s="454"/>
      <c r="FB79" s="454"/>
      <c r="FC79" s="454"/>
      <c r="FD79" s="454"/>
      <c r="FE79" s="454"/>
      <c r="FF79" s="454"/>
      <c r="FG79" s="454"/>
      <c r="FH79" s="454"/>
      <c r="FI79" s="454"/>
      <c r="FJ79" s="454"/>
      <c r="FK79" s="454"/>
      <c r="FL79" s="454"/>
      <c r="FM79" s="454"/>
      <c r="FN79" s="454"/>
      <c r="FO79" s="454"/>
      <c r="FP79" s="454"/>
      <c r="FQ79" s="454"/>
      <c r="FR79" s="454"/>
      <c r="FS79" s="454"/>
      <c r="FT79" s="454"/>
      <c r="FU79" s="454"/>
      <c r="FV79" s="454"/>
      <c r="FW79" s="454"/>
      <c r="FX79" s="454"/>
      <c r="FY79" s="454"/>
      <c r="FZ79" s="454"/>
      <c r="GA79" s="454"/>
      <c r="GB79" s="454"/>
      <c r="GC79" s="454"/>
      <c r="GD79" s="454"/>
      <c r="GE79" s="454"/>
      <c r="GF79" s="454"/>
      <c r="GG79" s="454"/>
      <c r="GH79" s="454"/>
      <c r="GI79" s="454"/>
      <c r="GJ79" s="454"/>
      <c r="GK79" s="454"/>
      <c r="GL79" s="454"/>
      <c r="GM79" s="454"/>
      <c r="GN79" s="454"/>
      <c r="GO79" s="454"/>
      <c r="GP79" s="454"/>
      <c r="GQ79" s="454"/>
      <c r="GR79" s="454"/>
      <c r="GS79" s="454"/>
      <c r="GT79" s="454"/>
      <c r="GU79" s="454"/>
      <c r="GV79" s="454"/>
      <c r="GW79" s="454"/>
      <c r="GX79" s="454"/>
      <c r="GY79" s="454"/>
      <c r="GZ79" s="454"/>
      <c r="HA79" s="454"/>
      <c r="HB79" s="454"/>
      <c r="HC79" s="454"/>
      <c r="HD79" s="454"/>
      <c r="HE79" s="454"/>
      <c r="HF79" s="454"/>
      <c r="HG79" s="454"/>
      <c r="HH79" s="454"/>
      <c r="HI79" s="454"/>
      <c r="HJ79" s="454"/>
      <c r="HK79" s="454"/>
      <c r="HL79" s="454"/>
      <c r="HM79" s="454"/>
      <c r="HN79" s="454"/>
      <c r="HO79" s="454"/>
      <c r="HP79" s="454"/>
      <c r="HQ79" s="454"/>
      <c r="HR79" s="454"/>
      <c r="HS79" s="454"/>
      <c r="HT79" s="454"/>
      <c r="HU79" s="454"/>
      <c r="HV79" s="454"/>
      <c r="HW79" s="454"/>
      <c r="HX79" s="454"/>
      <c r="HY79" s="454"/>
      <c r="HZ79" s="454"/>
      <c r="IA79" s="454"/>
      <c r="IB79" s="454"/>
      <c r="IC79" s="454"/>
      <c r="ID79" s="454"/>
      <c r="IE79" s="454"/>
      <c r="IF79" s="454"/>
      <c r="IG79" s="454"/>
      <c r="IH79" s="454"/>
      <c r="II79" s="454"/>
      <c r="IJ79" s="454"/>
      <c r="IK79" s="454"/>
      <c r="IL79" s="454"/>
      <c r="IM79" s="454"/>
      <c r="IN79" s="454"/>
      <c r="IO79" s="454"/>
    </row>
    <row r="80" spans="1:252" s="456" customFormat="1" ht="12" customHeight="1">
      <c r="A80" s="329" t="s">
        <v>218</v>
      </c>
      <c r="B80" s="463">
        <f>B78*B79</f>
        <v>221.61970481372276</v>
      </c>
      <c r="C80" s="463">
        <f t="shared" ref="C80:U80" si="20">C78*C79</f>
        <v>147.74646987581519</v>
      </c>
      <c r="D80" s="463">
        <f t="shared" si="20"/>
        <v>147.74646987581519</v>
      </c>
      <c r="E80" s="463">
        <f t="shared" si="20"/>
        <v>147.74646987581519</v>
      </c>
      <c r="F80" s="463">
        <f t="shared" si="20"/>
        <v>147.74646987581519</v>
      </c>
      <c r="G80" s="463">
        <f t="shared" si="20"/>
        <v>147.74646987581519</v>
      </c>
      <c r="H80" s="463">
        <f t="shared" si="20"/>
        <v>147.74646987581519</v>
      </c>
      <c r="I80" s="463">
        <f t="shared" si="20"/>
        <v>147.74646987581519</v>
      </c>
      <c r="J80" s="463">
        <f t="shared" si="20"/>
        <v>147.74646987581519</v>
      </c>
      <c r="K80" s="463">
        <f t="shared" si="20"/>
        <v>147.74646987581519</v>
      </c>
      <c r="L80" s="463">
        <f t="shared" si="20"/>
        <v>147.74646987581519</v>
      </c>
      <c r="M80" s="463">
        <f t="shared" si="20"/>
        <v>147.74646987581519</v>
      </c>
      <c r="N80" s="463">
        <f t="shared" si="20"/>
        <v>147.74646987581519</v>
      </c>
      <c r="O80" s="463">
        <f t="shared" si="20"/>
        <v>147.74646987581519</v>
      </c>
      <c r="P80" s="463">
        <f t="shared" si="20"/>
        <v>147.74646987581519</v>
      </c>
      <c r="Q80" s="463">
        <f t="shared" si="20"/>
        <v>147.74646987581519</v>
      </c>
      <c r="R80" s="463">
        <f t="shared" si="20"/>
        <v>147.74646987581519</v>
      </c>
      <c r="S80" s="463">
        <f t="shared" si="20"/>
        <v>147.74646987581519</v>
      </c>
      <c r="T80" s="463">
        <f t="shared" si="20"/>
        <v>147.74646987581519</v>
      </c>
      <c r="U80" s="463">
        <f t="shared" si="20"/>
        <v>147.74646987581519</v>
      </c>
      <c r="V80" s="463"/>
      <c r="W80" s="463"/>
      <c r="X80" s="463"/>
      <c r="Y80" s="463"/>
      <c r="Z80" s="453"/>
      <c r="AA80" s="454"/>
      <c r="AB80" s="454"/>
      <c r="AC80" s="454"/>
      <c r="AD80" s="454"/>
      <c r="AE80" s="454"/>
      <c r="AF80" s="454"/>
      <c r="AG80" s="454"/>
      <c r="AH80" s="454"/>
      <c r="AI80" s="454"/>
      <c r="AJ80" s="454"/>
      <c r="AK80" s="454"/>
      <c r="AL80" s="454"/>
      <c r="AM80" s="454"/>
      <c r="AN80" s="454"/>
      <c r="AO80" s="454"/>
      <c r="AP80" s="454"/>
      <c r="AQ80" s="454"/>
      <c r="AR80" s="454"/>
      <c r="AS80" s="454"/>
      <c r="AT80" s="454"/>
      <c r="AU80" s="454"/>
      <c r="AV80" s="454"/>
      <c r="AW80" s="454"/>
      <c r="AX80" s="454"/>
      <c r="AY80" s="454"/>
      <c r="AZ80" s="454"/>
      <c r="BA80" s="454"/>
      <c r="BB80" s="454"/>
      <c r="BC80" s="454"/>
      <c r="BD80" s="454"/>
      <c r="BE80" s="454"/>
      <c r="BF80" s="454"/>
      <c r="BG80" s="454"/>
      <c r="BH80" s="454"/>
      <c r="BI80" s="454"/>
      <c r="BJ80" s="454"/>
      <c r="BK80" s="454"/>
      <c r="BL80" s="454"/>
      <c r="BM80" s="454"/>
      <c r="BN80" s="454"/>
      <c r="BO80" s="454"/>
      <c r="BP80" s="454"/>
      <c r="BQ80" s="454"/>
      <c r="BR80" s="454"/>
      <c r="BS80" s="454"/>
      <c r="BT80" s="454"/>
      <c r="BU80" s="454"/>
      <c r="BV80" s="454"/>
      <c r="BW80" s="454"/>
      <c r="BX80" s="454"/>
      <c r="BY80" s="454"/>
      <c r="BZ80" s="454"/>
      <c r="CA80" s="454"/>
      <c r="CB80" s="454"/>
      <c r="CC80" s="454"/>
      <c r="CD80" s="454"/>
      <c r="CE80" s="454"/>
      <c r="CF80" s="454"/>
      <c r="CG80" s="454"/>
      <c r="CH80" s="454"/>
      <c r="CI80" s="454"/>
      <c r="CJ80" s="454"/>
      <c r="CK80" s="454"/>
      <c r="CL80" s="454"/>
      <c r="CM80" s="454"/>
      <c r="CN80" s="454"/>
      <c r="CO80" s="454"/>
      <c r="CP80" s="454"/>
      <c r="CQ80" s="454"/>
      <c r="CR80" s="454"/>
      <c r="CS80" s="454"/>
      <c r="CT80" s="454"/>
      <c r="CU80" s="454"/>
      <c r="CV80" s="454"/>
      <c r="CW80" s="454"/>
      <c r="CX80" s="454"/>
      <c r="CY80" s="454"/>
      <c r="CZ80" s="454"/>
      <c r="DA80" s="454"/>
      <c r="DB80" s="454"/>
      <c r="DC80" s="454"/>
      <c r="DD80" s="454"/>
      <c r="DE80" s="454"/>
      <c r="DF80" s="454"/>
      <c r="DG80" s="454"/>
      <c r="DH80" s="454"/>
      <c r="DI80" s="454"/>
      <c r="DJ80" s="454"/>
      <c r="DK80" s="454"/>
      <c r="DL80" s="454"/>
      <c r="DM80" s="454"/>
      <c r="DN80" s="454"/>
      <c r="DO80" s="454"/>
      <c r="DP80" s="454"/>
      <c r="DQ80" s="454"/>
      <c r="DR80" s="454"/>
      <c r="DS80" s="454"/>
      <c r="DT80" s="454"/>
      <c r="DU80" s="454"/>
      <c r="DV80" s="454"/>
      <c r="DW80" s="454"/>
      <c r="DX80" s="454"/>
      <c r="DY80" s="454"/>
      <c r="DZ80" s="454"/>
      <c r="EA80" s="454"/>
      <c r="EB80" s="454"/>
      <c r="EC80" s="454"/>
      <c r="ED80" s="454"/>
      <c r="EE80" s="454"/>
      <c r="EF80" s="454"/>
      <c r="EG80" s="454"/>
      <c r="EH80" s="454"/>
      <c r="EI80" s="454"/>
      <c r="EJ80" s="454"/>
      <c r="EK80" s="454"/>
      <c r="EL80" s="454"/>
      <c r="EM80" s="454"/>
      <c r="EN80" s="454"/>
      <c r="EO80" s="454"/>
      <c r="EP80" s="454"/>
      <c r="EQ80" s="454"/>
      <c r="ER80" s="454"/>
      <c r="ES80" s="454"/>
      <c r="ET80" s="454"/>
      <c r="EU80" s="454"/>
      <c r="EV80" s="454"/>
      <c r="EW80" s="454"/>
      <c r="EX80" s="454"/>
      <c r="EY80" s="454"/>
      <c r="EZ80" s="454"/>
      <c r="FA80" s="454"/>
      <c r="FB80" s="454"/>
      <c r="FC80" s="454"/>
      <c r="FD80" s="454"/>
      <c r="FE80" s="454"/>
      <c r="FF80" s="454"/>
      <c r="FG80" s="454"/>
      <c r="FH80" s="454"/>
      <c r="FI80" s="454"/>
      <c r="FJ80" s="454"/>
      <c r="FK80" s="454"/>
      <c r="FL80" s="454"/>
      <c r="FM80" s="454"/>
      <c r="FN80" s="454"/>
      <c r="FO80" s="454"/>
      <c r="FP80" s="454"/>
      <c r="FQ80" s="454"/>
      <c r="FR80" s="454"/>
      <c r="FS80" s="454"/>
      <c r="FT80" s="454"/>
      <c r="FU80" s="454"/>
      <c r="FV80" s="454"/>
      <c r="FW80" s="454"/>
      <c r="FX80" s="454"/>
      <c r="FY80" s="454"/>
      <c r="FZ80" s="454"/>
      <c r="GA80" s="454"/>
      <c r="GB80" s="454"/>
      <c r="GC80" s="454"/>
      <c r="GD80" s="454"/>
      <c r="GE80" s="454"/>
      <c r="GF80" s="454"/>
      <c r="GG80" s="454"/>
      <c r="GH80" s="454"/>
      <c r="GI80" s="454"/>
      <c r="GJ80" s="454"/>
      <c r="GK80" s="454"/>
      <c r="GL80" s="454"/>
      <c r="GM80" s="454"/>
      <c r="GN80" s="454"/>
      <c r="GO80" s="454"/>
      <c r="GP80" s="454"/>
      <c r="GQ80" s="454"/>
      <c r="GR80" s="454"/>
      <c r="GS80" s="454"/>
      <c r="GT80" s="454"/>
      <c r="GU80" s="454"/>
      <c r="GV80" s="454"/>
      <c r="GW80" s="454"/>
      <c r="GX80" s="454"/>
      <c r="GY80" s="454"/>
      <c r="GZ80" s="454"/>
      <c r="HA80" s="454"/>
      <c r="HB80" s="454"/>
      <c r="HC80" s="454"/>
      <c r="HD80" s="454"/>
      <c r="HE80" s="454"/>
      <c r="HF80" s="454"/>
      <c r="HG80" s="454"/>
      <c r="HH80" s="454"/>
      <c r="HI80" s="454"/>
      <c r="HJ80" s="454"/>
      <c r="HK80" s="454"/>
      <c r="HL80" s="454"/>
      <c r="HM80" s="454"/>
      <c r="HN80" s="454"/>
      <c r="HO80" s="454"/>
      <c r="HP80" s="454"/>
      <c r="HQ80" s="454"/>
      <c r="HR80" s="454"/>
      <c r="HS80" s="454"/>
      <c r="HT80" s="454"/>
      <c r="HU80" s="454"/>
      <c r="HV80" s="454"/>
      <c r="HW80" s="454"/>
      <c r="HX80" s="454"/>
      <c r="HY80" s="454"/>
      <c r="HZ80" s="454"/>
      <c r="IA80" s="454"/>
      <c r="IB80" s="454"/>
      <c r="IC80" s="454"/>
      <c r="ID80" s="454"/>
      <c r="IE80" s="454"/>
      <c r="IF80" s="454"/>
      <c r="IG80" s="454"/>
      <c r="IH80" s="454"/>
      <c r="II80" s="454"/>
      <c r="IJ80" s="454"/>
      <c r="IK80" s="454"/>
      <c r="IL80" s="454"/>
      <c r="IM80" s="454"/>
      <c r="IN80" s="454"/>
      <c r="IO80" s="454"/>
      <c r="IP80" s="454"/>
      <c r="IQ80" s="454"/>
    </row>
    <row r="81" spans="1:251" s="456" customFormat="1" ht="12" customHeight="1">
      <c r="A81" s="457"/>
      <c r="B81" s="457"/>
      <c r="C81" s="457"/>
      <c r="D81" s="458"/>
      <c r="E81" s="458"/>
      <c r="F81" s="458"/>
      <c r="G81" s="458"/>
      <c r="H81" s="458"/>
      <c r="I81" s="458"/>
      <c r="J81" s="458"/>
      <c r="K81" s="458"/>
      <c r="L81" s="458"/>
      <c r="M81" s="458"/>
      <c r="N81" s="458"/>
      <c r="O81" s="458"/>
      <c r="P81" s="458"/>
      <c r="Q81" s="458"/>
      <c r="R81" s="458"/>
      <c r="S81" s="458"/>
      <c r="T81" s="458"/>
      <c r="U81" s="458"/>
      <c r="V81" s="458"/>
      <c r="W81" s="458"/>
      <c r="X81" s="458"/>
      <c r="Y81" s="458"/>
      <c r="Z81" s="453"/>
      <c r="AA81" s="454"/>
      <c r="AB81" s="454"/>
      <c r="AC81" s="454"/>
      <c r="AD81" s="454"/>
      <c r="AE81" s="454"/>
      <c r="AF81" s="454"/>
      <c r="AG81" s="454"/>
      <c r="AH81" s="454"/>
      <c r="AI81" s="454"/>
      <c r="AJ81" s="454"/>
      <c r="AK81" s="454"/>
      <c r="AL81" s="454"/>
      <c r="AM81" s="454"/>
      <c r="AN81" s="454"/>
      <c r="AO81" s="454"/>
      <c r="AP81" s="454"/>
      <c r="AQ81" s="454"/>
      <c r="AR81" s="454"/>
      <c r="AS81" s="454"/>
      <c r="AT81" s="454"/>
      <c r="AU81" s="454"/>
      <c r="AV81" s="454"/>
      <c r="AW81" s="454"/>
      <c r="AX81" s="454"/>
      <c r="AY81" s="454"/>
      <c r="AZ81" s="454"/>
      <c r="BA81" s="454"/>
      <c r="BB81" s="454"/>
      <c r="BC81" s="454"/>
      <c r="BD81" s="454"/>
      <c r="BE81" s="454"/>
      <c r="BF81" s="454"/>
      <c r="BG81" s="454"/>
      <c r="BH81" s="454"/>
      <c r="BI81" s="454"/>
      <c r="BJ81" s="454"/>
      <c r="BK81" s="454"/>
      <c r="BL81" s="454"/>
      <c r="BM81" s="454"/>
      <c r="BN81" s="454"/>
      <c r="BO81" s="454"/>
      <c r="BP81" s="454"/>
      <c r="BQ81" s="454"/>
      <c r="BR81" s="454"/>
      <c r="BS81" s="454"/>
      <c r="BT81" s="454"/>
      <c r="BU81" s="454"/>
      <c r="BV81" s="454"/>
      <c r="BW81" s="454"/>
      <c r="BX81" s="454"/>
      <c r="BY81" s="454"/>
      <c r="BZ81" s="454"/>
      <c r="CA81" s="454"/>
      <c r="CB81" s="454"/>
      <c r="CC81" s="454"/>
      <c r="CD81" s="454"/>
      <c r="CE81" s="454"/>
      <c r="CF81" s="454"/>
      <c r="CG81" s="454"/>
      <c r="CH81" s="454"/>
      <c r="CI81" s="454"/>
      <c r="CJ81" s="454"/>
      <c r="CK81" s="454"/>
      <c r="CL81" s="454"/>
      <c r="CM81" s="454"/>
      <c r="CN81" s="454"/>
      <c r="CO81" s="454"/>
      <c r="CP81" s="454"/>
      <c r="CQ81" s="454"/>
      <c r="CR81" s="454"/>
      <c r="CS81" s="454"/>
      <c r="CT81" s="454"/>
      <c r="CU81" s="454"/>
      <c r="CV81" s="454"/>
      <c r="CW81" s="454"/>
      <c r="CX81" s="454"/>
      <c r="CY81" s="454"/>
      <c r="CZ81" s="454"/>
      <c r="DA81" s="454"/>
      <c r="DB81" s="454"/>
      <c r="DC81" s="454"/>
      <c r="DD81" s="454"/>
      <c r="DE81" s="454"/>
      <c r="DF81" s="454"/>
      <c r="DG81" s="454"/>
      <c r="DH81" s="454"/>
      <c r="DI81" s="454"/>
      <c r="DJ81" s="454"/>
      <c r="DK81" s="454"/>
      <c r="DL81" s="454"/>
      <c r="DM81" s="454"/>
      <c r="DN81" s="454"/>
      <c r="DO81" s="454"/>
      <c r="DP81" s="454"/>
      <c r="DQ81" s="454"/>
      <c r="DR81" s="454"/>
      <c r="DS81" s="454"/>
      <c r="DT81" s="454"/>
      <c r="DU81" s="454"/>
      <c r="DV81" s="454"/>
      <c r="DW81" s="454"/>
      <c r="DX81" s="454"/>
      <c r="DY81" s="454"/>
      <c r="DZ81" s="454"/>
      <c r="EA81" s="454"/>
      <c r="EB81" s="454"/>
      <c r="EC81" s="454"/>
      <c r="ED81" s="454"/>
      <c r="EE81" s="454"/>
      <c r="EF81" s="454"/>
      <c r="EG81" s="454"/>
      <c r="EH81" s="454"/>
      <c r="EI81" s="454"/>
      <c r="EJ81" s="454"/>
      <c r="EK81" s="454"/>
      <c r="EL81" s="454"/>
      <c r="EM81" s="454"/>
      <c r="EN81" s="454"/>
      <c r="EO81" s="454"/>
      <c r="EP81" s="454"/>
      <c r="EQ81" s="454"/>
      <c r="ER81" s="454"/>
      <c r="ES81" s="454"/>
      <c r="ET81" s="454"/>
      <c r="EU81" s="454"/>
      <c r="EV81" s="454"/>
      <c r="EW81" s="454"/>
      <c r="EX81" s="454"/>
      <c r="EY81" s="454"/>
      <c r="EZ81" s="454"/>
      <c r="FA81" s="454"/>
      <c r="FB81" s="454"/>
      <c r="FC81" s="454"/>
      <c r="FD81" s="454"/>
      <c r="FE81" s="454"/>
      <c r="FF81" s="454"/>
      <c r="FG81" s="454"/>
      <c r="FH81" s="454"/>
      <c r="FI81" s="454"/>
      <c r="FJ81" s="454"/>
      <c r="FK81" s="454"/>
      <c r="FL81" s="454"/>
      <c r="FM81" s="454"/>
      <c r="FN81" s="454"/>
      <c r="FO81" s="454"/>
      <c r="FP81" s="454"/>
      <c r="FQ81" s="454"/>
      <c r="FR81" s="454"/>
      <c r="FS81" s="454"/>
      <c r="FT81" s="454"/>
      <c r="FU81" s="454"/>
      <c r="FV81" s="454"/>
      <c r="FW81" s="454"/>
      <c r="FX81" s="454"/>
      <c r="FY81" s="454"/>
      <c r="FZ81" s="454"/>
      <c r="GA81" s="454"/>
      <c r="GB81" s="454"/>
      <c r="GC81" s="454"/>
      <c r="GD81" s="454"/>
      <c r="GE81" s="454"/>
      <c r="GF81" s="454"/>
      <c r="GG81" s="454"/>
      <c r="GH81" s="454"/>
      <c r="GI81" s="454"/>
      <c r="GJ81" s="454"/>
      <c r="GK81" s="454"/>
      <c r="GL81" s="454"/>
      <c r="GM81" s="454"/>
      <c r="GN81" s="454"/>
      <c r="GO81" s="454"/>
      <c r="GP81" s="454"/>
      <c r="GQ81" s="454"/>
      <c r="GR81" s="454"/>
      <c r="GS81" s="454"/>
      <c r="GT81" s="454"/>
      <c r="GU81" s="454"/>
      <c r="GV81" s="454"/>
      <c r="GW81" s="454"/>
      <c r="GX81" s="454"/>
      <c r="GY81" s="454"/>
      <c r="GZ81" s="454"/>
      <c r="HA81" s="454"/>
      <c r="HB81" s="454"/>
      <c r="HC81" s="454"/>
      <c r="HD81" s="454"/>
      <c r="HE81" s="454"/>
      <c r="HF81" s="454"/>
      <c r="HG81" s="454"/>
      <c r="HH81" s="454"/>
      <c r="HI81" s="454"/>
      <c r="HJ81" s="454"/>
      <c r="HK81" s="454"/>
      <c r="HL81" s="454"/>
      <c r="HM81" s="454"/>
      <c r="HN81" s="454"/>
      <c r="HO81" s="454"/>
      <c r="HP81" s="454"/>
      <c r="HQ81" s="454"/>
      <c r="HR81" s="454"/>
      <c r="HS81" s="454"/>
      <c r="HT81" s="454"/>
      <c r="HU81" s="454"/>
      <c r="HV81" s="454"/>
      <c r="HW81" s="454"/>
      <c r="HX81" s="454"/>
      <c r="HY81" s="454"/>
      <c r="HZ81" s="454"/>
      <c r="IA81" s="454"/>
      <c r="IB81" s="454"/>
      <c r="IC81" s="454"/>
      <c r="ID81" s="454"/>
      <c r="IE81" s="454"/>
      <c r="IF81" s="454"/>
      <c r="IG81" s="454"/>
      <c r="IH81" s="454"/>
      <c r="II81" s="454"/>
      <c r="IJ81" s="454"/>
      <c r="IK81" s="454"/>
      <c r="IL81" s="454"/>
      <c r="IM81" s="454"/>
      <c r="IN81" s="454"/>
      <c r="IO81" s="454"/>
      <c r="IP81" s="454"/>
      <c r="IQ81" s="454"/>
    </row>
    <row r="82" spans="1:251" s="456" customFormat="1" ht="12" customHeight="1">
      <c r="A82" s="457"/>
      <c r="B82" s="457"/>
      <c r="C82" s="457"/>
      <c r="D82" s="458"/>
      <c r="E82" s="458"/>
      <c r="F82" s="458"/>
      <c r="G82" s="458"/>
      <c r="H82" s="458"/>
      <c r="I82" s="458"/>
      <c r="J82" s="458"/>
      <c r="K82" s="458"/>
      <c r="L82" s="458"/>
      <c r="M82" s="458"/>
      <c r="N82" s="458"/>
      <c r="O82" s="458"/>
      <c r="P82" s="458"/>
      <c r="Q82" s="458"/>
      <c r="R82" s="458"/>
      <c r="S82" s="458"/>
      <c r="T82" s="458"/>
      <c r="U82" s="458"/>
      <c r="V82" s="458"/>
      <c r="W82" s="458"/>
      <c r="X82" s="458"/>
      <c r="Y82" s="458"/>
      <c r="Z82" s="453"/>
      <c r="AA82" s="454"/>
      <c r="AB82" s="454"/>
      <c r="AC82" s="454"/>
      <c r="AD82" s="454"/>
      <c r="AE82" s="454"/>
      <c r="AF82" s="454"/>
      <c r="AG82" s="454"/>
      <c r="AH82" s="454"/>
      <c r="AI82" s="454"/>
      <c r="AJ82" s="454"/>
      <c r="AK82" s="454"/>
      <c r="AL82" s="454"/>
      <c r="AM82" s="454"/>
      <c r="AN82" s="454"/>
      <c r="AO82" s="454"/>
      <c r="AP82" s="454"/>
      <c r="AQ82" s="454"/>
      <c r="AR82" s="454"/>
      <c r="AS82" s="454"/>
      <c r="AT82" s="454"/>
      <c r="AU82" s="454"/>
      <c r="AV82" s="454"/>
      <c r="AW82" s="454"/>
      <c r="AX82" s="454"/>
      <c r="AY82" s="454"/>
      <c r="AZ82" s="454"/>
      <c r="BA82" s="454"/>
      <c r="BB82" s="454"/>
      <c r="BC82" s="454"/>
      <c r="BD82" s="454"/>
      <c r="BE82" s="454"/>
      <c r="BF82" s="454"/>
      <c r="BG82" s="454"/>
      <c r="BH82" s="454"/>
      <c r="BI82" s="454"/>
      <c r="BJ82" s="454"/>
      <c r="BK82" s="454"/>
      <c r="BL82" s="454"/>
      <c r="BM82" s="454"/>
      <c r="BN82" s="454"/>
      <c r="BO82" s="454"/>
      <c r="BP82" s="454"/>
      <c r="BQ82" s="454"/>
      <c r="BR82" s="454"/>
      <c r="BS82" s="454"/>
      <c r="BT82" s="454"/>
      <c r="BU82" s="454"/>
      <c r="BV82" s="454"/>
      <c r="BW82" s="454"/>
      <c r="BX82" s="454"/>
      <c r="BY82" s="454"/>
      <c r="BZ82" s="454"/>
      <c r="CA82" s="454"/>
      <c r="CB82" s="454"/>
      <c r="CC82" s="454"/>
      <c r="CD82" s="454"/>
      <c r="CE82" s="454"/>
      <c r="CF82" s="454"/>
      <c r="CG82" s="454"/>
      <c r="CH82" s="454"/>
      <c r="CI82" s="454"/>
      <c r="CJ82" s="454"/>
      <c r="CK82" s="454"/>
      <c r="CL82" s="454"/>
      <c r="CM82" s="454"/>
      <c r="CN82" s="454"/>
      <c r="CO82" s="454"/>
      <c r="CP82" s="454"/>
      <c r="CQ82" s="454"/>
      <c r="CR82" s="454"/>
      <c r="CS82" s="454"/>
      <c r="CT82" s="454"/>
      <c r="CU82" s="454"/>
      <c r="CV82" s="454"/>
      <c r="CW82" s="454"/>
      <c r="CX82" s="454"/>
      <c r="CY82" s="454"/>
      <c r="CZ82" s="454"/>
      <c r="DA82" s="454"/>
      <c r="DB82" s="454"/>
      <c r="DC82" s="454"/>
      <c r="DD82" s="454"/>
      <c r="DE82" s="454"/>
      <c r="DF82" s="454"/>
      <c r="DG82" s="454"/>
      <c r="DH82" s="454"/>
      <c r="DI82" s="454"/>
      <c r="DJ82" s="454"/>
      <c r="DK82" s="454"/>
      <c r="DL82" s="454"/>
      <c r="DM82" s="454"/>
      <c r="DN82" s="454"/>
      <c r="DO82" s="454"/>
      <c r="DP82" s="454"/>
      <c r="DQ82" s="454"/>
      <c r="DR82" s="454"/>
      <c r="DS82" s="454"/>
      <c r="DT82" s="454"/>
      <c r="DU82" s="454"/>
      <c r="DV82" s="454"/>
      <c r="DW82" s="454"/>
      <c r="DX82" s="454"/>
      <c r="DY82" s="454"/>
      <c r="DZ82" s="454"/>
      <c r="EA82" s="454"/>
      <c r="EB82" s="454"/>
      <c r="EC82" s="454"/>
      <c r="ED82" s="454"/>
      <c r="EE82" s="454"/>
      <c r="EF82" s="454"/>
      <c r="EG82" s="454"/>
      <c r="EH82" s="454"/>
      <c r="EI82" s="454"/>
      <c r="EJ82" s="454"/>
      <c r="EK82" s="454"/>
      <c r="EL82" s="454"/>
      <c r="EM82" s="454"/>
      <c r="EN82" s="454"/>
      <c r="EO82" s="454"/>
      <c r="EP82" s="454"/>
      <c r="EQ82" s="454"/>
      <c r="ER82" s="454"/>
      <c r="ES82" s="454"/>
      <c r="ET82" s="454"/>
      <c r="EU82" s="454"/>
      <c r="EV82" s="454"/>
      <c r="EW82" s="454"/>
      <c r="EX82" s="454"/>
      <c r="EY82" s="454"/>
      <c r="EZ82" s="454"/>
      <c r="FA82" s="454"/>
      <c r="FB82" s="454"/>
      <c r="FC82" s="454"/>
      <c r="FD82" s="454"/>
      <c r="FE82" s="454"/>
      <c r="FF82" s="454"/>
      <c r="FG82" s="454"/>
      <c r="FH82" s="454"/>
      <c r="FI82" s="454"/>
      <c r="FJ82" s="454"/>
      <c r="FK82" s="454"/>
      <c r="FL82" s="454"/>
      <c r="FM82" s="454"/>
      <c r="FN82" s="454"/>
      <c r="FO82" s="454"/>
      <c r="FP82" s="454"/>
      <c r="FQ82" s="454"/>
      <c r="FR82" s="454"/>
      <c r="FS82" s="454"/>
      <c r="FT82" s="454"/>
      <c r="FU82" s="454"/>
      <c r="FV82" s="454"/>
      <c r="FW82" s="454"/>
      <c r="FX82" s="454"/>
      <c r="FY82" s="454"/>
      <c r="FZ82" s="454"/>
      <c r="GA82" s="454"/>
      <c r="GB82" s="454"/>
      <c r="GC82" s="454"/>
      <c r="GD82" s="454"/>
      <c r="GE82" s="454"/>
      <c r="GF82" s="454"/>
      <c r="GG82" s="454"/>
      <c r="GH82" s="454"/>
      <c r="GI82" s="454"/>
      <c r="GJ82" s="454"/>
      <c r="GK82" s="454"/>
      <c r="GL82" s="454"/>
      <c r="GM82" s="454"/>
      <c r="GN82" s="454"/>
      <c r="GO82" s="454"/>
      <c r="GP82" s="454"/>
      <c r="GQ82" s="454"/>
      <c r="GR82" s="454"/>
      <c r="GS82" s="454"/>
      <c r="GT82" s="454"/>
      <c r="GU82" s="454"/>
      <c r="GV82" s="454"/>
      <c r="GW82" s="454"/>
      <c r="GX82" s="454"/>
      <c r="GY82" s="454"/>
      <c r="GZ82" s="454"/>
      <c r="HA82" s="454"/>
      <c r="HB82" s="454"/>
      <c r="HC82" s="454"/>
      <c r="HD82" s="454"/>
      <c r="HE82" s="454"/>
      <c r="HF82" s="454"/>
      <c r="HG82" s="454"/>
      <c r="HH82" s="454"/>
      <c r="HI82" s="454"/>
      <c r="HJ82" s="454"/>
      <c r="HK82" s="454"/>
      <c r="HL82" s="454"/>
      <c r="HM82" s="454"/>
      <c r="HN82" s="454"/>
      <c r="HO82" s="454"/>
      <c r="HP82" s="454"/>
      <c r="HQ82" s="454"/>
      <c r="HR82" s="454"/>
      <c r="HS82" s="454"/>
      <c r="HT82" s="454"/>
      <c r="HU82" s="454"/>
      <c r="HV82" s="454"/>
      <c r="HW82" s="454"/>
      <c r="HX82" s="454"/>
      <c r="HY82" s="454"/>
      <c r="HZ82" s="454"/>
      <c r="IA82" s="454"/>
      <c r="IB82" s="454"/>
      <c r="IC82" s="454"/>
      <c r="ID82" s="454"/>
      <c r="IE82" s="454"/>
      <c r="IF82" s="454"/>
      <c r="IG82" s="454"/>
      <c r="IH82" s="454"/>
      <c r="II82" s="454"/>
      <c r="IJ82" s="454"/>
      <c r="IK82" s="454"/>
      <c r="IL82" s="454"/>
      <c r="IM82" s="454"/>
      <c r="IN82" s="454"/>
      <c r="IO82" s="454"/>
      <c r="IP82" s="454"/>
      <c r="IQ82" s="454"/>
    </row>
    <row r="83" spans="1:251" s="456" customFormat="1" ht="12" customHeight="1">
      <c r="A83" s="231" t="s">
        <v>93</v>
      </c>
      <c r="B83" s="457"/>
      <c r="C83" s="457"/>
      <c r="D83" s="458"/>
      <c r="E83" s="458"/>
      <c r="F83" s="458"/>
      <c r="G83" s="458"/>
      <c r="H83" s="458"/>
      <c r="I83" s="458"/>
      <c r="J83" s="458"/>
      <c r="K83" s="458"/>
      <c r="L83" s="458"/>
      <c r="M83" s="458"/>
      <c r="N83" s="458"/>
      <c r="O83" s="458"/>
      <c r="P83" s="458"/>
      <c r="Q83" s="458"/>
      <c r="R83" s="458"/>
      <c r="S83" s="458"/>
      <c r="T83" s="458"/>
      <c r="U83" s="458"/>
      <c r="V83" s="458"/>
      <c r="W83" s="458"/>
      <c r="X83" s="458"/>
      <c r="Y83" s="458"/>
      <c r="Z83" s="453"/>
      <c r="AA83" s="454"/>
      <c r="AB83" s="454"/>
      <c r="AC83" s="454"/>
      <c r="AD83" s="454"/>
      <c r="AE83" s="454"/>
      <c r="AF83" s="454"/>
      <c r="AG83" s="454"/>
      <c r="AH83" s="454"/>
      <c r="AI83" s="454"/>
      <c r="AJ83" s="454"/>
      <c r="AK83" s="454"/>
      <c r="AL83" s="454"/>
      <c r="AM83" s="454"/>
      <c r="AN83" s="454"/>
      <c r="AO83" s="454"/>
      <c r="AP83" s="454"/>
      <c r="AQ83" s="454"/>
      <c r="AR83" s="454"/>
      <c r="AS83" s="454"/>
      <c r="AT83" s="454"/>
      <c r="AU83" s="454"/>
      <c r="AV83" s="454"/>
      <c r="AW83" s="454"/>
      <c r="AX83" s="454"/>
      <c r="AY83" s="454"/>
      <c r="AZ83" s="454"/>
      <c r="BA83" s="454"/>
      <c r="BB83" s="454"/>
      <c r="BC83" s="454"/>
      <c r="BD83" s="454"/>
      <c r="BE83" s="454"/>
      <c r="BF83" s="454"/>
      <c r="BG83" s="454"/>
      <c r="BH83" s="454"/>
      <c r="BI83" s="454"/>
      <c r="BJ83" s="454"/>
      <c r="BK83" s="454"/>
      <c r="BL83" s="454"/>
      <c r="BM83" s="454"/>
      <c r="BN83" s="454"/>
      <c r="BO83" s="454"/>
      <c r="BP83" s="454"/>
      <c r="BQ83" s="454"/>
      <c r="BR83" s="454"/>
      <c r="BS83" s="454"/>
      <c r="BT83" s="454"/>
      <c r="BU83" s="454"/>
      <c r="BV83" s="454"/>
      <c r="BW83" s="454"/>
      <c r="BX83" s="454"/>
      <c r="BY83" s="454"/>
      <c r="BZ83" s="454"/>
      <c r="CA83" s="454"/>
      <c r="CB83" s="454"/>
      <c r="CC83" s="454"/>
      <c r="CD83" s="454"/>
      <c r="CE83" s="454"/>
      <c r="CF83" s="454"/>
      <c r="CG83" s="454"/>
      <c r="CH83" s="454"/>
      <c r="CI83" s="454"/>
      <c r="CJ83" s="454"/>
      <c r="CK83" s="454"/>
      <c r="CL83" s="454"/>
      <c r="CM83" s="454"/>
      <c r="CN83" s="454"/>
      <c r="CO83" s="454"/>
      <c r="CP83" s="454"/>
      <c r="CQ83" s="454"/>
      <c r="CR83" s="454"/>
      <c r="CS83" s="454"/>
      <c r="CT83" s="454"/>
      <c r="CU83" s="454"/>
      <c r="CV83" s="454"/>
      <c r="CW83" s="454"/>
      <c r="CX83" s="454"/>
      <c r="CY83" s="454"/>
      <c r="CZ83" s="454"/>
      <c r="DA83" s="454"/>
      <c r="DB83" s="454"/>
      <c r="DC83" s="454"/>
      <c r="DD83" s="454"/>
      <c r="DE83" s="454"/>
      <c r="DF83" s="454"/>
      <c r="DG83" s="454"/>
      <c r="DH83" s="454"/>
      <c r="DI83" s="454"/>
      <c r="DJ83" s="454"/>
      <c r="DK83" s="454"/>
      <c r="DL83" s="454"/>
      <c r="DM83" s="454"/>
      <c r="DN83" s="454"/>
      <c r="DO83" s="454"/>
      <c r="DP83" s="454"/>
      <c r="DQ83" s="454"/>
      <c r="DR83" s="454"/>
      <c r="DS83" s="454"/>
      <c r="DT83" s="454"/>
      <c r="DU83" s="454"/>
      <c r="DV83" s="454"/>
      <c r="DW83" s="454"/>
      <c r="DX83" s="454"/>
      <c r="DY83" s="454"/>
      <c r="DZ83" s="454"/>
      <c r="EA83" s="454"/>
      <c r="EB83" s="454"/>
      <c r="EC83" s="454"/>
      <c r="ED83" s="454"/>
      <c r="EE83" s="454"/>
      <c r="EF83" s="454"/>
      <c r="EG83" s="454"/>
      <c r="EH83" s="454"/>
      <c r="EI83" s="454"/>
      <c r="EJ83" s="454"/>
      <c r="EK83" s="454"/>
      <c r="EL83" s="454"/>
      <c r="EM83" s="454"/>
      <c r="EN83" s="454"/>
      <c r="EO83" s="454"/>
      <c r="EP83" s="454"/>
      <c r="EQ83" s="454"/>
      <c r="ER83" s="454"/>
      <c r="ES83" s="454"/>
      <c r="ET83" s="454"/>
      <c r="EU83" s="454"/>
      <c r="EV83" s="454"/>
      <c r="EW83" s="454"/>
      <c r="EX83" s="454"/>
      <c r="EY83" s="454"/>
      <c r="EZ83" s="454"/>
      <c r="FA83" s="454"/>
      <c r="FB83" s="454"/>
      <c r="FC83" s="454"/>
      <c r="FD83" s="454"/>
      <c r="FE83" s="454"/>
      <c r="FF83" s="454"/>
      <c r="FG83" s="454"/>
      <c r="FH83" s="454"/>
      <c r="FI83" s="454"/>
      <c r="FJ83" s="454"/>
      <c r="FK83" s="454"/>
      <c r="FL83" s="454"/>
      <c r="FM83" s="454"/>
      <c r="FN83" s="454"/>
      <c r="FO83" s="454"/>
      <c r="FP83" s="454"/>
      <c r="FQ83" s="454"/>
      <c r="FR83" s="454"/>
      <c r="FS83" s="454"/>
      <c r="FT83" s="454"/>
      <c r="FU83" s="454"/>
      <c r="FV83" s="454"/>
      <c r="FW83" s="454"/>
      <c r="FX83" s="454"/>
      <c r="FY83" s="454"/>
      <c r="FZ83" s="454"/>
      <c r="GA83" s="454"/>
      <c r="GB83" s="454"/>
      <c r="GC83" s="454"/>
      <c r="GD83" s="454"/>
      <c r="GE83" s="454"/>
      <c r="GF83" s="454"/>
      <c r="GG83" s="454"/>
      <c r="GH83" s="454"/>
      <c r="GI83" s="454"/>
      <c r="GJ83" s="454"/>
      <c r="GK83" s="454"/>
      <c r="GL83" s="454"/>
      <c r="GM83" s="454"/>
      <c r="GN83" s="454"/>
      <c r="GO83" s="454"/>
      <c r="GP83" s="454"/>
      <c r="GQ83" s="454"/>
      <c r="GR83" s="454"/>
      <c r="GS83" s="454"/>
      <c r="GT83" s="454"/>
      <c r="GU83" s="454"/>
      <c r="GV83" s="454"/>
      <c r="GW83" s="454"/>
      <c r="GX83" s="454"/>
      <c r="GY83" s="454"/>
      <c r="GZ83" s="454"/>
      <c r="HA83" s="454"/>
      <c r="HB83" s="454"/>
      <c r="HC83" s="454"/>
      <c r="HD83" s="454"/>
      <c r="HE83" s="454"/>
      <c r="HF83" s="454"/>
      <c r="HG83" s="454"/>
      <c r="HH83" s="454"/>
      <c r="HI83" s="454"/>
      <c r="HJ83" s="454"/>
      <c r="HK83" s="454"/>
      <c r="HL83" s="454"/>
      <c r="HM83" s="454"/>
      <c r="HN83" s="454"/>
      <c r="HO83" s="454"/>
      <c r="HP83" s="454"/>
      <c r="HQ83" s="454"/>
      <c r="HR83" s="454"/>
      <c r="HS83" s="454"/>
      <c r="HT83" s="454"/>
      <c r="HU83" s="454"/>
      <c r="HV83" s="454"/>
      <c r="HW83" s="454"/>
      <c r="HX83" s="454"/>
      <c r="HY83" s="454"/>
      <c r="HZ83" s="454"/>
      <c r="IA83" s="454"/>
      <c r="IB83" s="454"/>
      <c r="IC83" s="454"/>
      <c r="ID83" s="454"/>
      <c r="IE83" s="454"/>
      <c r="IF83" s="454"/>
      <c r="IG83" s="454"/>
      <c r="IH83" s="454"/>
      <c r="II83" s="454"/>
      <c r="IJ83" s="454"/>
      <c r="IK83" s="454"/>
      <c r="IL83" s="454"/>
      <c r="IM83" s="454"/>
      <c r="IN83" s="454"/>
      <c r="IO83" s="454"/>
      <c r="IP83" s="454"/>
      <c r="IQ83" s="454"/>
    </row>
    <row r="84" spans="1:251" s="456" customFormat="1" ht="12" customHeight="1">
      <c r="A84" s="231"/>
      <c r="B84" s="457"/>
      <c r="C84" s="457"/>
      <c r="D84" s="458"/>
      <c r="E84" s="458"/>
      <c r="F84" s="458"/>
      <c r="G84" s="458"/>
      <c r="H84" s="458"/>
      <c r="I84" s="458"/>
      <c r="J84" s="458"/>
      <c r="K84" s="458"/>
      <c r="L84" s="458"/>
      <c r="M84" s="458"/>
      <c r="N84" s="458"/>
      <c r="O84" s="458"/>
      <c r="P84" s="458"/>
      <c r="Q84" s="458"/>
      <c r="R84" s="458"/>
      <c r="S84" s="458"/>
      <c r="T84" s="458"/>
      <c r="U84" s="458"/>
      <c r="V84" s="458"/>
      <c r="W84" s="458"/>
      <c r="X84" s="458"/>
      <c r="Y84" s="458"/>
      <c r="Z84" s="453"/>
      <c r="AA84" s="454"/>
      <c r="AB84" s="454"/>
      <c r="AC84" s="454"/>
      <c r="AD84" s="454"/>
      <c r="AE84" s="454"/>
      <c r="AF84" s="454"/>
      <c r="AG84" s="454"/>
      <c r="AH84" s="454"/>
      <c r="AI84" s="454"/>
      <c r="AJ84" s="454"/>
      <c r="AK84" s="454"/>
      <c r="AL84" s="454"/>
      <c r="AM84" s="454"/>
      <c r="AN84" s="454"/>
      <c r="AO84" s="454"/>
      <c r="AP84" s="454"/>
      <c r="AQ84" s="454"/>
      <c r="AR84" s="454"/>
      <c r="AS84" s="454"/>
      <c r="AT84" s="454"/>
      <c r="AU84" s="454"/>
      <c r="AV84" s="454"/>
      <c r="AW84" s="454"/>
      <c r="AX84" s="454"/>
      <c r="AY84" s="454"/>
      <c r="AZ84" s="454"/>
      <c r="BA84" s="454"/>
      <c r="BB84" s="454"/>
      <c r="BC84" s="454"/>
      <c r="BD84" s="454"/>
      <c r="BE84" s="454"/>
      <c r="BF84" s="454"/>
      <c r="BG84" s="454"/>
      <c r="BH84" s="454"/>
      <c r="BI84" s="454"/>
      <c r="BJ84" s="454"/>
      <c r="BK84" s="454"/>
      <c r="BL84" s="454"/>
      <c r="BM84" s="454"/>
      <c r="BN84" s="454"/>
      <c r="BO84" s="454"/>
      <c r="BP84" s="454"/>
      <c r="BQ84" s="454"/>
      <c r="BR84" s="454"/>
      <c r="BS84" s="454"/>
      <c r="BT84" s="454"/>
      <c r="BU84" s="454"/>
      <c r="BV84" s="454"/>
      <c r="BW84" s="454"/>
      <c r="BX84" s="454"/>
      <c r="BY84" s="454"/>
      <c r="BZ84" s="454"/>
      <c r="CA84" s="454"/>
      <c r="CB84" s="454"/>
      <c r="CC84" s="454"/>
      <c r="CD84" s="454"/>
      <c r="CE84" s="454"/>
      <c r="CF84" s="454"/>
      <c r="CG84" s="454"/>
      <c r="CH84" s="454"/>
      <c r="CI84" s="454"/>
      <c r="CJ84" s="454"/>
      <c r="CK84" s="454"/>
      <c r="CL84" s="454"/>
      <c r="CM84" s="454"/>
      <c r="CN84" s="454"/>
      <c r="CO84" s="454"/>
      <c r="CP84" s="454"/>
      <c r="CQ84" s="454"/>
      <c r="CR84" s="454"/>
      <c r="CS84" s="454"/>
      <c r="CT84" s="454"/>
      <c r="CU84" s="454"/>
      <c r="CV84" s="454"/>
      <c r="CW84" s="454"/>
      <c r="CX84" s="454"/>
      <c r="CY84" s="454"/>
      <c r="CZ84" s="454"/>
      <c r="DA84" s="454"/>
      <c r="DB84" s="454"/>
      <c r="DC84" s="454"/>
      <c r="DD84" s="454"/>
      <c r="DE84" s="454"/>
      <c r="DF84" s="454"/>
      <c r="DG84" s="454"/>
      <c r="DH84" s="454"/>
      <c r="DI84" s="454"/>
      <c r="DJ84" s="454"/>
      <c r="DK84" s="454"/>
      <c r="DL84" s="454"/>
      <c r="DM84" s="454"/>
      <c r="DN84" s="454"/>
      <c r="DO84" s="454"/>
      <c r="DP84" s="454"/>
      <c r="DQ84" s="454"/>
      <c r="DR84" s="454"/>
      <c r="DS84" s="454"/>
      <c r="DT84" s="454"/>
      <c r="DU84" s="454"/>
      <c r="DV84" s="454"/>
      <c r="DW84" s="454"/>
      <c r="DX84" s="454"/>
      <c r="DY84" s="454"/>
      <c r="DZ84" s="454"/>
      <c r="EA84" s="454"/>
      <c r="EB84" s="454"/>
      <c r="EC84" s="454"/>
      <c r="ED84" s="454"/>
      <c r="EE84" s="454"/>
      <c r="EF84" s="454"/>
      <c r="EG84" s="454"/>
      <c r="EH84" s="454"/>
      <c r="EI84" s="454"/>
      <c r="EJ84" s="454"/>
      <c r="EK84" s="454"/>
      <c r="EL84" s="454"/>
      <c r="EM84" s="454"/>
      <c r="EN84" s="454"/>
      <c r="EO84" s="454"/>
      <c r="EP84" s="454"/>
      <c r="EQ84" s="454"/>
      <c r="ER84" s="454"/>
      <c r="ES84" s="454"/>
      <c r="ET84" s="454"/>
      <c r="EU84" s="454"/>
      <c r="EV84" s="454"/>
      <c r="EW84" s="454"/>
      <c r="EX84" s="454"/>
      <c r="EY84" s="454"/>
      <c r="EZ84" s="454"/>
      <c r="FA84" s="454"/>
      <c r="FB84" s="454"/>
      <c r="FC84" s="454"/>
      <c r="FD84" s="454"/>
      <c r="FE84" s="454"/>
      <c r="FF84" s="454"/>
      <c r="FG84" s="454"/>
      <c r="FH84" s="454"/>
      <c r="FI84" s="454"/>
      <c r="FJ84" s="454"/>
      <c r="FK84" s="454"/>
      <c r="FL84" s="454"/>
      <c r="FM84" s="454"/>
      <c r="FN84" s="454"/>
      <c r="FO84" s="454"/>
      <c r="FP84" s="454"/>
      <c r="FQ84" s="454"/>
      <c r="FR84" s="454"/>
      <c r="FS84" s="454"/>
      <c r="FT84" s="454"/>
      <c r="FU84" s="454"/>
      <c r="FV84" s="454"/>
      <c r="FW84" s="454"/>
      <c r="FX84" s="454"/>
      <c r="FY84" s="454"/>
      <c r="FZ84" s="454"/>
      <c r="GA84" s="454"/>
      <c r="GB84" s="454"/>
      <c r="GC84" s="454"/>
      <c r="GD84" s="454"/>
      <c r="GE84" s="454"/>
      <c r="GF84" s="454"/>
      <c r="GG84" s="454"/>
      <c r="GH84" s="454"/>
      <c r="GI84" s="454"/>
      <c r="GJ84" s="454"/>
      <c r="GK84" s="454"/>
      <c r="GL84" s="454"/>
      <c r="GM84" s="454"/>
      <c r="GN84" s="454"/>
      <c r="GO84" s="454"/>
      <c r="GP84" s="454"/>
      <c r="GQ84" s="454"/>
      <c r="GR84" s="454"/>
      <c r="GS84" s="454"/>
      <c r="GT84" s="454"/>
      <c r="GU84" s="454"/>
      <c r="GV84" s="454"/>
      <c r="GW84" s="454"/>
      <c r="GX84" s="454"/>
      <c r="GY84" s="454"/>
      <c r="GZ84" s="454"/>
      <c r="HA84" s="454"/>
      <c r="HB84" s="454"/>
      <c r="HC84" s="454"/>
      <c r="HD84" s="454"/>
      <c r="HE84" s="454"/>
      <c r="HF84" s="454"/>
      <c r="HG84" s="454"/>
      <c r="HH84" s="454"/>
      <c r="HI84" s="454"/>
      <c r="HJ84" s="454"/>
      <c r="HK84" s="454"/>
      <c r="HL84" s="454"/>
      <c r="HM84" s="454"/>
      <c r="HN84" s="454"/>
      <c r="HO84" s="454"/>
      <c r="HP84" s="454"/>
      <c r="HQ84" s="454"/>
      <c r="HR84" s="454"/>
      <c r="HS84" s="454"/>
      <c r="HT84" s="454"/>
      <c r="HU84" s="454"/>
      <c r="HV84" s="454"/>
      <c r="HW84" s="454"/>
      <c r="HX84" s="454"/>
      <c r="HY84" s="454"/>
      <c r="HZ84" s="454"/>
      <c r="IA84" s="454"/>
      <c r="IB84" s="454"/>
      <c r="IC84" s="454"/>
      <c r="ID84" s="454"/>
      <c r="IE84" s="454"/>
      <c r="IF84" s="454"/>
      <c r="IG84" s="454"/>
      <c r="IH84" s="454"/>
      <c r="II84" s="454"/>
      <c r="IJ84" s="454"/>
      <c r="IK84" s="454"/>
      <c r="IL84" s="454"/>
      <c r="IM84" s="454"/>
      <c r="IN84" s="454"/>
      <c r="IO84" s="454"/>
      <c r="IP84" s="454"/>
      <c r="IQ84" s="454"/>
    </row>
    <row r="85" spans="1:251" outlineLevel="1">
      <c r="A85" s="21" t="s">
        <v>294</v>
      </c>
      <c r="B85" s="20">
        <f>B41-B12</f>
        <v>-1020.8456496156814</v>
      </c>
      <c r="C85" s="20">
        <f>C41-C12</f>
        <v>-659.91104099689619</v>
      </c>
      <c r="D85" s="20">
        <f>D41-D12</f>
        <v>-251.16878708606964</v>
      </c>
      <c r="E85" s="20">
        <f t="shared" ref="E85:U85" si="21">E41</f>
        <v>19601.73964371247</v>
      </c>
      <c r="F85" s="20">
        <f t="shared" si="21"/>
        <v>22261.925878785205</v>
      </c>
      <c r="G85" s="20">
        <f t="shared" si="21"/>
        <v>23720.033868727209</v>
      </c>
      <c r="H85" s="20">
        <f t="shared" si="21"/>
        <v>25274.76246413809</v>
      </c>
      <c r="I85" s="20">
        <f t="shared" si="21"/>
        <v>26870.36946108031</v>
      </c>
      <c r="J85" s="20">
        <f t="shared" si="21"/>
        <v>28640.336236331597</v>
      </c>
      <c r="K85" s="20">
        <f t="shared" si="21"/>
        <v>30506.799503626233</v>
      </c>
      <c r="L85" s="20">
        <f t="shared" si="21"/>
        <v>32463.277968117072</v>
      </c>
      <c r="M85" s="20">
        <f t="shared" si="21"/>
        <v>34595.880544194013</v>
      </c>
      <c r="N85" s="20">
        <f t="shared" si="21"/>
        <v>36802.220332745892</v>
      </c>
      <c r="O85" s="20">
        <f t="shared" si="21"/>
        <v>39001.151954567715</v>
      </c>
      <c r="P85" s="20">
        <f t="shared" si="21"/>
        <v>41234.423533740854</v>
      </c>
      <c r="Q85" s="20">
        <f t="shared" si="21"/>
        <v>43259.042774169298</v>
      </c>
      <c r="R85" s="20">
        <f t="shared" si="21"/>
        <v>45367.06058007371</v>
      </c>
      <c r="S85" s="20">
        <f t="shared" si="21"/>
        <v>47414.335021943305</v>
      </c>
      <c r="T85" s="20">
        <f t="shared" si="21"/>
        <v>49304.646870661549</v>
      </c>
      <c r="U85" s="20">
        <f t="shared" si="21"/>
        <v>51205.468473694178</v>
      </c>
      <c r="W85" s="446">
        <f>SUM(B85:U85)</f>
        <v>595591.54963261005</v>
      </c>
    </row>
    <row r="86" spans="1:251" outlineLevel="1">
      <c r="A86" s="21" t="s">
        <v>146</v>
      </c>
      <c r="B86" s="20">
        <f>B35</f>
        <v>10824.155861292062</v>
      </c>
      <c r="C86" s="20">
        <f t="shared" ref="C86:U86" si="22">C35</f>
        <v>10824.155861292062</v>
      </c>
      <c r="D86" s="20">
        <f t="shared" si="22"/>
        <v>10824.155861292062</v>
      </c>
      <c r="E86" s="20">
        <f t="shared" si="22"/>
        <v>10824.155861292062</v>
      </c>
      <c r="F86" s="20">
        <f t="shared" si="22"/>
        <v>10824.155861292062</v>
      </c>
      <c r="G86" s="20">
        <f t="shared" si="22"/>
        <v>10824.155861292062</v>
      </c>
      <c r="H86" s="20">
        <f t="shared" si="22"/>
        <v>10824.155861292062</v>
      </c>
      <c r="I86" s="20">
        <f t="shared" si="22"/>
        <v>10824.155861292062</v>
      </c>
      <c r="J86" s="20">
        <f t="shared" si="22"/>
        <v>10824.155861292062</v>
      </c>
      <c r="K86" s="20">
        <f t="shared" si="22"/>
        <v>10824.155861292062</v>
      </c>
      <c r="L86" s="20">
        <f t="shared" si="22"/>
        <v>10824.155861292062</v>
      </c>
      <c r="M86" s="20">
        <f t="shared" si="22"/>
        <v>10824.155861292062</v>
      </c>
      <c r="N86" s="20">
        <f t="shared" si="22"/>
        <v>10824.155861292062</v>
      </c>
      <c r="O86" s="20">
        <f t="shared" si="22"/>
        <v>10824.155861292062</v>
      </c>
      <c r="P86" s="20">
        <f t="shared" si="22"/>
        <v>10824.155861292062</v>
      </c>
      <c r="Q86" s="20">
        <f t="shared" si="22"/>
        <v>10824.155861292062</v>
      </c>
      <c r="R86" s="20">
        <f t="shared" si="22"/>
        <v>10824.155861292062</v>
      </c>
      <c r="S86" s="20">
        <f t="shared" si="22"/>
        <v>10824.155861292062</v>
      </c>
      <c r="T86" s="20">
        <f t="shared" si="22"/>
        <v>10824.155861292062</v>
      </c>
      <c r="U86" s="20">
        <f t="shared" si="22"/>
        <v>10824.155861292062</v>
      </c>
      <c r="W86" s="446">
        <f>SUM(B86:U86)</f>
        <v>216483.11722584124</v>
      </c>
    </row>
    <row r="87" spans="1:251" ht="15" outlineLevel="1">
      <c r="A87" s="21" t="s">
        <v>237</v>
      </c>
      <c r="B87" s="234">
        <f>-Depreciation!C99-Depreciation!C112*Allocation!$E$14</f>
        <v>-16146.793756733981</v>
      </c>
      <c r="C87" s="234">
        <f>-Depreciation!D99-Depreciation!D112*Allocation!$E$14</f>
        <v>-30678.908137794562</v>
      </c>
      <c r="D87" s="234">
        <f>-Depreciation!E99-Depreciation!E112*Allocation!$E$14</f>
        <v>-27611.017324015109</v>
      </c>
      <c r="E87" s="234">
        <f>-Depreciation!F99-Depreciation!F112*Allocation!$E$14</f>
        <v>-24866.062385370329</v>
      </c>
      <c r="F87" s="234">
        <f>-Depreciation!G99-Depreciation!G112*Allocation!$E$14</f>
        <v>-22379.456146833298</v>
      </c>
      <c r="G87" s="234">
        <f>-Depreciation!H99-Depreciation!H112*Allocation!$E$14</f>
        <v>-20118.905020890539</v>
      </c>
      <c r="H87" s="234">
        <f>-Depreciation!I99-Depreciation!I112*Allocation!$E$14</f>
        <v>-19053.216632946096</v>
      </c>
      <c r="I87" s="234">
        <f>-Depreciation!J99-Depreciation!J112*Allocation!$E$14</f>
        <v>-19085.510220459564</v>
      </c>
      <c r="J87" s="234">
        <f>-Depreciation!K99-Depreciation!K112*Allocation!$E$14</f>
        <v>-19053.216632946096</v>
      </c>
      <c r="K87" s="234">
        <f>-Depreciation!L99-Depreciation!L112*Allocation!$E$14</f>
        <v>-19085.510220459564</v>
      </c>
      <c r="L87" s="234">
        <f>-Depreciation!M99-Depreciation!M112*Allocation!$E$14</f>
        <v>-19053.216632946096</v>
      </c>
      <c r="M87" s="234">
        <f>-Depreciation!N99-Depreciation!N112*Allocation!$E$14</f>
        <v>-19085.510220459564</v>
      </c>
      <c r="N87" s="234">
        <f>-Depreciation!O99-Depreciation!O112*Allocation!$E$14</f>
        <v>-19053.216632946096</v>
      </c>
      <c r="O87" s="234">
        <f>-Depreciation!P99-Depreciation!P112*Allocation!$E$14</f>
        <v>-19085.510220459564</v>
      </c>
      <c r="P87" s="234">
        <f>-Depreciation!Q99-Depreciation!Q112*Allocation!$E$14</f>
        <v>-19053.216632946096</v>
      </c>
      <c r="Q87" s="234">
        <f>-Depreciation!R99-Depreciation!R112*Allocation!$E$14</f>
        <v>-9526.608316473048</v>
      </c>
      <c r="R87" s="234">
        <f>-Depreciation!S99-Depreciation!S112*Allocation!$E$14</f>
        <v>0</v>
      </c>
      <c r="S87" s="234">
        <f>-Depreciation!T99-Depreciation!T112*Allocation!$E$14</f>
        <v>0</v>
      </c>
      <c r="T87" s="234">
        <f>-Depreciation!U99-Depreciation!U112*Allocation!$E$14</f>
        <v>0</v>
      </c>
      <c r="U87" s="234">
        <f>-Depreciation!V99-Depreciation!V112*Allocation!$E$14</f>
        <v>0</v>
      </c>
      <c r="W87" s="447">
        <f>SUM(B87:U87)</f>
        <v>-322935.87513467961</v>
      </c>
    </row>
    <row r="88" spans="1:251" outlineLevel="1">
      <c r="A88" s="233" t="s">
        <v>145</v>
      </c>
      <c r="B88" s="22">
        <f t="shared" ref="B88:U88" si="23">SUM(B85:B87)</f>
        <v>-6343.4835450576011</v>
      </c>
      <c r="C88" s="22">
        <f t="shared" si="23"/>
        <v>-20514.663317499399</v>
      </c>
      <c r="D88" s="22">
        <f t="shared" si="23"/>
        <v>-17038.030249809119</v>
      </c>
      <c r="E88" s="22">
        <f t="shared" si="23"/>
        <v>5559.8331196342042</v>
      </c>
      <c r="F88" s="22">
        <f t="shared" si="23"/>
        <v>10706.625593243967</v>
      </c>
      <c r="G88" s="22">
        <f t="shared" si="23"/>
        <v>14425.284709128733</v>
      </c>
      <c r="H88" s="22">
        <f t="shared" si="23"/>
        <v>17045.701692484057</v>
      </c>
      <c r="I88" s="22">
        <f t="shared" si="23"/>
        <v>18609.015101912806</v>
      </c>
      <c r="J88" s="22">
        <f t="shared" si="23"/>
        <v>20411.275464677565</v>
      </c>
      <c r="K88" s="22">
        <f t="shared" si="23"/>
        <v>22245.445144458728</v>
      </c>
      <c r="L88" s="22">
        <f t="shared" si="23"/>
        <v>24234.21719646304</v>
      </c>
      <c r="M88" s="22">
        <f t="shared" si="23"/>
        <v>26334.526185026512</v>
      </c>
      <c r="N88" s="22">
        <f t="shared" si="23"/>
        <v>28573.159561091859</v>
      </c>
      <c r="O88" s="22">
        <f t="shared" si="23"/>
        <v>30739.797595400214</v>
      </c>
      <c r="P88" s="22">
        <f t="shared" si="23"/>
        <v>33005.362762086821</v>
      </c>
      <c r="Q88" s="22">
        <f t="shared" si="23"/>
        <v>44556.59031898831</v>
      </c>
      <c r="R88" s="22">
        <f t="shared" si="23"/>
        <v>56191.216441365774</v>
      </c>
      <c r="S88" s="22">
        <f t="shared" si="23"/>
        <v>58238.490883235369</v>
      </c>
      <c r="T88" s="22">
        <f t="shared" si="23"/>
        <v>60128.802731953612</v>
      </c>
      <c r="U88" s="22">
        <f t="shared" si="23"/>
        <v>62029.624334986242</v>
      </c>
      <c r="W88" s="446">
        <f>SUM(B88:U88)</f>
        <v>489138.79172377172</v>
      </c>
    </row>
    <row r="89" spans="1:251" outlineLevel="1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</row>
    <row r="90" spans="1:251" outlineLevel="1">
      <c r="A90" s="21" t="s">
        <v>46</v>
      </c>
      <c r="B90" s="444">
        <f>Assumptions!$I$47</f>
        <v>7.1800000000000003E-2</v>
      </c>
      <c r="C90" s="444">
        <f>Assumptions!$I$47</f>
        <v>7.1800000000000003E-2</v>
      </c>
      <c r="D90" s="444">
        <f>Assumptions!$I$47</f>
        <v>7.1800000000000003E-2</v>
      </c>
      <c r="E90" s="444">
        <f>Assumptions!$I$47</f>
        <v>7.1800000000000003E-2</v>
      </c>
      <c r="F90" s="444">
        <f>Assumptions!$I$47</f>
        <v>7.1800000000000003E-2</v>
      </c>
      <c r="G90" s="444">
        <f>Assumptions!$I$47</f>
        <v>7.1800000000000003E-2</v>
      </c>
      <c r="H90" s="444">
        <f>Assumptions!$I$47</f>
        <v>7.1800000000000003E-2</v>
      </c>
      <c r="I90" s="444">
        <f>Assumptions!$I$47</f>
        <v>7.1800000000000003E-2</v>
      </c>
      <c r="J90" s="444">
        <f>Assumptions!$I$47</f>
        <v>7.1800000000000003E-2</v>
      </c>
      <c r="K90" s="444">
        <f>Assumptions!$I$47</f>
        <v>7.1800000000000003E-2</v>
      </c>
      <c r="L90" s="444">
        <f>Assumptions!$I$47</f>
        <v>7.1800000000000003E-2</v>
      </c>
      <c r="M90" s="444">
        <f>Assumptions!$I$47</f>
        <v>7.1800000000000003E-2</v>
      </c>
      <c r="N90" s="444">
        <f>Assumptions!$I$47</f>
        <v>7.1800000000000003E-2</v>
      </c>
      <c r="O90" s="444">
        <f>Assumptions!$I$47</f>
        <v>7.1800000000000003E-2</v>
      </c>
      <c r="P90" s="444">
        <f>Assumptions!$I$47</f>
        <v>7.1800000000000003E-2</v>
      </c>
      <c r="Q90" s="444">
        <f>Assumptions!$I$47</f>
        <v>7.1800000000000003E-2</v>
      </c>
      <c r="R90" s="444">
        <f>Assumptions!$I$47</f>
        <v>7.1800000000000003E-2</v>
      </c>
      <c r="S90" s="444">
        <f>Assumptions!$I$47</f>
        <v>7.1800000000000003E-2</v>
      </c>
      <c r="T90" s="444">
        <f>Assumptions!$I$47</f>
        <v>7.1800000000000003E-2</v>
      </c>
      <c r="U90" s="444">
        <f>Assumptions!$I$47</f>
        <v>7.1800000000000003E-2</v>
      </c>
    </row>
    <row r="91" spans="1:251" outlineLevel="1">
      <c r="A91" s="21" t="s">
        <v>147</v>
      </c>
      <c r="B91" s="20">
        <f>B88*B90</f>
        <v>-455.4621185351358</v>
      </c>
      <c r="C91" s="20">
        <f t="shared" ref="C91:U91" si="24">C88*C90</f>
        <v>-1472.952826196457</v>
      </c>
      <c r="D91" s="20">
        <f t="shared" si="24"/>
        <v>-1223.3305719362947</v>
      </c>
      <c r="E91" s="20">
        <f t="shared" si="24"/>
        <v>399.19601798973588</v>
      </c>
      <c r="F91" s="20">
        <f t="shared" si="24"/>
        <v>768.73571759491688</v>
      </c>
      <c r="G91" s="20">
        <f t="shared" si="24"/>
        <v>1035.735442115443</v>
      </c>
      <c r="H91" s="20">
        <f t="shared" si="24"/>
        <v>1223.8813815203553</v>
      </c>
      <c r="I91" s="20">
        <f t="shared" si="24"/>
        <v>1336.1272843173394</v>
      </c>
      <c r="J91" s="20">
        <f t="shared" si="24"/>
        <v>1465.5295783638492</v>
      </c>
      <c r="K91" s="20">
        <f t="shared" si="24"/>
        <v>1597.2229613721368</v>
      </c>
      <c r="L91" s="20">
        <f t="shared" si="24"/>
        <v>1740.0167947060463</v>
      </c>
      <c r="M91" s="20">
        <f t="shared" si="24"/>
        <v>1890.8189800849036</v>
      </c>
      <c r="N91" s="20">
        <f t="shared" si="24"/>
        <v>2051.5528564863957</v>
      </c>
      <c r="O91" s="20">
        <f t="shared" si="24"/>
        <v>2207.1174673497353</v>
      </c>
      <c r="P91" s="20">
        <f t="shared" si="24"/>
        <v>2369.7850463178338</v>
      </c>
      <c r="Q91" s="20">
        <f t="shared" si="24"/>
        <v>3199.1631849033606</v>
      </c>
      <c r="R91" s="20">
        <f t="shared" si="24"/>
        <v>4034.5293404900626</v>
      </c>
      <c r="S91" s="20">
        <f t="shared" si="24"/>
        <v>4181.5236454162996</v>
      </c>
      <c r="T91" s="20">
        <f t="shared" si="24"/>
        <v>4317.2480361542694</v>
      </c>
      <c r="U91" s="20">
        <f t="shared" si="24"/>
        <v>4453.7270272520127</v>
      </c>
    </row>
    <row r="92" spans="1:251" outlineLevel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</row>
    <row r="93" spans="1:251" outlineLevel="1">
      <c r="A93" s="21" t="s">
        <v>148</v>
      </c>
      <c r="B93" s="20">
        <v>0</v>
      </c>
      <c r="C93" s="20">
        <f t="shared" ref="C93:U93" si="25">B97</f>
        <v>455.4621185351358</v>
      </c>
      <c r="D93" s="20">
        <f t="shared" si="25"/>
        <v>1928.4149447315926</v>
      </c>
      <c r="E93" s="20">
        <f t="shared" si="25"/>
        <v>3151.7455166678874</v>
      </c>
      <c r="F93" s="20">
        <f t="shared" si="25"/>
        <v>2752.5494986781514</v>
      </c>
      <c r="G93" s="20">
        <f t="shared" si="25"/>
        <v>1983.8137810832345</v>
      </c>
      <c r="H93" s="20">
        <f t="shared" si="25"/>
        <v>948.07833896779152</v>
      </c>
      <c r="I93" s="20">
        <f t="shared" si="25"/>
        <v>0</v>
      </c>
      <c r="J93" s="20">
        <f t="shared" si="25"/>
        <v>0</v>
      </c>
      <c r="K93" s="20">
        <f t="shared" si="25"/>
        <v>0</v>
      </c>
      <c r="L93" s="20">
        <f t="shared" si="25"/>
        <v>0</v>
      </c>
      <c r="M93" s="20">
        <f t="shared" si="25"/>
        <v>0</v>
      </c>
      <c r="N93" s="20">
        <f>M97</f>
        <v>0</v>
      </c>
      <c r="O93" s="20">
        <f t="shared" si="25"/>
        <v>0</v>
      </c>
      <c r="P93" s="20">
        <f t="shared" si="25"/>
        <v>0</v>
      </c>
      <c r="Q93" s="20">
        <f t="shared" si="25"/>
        <v>0</v>
      </c>
      <c r="R93" s="20">
        <v>0</v>
      </c>
      <c r="S93" s="20">
        <f t="shared" si="25"/>
        <v>0</v>
      </c>
      <c r="T93" s="20">
        <f t="shared" si="25"/>
        <v>0</v>
      </c>
      <c r="U93" s="20">
        <f t="shared" si="25"/>
        <v>0</v>
      </c>
    </row>
    <row r="94" spans="1:251" outlineLevel="1">
      <c r="A94" s="21" t="s">
        <v>149</v>
      </c>
      <c r="B94" s="247">
        <f t="shared" ref="B94:U94" si="26">IF(B70&gt;2020,0,IF(B91&lt;0,-B91,0))</f>
        <v>455.4621185351358</v>
      </c>
      <c r="C94" s="247">
        <f t="shared" si="26"/>
        <v>1472.952826196457</v>
      </c>
      <c r="D94" s="247">
        <f t="shared" si="26"/>
        <v>1223.3305719362947</v>
      </c>
      <c r="E94" s="247">
        <f t="shared" si="26"/>
        <v>0</v>
      </c>
      <c r="F94" s="247">
        <f t="shared" si="26"/>
        <v>0</v>
      </c>
      <c r="G94" s="247">
        <f t="shared" si="26"/>
        <v>0</v>
      </c>
      <c r="H94" s="247">
        <f t="shared" si="26"/>
        <v>0</v>
      </c>
      <c r="I94" s="247">
        <f t="shared" si="26"/>
        <v>0</v>
      </c>
      <c r="J94" s="247">
        <f t="shared" si="26"/>
        <v>0</v>
      </c>
      <c r="K94" s="247">
        <f t="shared" si="26"/>
        <v>0</v>
      </c>
      <c r="L94" s="247">
        <f t="shared" si="26"/>
        <v>0</v>
      </c>
      <c r="M94" s="247">
        <f t="shared" si="26"/>
        <v>0</v>
      </c>
      <c r="N94" s="247">
        <f t="shared" si="26"/>
        <v>0</v>
      </c>
      <c r="O94" s="247">
        <f t="shared" si="26"/>
        <v>0</v>
      </c>
      <c r="P94" s="247">
        <f t="shared" si="26"/>
        <v>0</v>
      </c>
      <c r="Q94" s="247">
        <f t="shared" si="26"/>
        <v>0</v>
      </c>
      <c r="R94" s="247">
        <f t="shared" si="26"/>
        <v>0</v>
      </c>
      <c r="S94" s="247">
        <f t="shared" si="26"/>
        <v>0</v>
      </c>
      <c r="T94" s="247">
        <f t="shared" si="26"/>
        <v>0</v>
      </c>
      <c r="U94" s="247">
        <f t="shared" si="26"/>
        <v>0</v>
      </c>
    </row>
    <row r="95" spans="1:251" outlineLevel="1">
      <c r="A95" s="21" t="s">
        <v>150</v>
      </c>
      <c r="B95" s="235">
        <v>0</v>
      </c>
      <c r="C95" s="235">
        <v>0</v>
      </c>
      <c r="D95" s="235">
        <v>0</v>
      </c>
      <c r="E95" s="235">
        <v>0</v>
      </c>
      <c r="F95" s="235">
        <v>0</v>
      </c>
      <c r="G95" s="235">
        <v>0</v>
      </c>
      <c r="H95" s="235">
        <v>0</v>
      </c>
      <c r="I95" s="235">
        <v>0</v>
      </c>
      <c r="J95" s="235">
        <v>0</v>
      </c>
      <c r="K95" s="235">
        <v>0</v>
      </c>
      <c r="L95" s="235">
        <v>0</v>
      </c>
      <c r="M95" s="235">
        <v>0</v>
      </c>
      <c r="N95" s="235">
        <v>0</v>
      </c>
      <c r="O95" s="235">
        <v>0</v>
      </c>
      <c r="P95" s="235">
        <v>0</v>
      </c>
      <c r="Q95" s="235">
        <v>0</v>
      </c>
      <c r="R95" s="235">
        <v>0</v>
      </c>
      <c r="S95" s="235">
        <v>0</v>
      </c>
      <c r="T95" s="20">
        <f>IF(L94&gt;(SUM(M96:S96)+SUM(L95:S95))*-1,L94-(SUM(L96:S96)+SUM(L95:S95))*-1,0)</f>
        <v>0</v>
      </c>
      <c r="U95" s="20">
        <f>IF(M94&gt;(SUM(N96:T96)+SUM(M95:T95))*-1,M94-(SUM(M96:T96)+SUM(M95:T95))*-1,0)</f>
        <v>0</v>
      </c>
    </row>
    <row r="96" spans="1:251" outlineLevel="1">
      <c r="A96" s="17" t="s">
        <v>151</v>
      </c>
      <c r="B96" s="236">
        <f t="shared" ref="B96:T96" si="27">IF(B91&lt;0,0,IF(B93&gt;B91,-B91,-B93))</f>
        <v>0</v>
      </c>
      <c r="C96" s="236">
        <f t="shared" si="27"/>
        <v>0</v>
      </c>
      <c r="D96" s="236">
        <f t="shared" si="27"/>
        <v>0</v>
      </c>
      <c r="E96" s="236">
        <f t="shared" si="27"/>
        <v>-399.19601798973588</v>
      </c>
      <c r="F96" s="236">
        <f t="shared" si="27"/>
        <v>-768.73571759491688</v>
      </c>
      <c r="G96" s="236">
        <f t="shared" si="27"/>
        <v>-1035.735442115443</v>
      </c>
      <c r="H96" s="236">
        <f t="shared" si="27"/>
        <v>-948.07833896779152</v>
      </c>
      <c r="I96" s="236">
        <f t="shared" si="27"/>
        <v>0</v>
      </c>
      <c r="J96" s="236">
        <f t="shared" si="27"/>
        <v>0</v>
      </c>
      <c r="K96" s="236">
        <f t="shared" si="27"/>
        <v>0</v>
      </c>
      <c r="L96" s="236">
        <f t="shared" si="27"/>
        <v>0</v>
      </c>
      <c r="M96" s="236">
        <f t="shared" si="27"/>
        <v>0</v>
      </c>
      <c r="N96" s="236">
        <f t="shared" si="27"/>
        <v>0</v>
      </c>
      <c r="O96" s="236">
        <f t="shared" si="27"/>
        <v>0</v>
      </c>
      <c r="P96" s="236">
        <f t="shared" si="27"/>
        <v>0</v>
      </c>
      <c r="Q96" s="236">
        <f t="shared" si="27"/>
        <v>0</v>
      </c>
      <c r="R96" s="236">
        <f t="shared" si="27"/>
        <v>0</v>
      </c>
      <c r="S96" s="236">
        <f t="shared" si="27"/>
        <v>0</v>
      </c>
      <c r="T96" s="236">
        <f t="shared" si="27"/>
        <v>0</v>
      </c>
      <c r="U96" s="236">
        <f>IF(U91&lt;0,0,IF(U93&gt;U91,-U91,-U93))</f>
        <v>0</v>
      </c>
    </row>
    <row r="97" spans="1:23" outlineLevel="1">
      <c r="A97" s="17" t="s">
        <v>152</v>
      </c>
      <c r="B97" s="236">
        <f t="shared" ref="B97:U97" si="28">SUM(B93:B96)</f>
        <v>455.4621185351358</v>
      </c>
      <c r="C97" s="236">
        <f t="shared" si="28"/>
        <v>1928.4149447315926</v>
      </c>
      <c r="D97" s="236">
        <f t="shared" si="28"/>
        <v>3151.7455166678874</v>
      </c>
      <c r="E97" s="236">
        <f t="shared" si="28"/>
        <v>2752.5494986781514</v>
      </c>
      <c r="F97" s="236">
        <f t="shared" si="28"/>
        <v>1983.8137810832345</v>
      </c>
      <c r="G97" s="236">
        <f t="shared" si="28"/>
        <v>948.07833896779152</v>
      </c>
      <c r="H97" s="236">
        <f t="shared" si="28"/>
        <v>0</v>
      </c>
      <c r="I97" s="236">
        <f t="shared" si="28"/>
        <v>0</v>
      </c>
      <c r="J97" s="236">
        <f t="shared" si="28"/>
        <v>0</v>
      </c>
      <c r="K97" s="236">
        <f t="shared" si="28"/>
        <v>0</v>
      </c>
      <c r="L97" s="236">
        <f t="shared" si="28"/>
        <v>0</v>
      </c>
      <c r="M97" s="236">
        <f t="shared" si="28"/>
        <v>0</v>
      </c>
      <c r="N97" s="236">
        <f t="shared" si="28"/>
        <v>0</v>
      </c>
      <c r="O97" s="236">
        <f t="shared" si="28"/>
        <v>0</v>
      </c>
      <c r="P97" s="236">
        <f t="shared" si="28"/>
        <v>0</v>
      </c>
      <c r="Q97" s="236">
        <f t="shared" si="28"/>
        <v>0</v>
      </c>
      <c r="R97" s="236">
        <f t="shared" si="28"/>
        <v>0</v>
      </c>
      <c r="S97" s="236">
        <f t="shared" si="28"/>
        <v>0</v>
      </c>
      <c r="T97" s="236">
        <f t="shared" si="28"/>
        <v>0</v>
      </c>
      <c r="U97" s="236">
        <f t="shared" si="28"/>
        <v>0</v>
      </c>
    </row>
    <row r="98" spans="1:23" outlineLevel="1">
      <c r="A98" s="17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spans="1:23" ht="13.5" outlineLevel="1" thickBot="1">
      <c r="A99" s="32" t="s">
        <v>144</v>
      </c>
      <c r="B99" s="347">
        <f t="shared" ref="B99:U99" si="29">IF(B91&lt;0,0,B91+B96)</f>
        <v>0</v>
      </c>
      <c r="C99" s="347">
        <f t="shared" si="29"/>
        <v>0</v>
      </c>
      <c r="D99" s="347">
        <f t="shared" si="29"/>
        <v>0</v>
      </c>
      <c r="E99" s="347">
        <f t="shared" si="29"/>
        <v>0</v>
      </c>
      <c r="F99" s="347">
        <f t="shared" si="29"/>
        <v>0</v>
      </c>
      <c r="G99" s="347">
        <f t="shared" si="29"/>
        <v>0</v>
      </c>
      <c r="H99" s="347">
        <f t="shared" si="29"/>
        <v>275.80304255256374</v>
      </c>
      <c r="I99" s="347">
        <f t="shared" si="29"/>
        <v>1336.1272843173394</v>
      </c>
      <c r="J99" s="347">
        <f t="shared" si="29"/>
        <v>1465.5295783638492</v>
      </c>
      <c r="K99" s="347">
        <f t="shared" si="29"/>
        <v>1597.2229613721368</v>
      </c>
      <c r="L99" s="347">
        <f t="shared" si="29"/>
        <v>1740.0167947060463</v>
      </c>
      <c r="M99" s="347">
        <f t="shared" si="29"/>
        <v>1890.8189800849036</v>
      </c>
      <c r="N99" s="347">
        <f t="shared" si="29"/>
        <v>2051.5528564863957</v>
      </c>
      <c r="O99" s="347">
        <f t="shared" si="29"/>
        <v>2207.1174673497353</v>
      </c>
      <c r="P99" s="347">
        <f t="shared" si="29"/>
        <v>2369.7850463178338</v>
      </c>
      <c r="Q99" s="347">
        <f t="shared" si="29"/>
        <v>3199.1631849033606</v>
      </c>
      <c r="R99" s="347">
        <f t="shared" si="29"/>
        <v>4034.5293404900626</v>
      </c>
      <c r="S99" s="347">
        <f t="shared" si="29"/>
        <v>4181.5236454162996</v>
      </c>
      <c r="T99" s="347">
        <f t="shared" si="29"/>
        <v>4317.2480361542694</v>
      </c>
      <c r="U99" s="347">
        <f t="shared" si="29"/>
        <v>4453.7270272520127</v>
      </c>
      <c r="W99" s="446">
        <f>SUM(B99:U99)</f>
        <v>35120.16524576681</v>
      </c>
    </row>
    <row r="100" spans="1:23" ht="15.75" outlineLevel="1">
      <c r="A100" s="72"/>
      <c r="B100" s="7"/>
      <c r="C100" s="73"/>
      <c r="D100" s="7"/>
      <c r="E100" s="7"/>
      <c r="F100" s="7"/>
      <c r="G100" s="7"/>
      <c r="H100" s="7"/>
      <c r="I100" s="7"/>
      <c r="J100" s="7"/>
      <c r="K100" s="7"/>
      <c r="L100" s="59"/>
      <c r="M100" s="59"/>
      <c r="N100" s="59"/>
      <c r="O100" s="59"/>
      <c r="P100" s="59"/>
      <c r="Q100" s="59"/>
      <c r="R100" s="59"/>
      <c r="S100" s="59"/>
      <c r="T100" s="59"/>
      <c r="U100" s="59"/>
    </row>
    <row r="101" spans="1:23" outlineLevel="1">
      <c r="A101" s="57"/>
      <c r="B101" s="73"/>
      <c r="C101" s="76"/>
      <c r="D101" s="77"/>
      <c r="E101" s="77"/>
      <c r="F101" s="77"/>
      <c r="G101" s="77"/>
      <c r="H101" s="77"/>
      <c r="I101" s="77"/>
      <c r="J101" s="77"/>
      <c r="K101" s="77"/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spans="1:23" outlineLevel="1">
      <c r="A102" s="80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</row>
    <row r="103" spans="1:23" outlineLevel="1">
      <c r="A103" s="83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</row>
    <row r="104" spans="1:23" outlineLevel="1">
      <c r="A104" s="83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</row>
    <row r="105" spans="1:23" outlineLevel="1">
      <c r="A105" s="83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</row>
    <row r="106" spans="1:23" outlineLevel="1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</row>
    <row r="107" spans="1:23" outlineLevel="1">
      <c r="A107" s="7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3" outlineLevel="1">
      <c r="A108" s="7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3" outlineLevel="1">
      <c r="A109" s="7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ht="18.75" outlineLevel="1">
      <c r="A110" s="84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 spans="1:23" outlineLevel="1">
      <c r="A111" s="57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 spans="1:23" outlineLevel="1">
      <c r="A112" s="57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pans="1:21" outlineLevel="1">
      <c r="A113" s="7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</row>
    <row r="114" spans="1:21" outlineLevel="1">
      <c r="A114" s="7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 spans="1:21" outlineLevel="1">
      <c r="A115" s="2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1:21" outlineLevel="1">
      <c r="A116" s="80"/>
      <c r="B116" s="69"/>
      <c r="C116" s="6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69"/>
      <c r="C117" s="6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69"/>
      <c r="C118" s="6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8"/>
      <c r="B119" s="69"/>
      <c r="C119" s="6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69"/>
      <c r="B120" s="69"/>
      <c r="C120" s="6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80"/>
      <c r="B121" s="69"/>
      <c r="C121" s="6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69"/>
      <c r="C122" s="6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69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69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80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82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7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7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78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79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79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79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79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79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80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81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82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82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79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79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78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0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80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80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80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80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</row>
    <row r="159" spans="1:21" outlineLevel="1">
      <c r="A159" s="7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</row>
    <row r="160" spans="1:21" outlineLevel="1">
      <c r="A160" s="7"/>
      <c r="B160" s="7"/>
      <c r="C160" s="7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</row>
    <row r="161" spans="1:21" ht="18.75" outlineLevel="1">
      <c r="A161" s="8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outlineLevel="1">
      <c r="A162" s="5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outlineLevel="1">
      <c r="A163" s="5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outlineLevel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outlineLevel="1">
      <c r="A165" s="2"/>
      <c r="B165" s="9"/>
      <c r="C165" s="9"/>
      <c r="D165" s="9"/>
      <c r="E165" s="9"/>
      <c r="F165" s="9"/>
      <c r="G165" s="9"/>
      <c r="H165" s="9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outlineLevel="1">
      <c r="A166" s="5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outlineLevel="1">
      <c r="A167" s="86"/>
      <c r="B167" s="87"/>
      <c r="C167" s="87"/>
      <c r="D167" s="87"/>
      <c r="E167" s="87"/>
      <c r="F167" s="87"/>
      <c r="G167" s="87"/>
      <c r="H167" s="87"/>
      <c r="I167" s="7"/>
      <c r="J167" s="8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outlineLevel="1">
      <c r="A168" s="86"/>
      <c r="B168" s="87"/>
      <c r="C168" s="87"/>
      <c r="D168" s="87"/>
      <c r="E168" s="87"/>
      <c r="F168" s="87"/>
      <c r="G168" s="87"/>
      <c r="H168" s="87"/>
      <c r="I168" s="7"/>
      <c r="J168" s="8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86"/>
      <c r="B169" s="87"/>
      <c r="C169" s="87"/>
      <c r="D169" s="87"/>
      <c r="E169" s="87"/>
      <c r="F169" s="87"/>
      <c r="G169" s="87"/>
      <c r="H169" s="87"/>
      <c r="I169" s="7"/>
      <c r="J169" s="8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86"/>
      <c r="B170" s="87"/>
      <c r="C170" s="87"/>
      <c r="D170" s="87"/>
      <c r="E170" s="87"/>
      <c r="F170" s="87"/>
      <c r="G170" s="87"/>
      <c r="H170" s="87"/>
      <c r="I170" s="7"/>
      <c r="J170" s="8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86"/>
      <c r="B171" s="87"/>
      <c r="C171" s="87"/>
      <c r="D171" s="87"/>
      <c r="E171" s="87"/>
      <c r="F171" s="87"/>
      <c r="G171" s="87"/>
      <c r="H171" s="87"/>
      <c r="I171" s="7"/>
      <c r="J171" s="8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7"/>
      <c r="B172" s="87"/>
      <c r="C172" s="87"/>
      <c r="D172" s="87"/>
      <c r="E172" s="87"/>
      <c r="F172" s="87"/>
      <c r="G172" s="87"/>
      <c r="H172" s="87"/>
      <c r="I172" s="7"/>
      <c r="J172" s="8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57"/>
      <c r="B173" s="87"/>
      <c r="C173" s="87"/>
      <c r="D173" s="87"/>
      <c r="E173" s="87"/>
      <c r="F173" s="87"/>
      <c r="G173" s="87"/>
      <c r="H173" s="87"/>
      <c r="I173" s="7"/>
      <c r="J173" s="8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86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86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86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86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86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57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86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86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57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57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7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7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57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86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7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57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86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57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57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7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57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57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7"/>
      <c r="B209" s="7"/>
      <c r="C209" s="59"/>
      <c r="D209" s="59"/>
      <c r="E209" s="59"/>
      <c r="F209" s="59"/>
      <c r="G209" s="59"/>
      <c r="H209" s="5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7"/>
      <c r="B210" s="7"/>
      <c r="C210" s="59"/>
      <c r="D210" s="59"/>
      <c r="E210" s="59"/>
      <c r="F210" s="59"/>
      <c r="G210" s="59"/>
      <c r="H210" s="5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57"/>
      <c r="B211" s="7"/>
      <c r="C211" s="59"/>
      <c r="D211" s="59"/>
      <c r="E211" s="59"/>
      <c r="F211" s="59"/>
      <c r="G211" s="59"/>
      <c r="H211" s="5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7"/>
      <c r="C212" s="59"/>
      <c r="D212" s="59"/>
      <c r="E212" s="59"/>
      <c r="F212" s="59"/>
      <c r="G212" s="59"/>
      <c r="H212" s="5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8.75" outlineLevel="1">
      <c r="A214" s="8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5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s="90" customFormat="1" outlineLevel="1">
      <c r="A218" s="89"/>
    </row>
    <row r="219" spans="1:21" outlineLevel="1">
      <c r="A219" s="5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7"/>
      <c r="B220" s="7"/>
      <c r="C220" s="91"/>
      <c r="D220" s="91"/>
      <c r="E220" s="91"/>
      <c r="F220" s="91"/>
      <c r="G220" s="91"/>
      <c r="H220" s="91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57"/>
      <c r="B221" s="7"/>
      <c r="C221" s="91"/>
      <c r="D221" s="91"/>
      <c r="E221" s="91"/>
      <c r="F221" s="91"/>
      <c r="G221" s="91"/>
      <c r="H221" s="91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7"/>
      <c r="B222" s="7"/>
      <c r="C222" s="93"/>
      <c r="D222" s="93"/>
      <c r="E222" s="93"/>
      <c r="F222" s="93"/>
      <c r="G222" s="93"/>
      <c r="H222" s="93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5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8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94"/>
      <c r="B225" s="7"/>
      <c r="C225" s="59"/>
      <c r="D225" s="59"/>
      <c r="E225" s="59"/>
      <c r="F225" s="59"/>
      <c r="G225" s="59"/>
      <c r="H225" s="5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94"/>
      <c r="B226" s="7"/>
      <c r="C226" s="59"/>
      <c r="D226" s="59"/>
      <c r="E226" s="59"/>
      <c r="F226" s="59"/>
      <c r="G226" s="59"/>
      <c r="H226" s="5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94"/>
      <c r="B227" s="7"/>
      <c r="C227" s="59"/>
      <c r="D227" s="59"/>
      <c r="E227" s="59"/>
      <c r="F227" s="59"/>
      <c r="G227" s="59"/>
      <c r="H227" s="59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94"/>
      <c r="B228" s="7"/>
      <c r="C228" s="59"/>
      <c r="D228" s="59"/>
      <c r="E228" s="59"/>
      <c r="F228" s="59"/>
      <c r="G228" s="59"/>
      <c r="H228" s="59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94"/>
      <c r="B229" s="7"/>
      <c r="C229" s="91"/>
      <c r="D229" s="91"/>
      <c r="E229" s="91"/>
      <c r="F229" s="91"/>
      <c r="G229" s="91"/>
      <c r="H229" s="91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57"/>
      <c r="B230" s="7"/>
      <c r="C230" s="95"/>
      <c r="D230" s="95"/>
      <c r="E230" s="95"/>
      <c r="F230" s="95"/>
      <c r="G230" s="95"/>
      <c r="H230" s="95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4"/>
      <c r="B231" s="7"/>
      <c r="C231" s="96"/>
      <c r="D231" s="96"/>
      <c r="E231" s="96"/>
      <c r="F231" s="96"/>
      <c r="G231" s="96"/>
      <c r="H231" s="9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96"/>
      <c r="D232" s="96"/>
      <c r="E232" s="96"/>
      <c r="F232" s="96"/>
      <c r="G232" s="96"/>
      <c r="H232" s="9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96"/>
      <c r="D233" s="96"/>
      <c r="E233" s="96"/>
      <c r="F233" s="96"/>
      <c r="G233" s="96"/>
      <c r="H233" s="96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94"/>
      <c r="B234" s="7"/>
      <c r="C234" s="96"/>
      <c r="D234" s="96"/>
      <c r="E234" s="96"/>
      <c r="F234" s="96"/>
      <c r="G234" s="96"/>
      <c r="H234" s="96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94"/>
      <c r="B235" s="7"/>
      <c r="C235" s="95"/>
      <c r="D235" s="95"/>
      <c r="E235" s="95"/>
      <c r="F235" s="95"/>
      <c r="G235" s="95"/>
      <c r="H235" s="95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5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7"/>
      <c r="B237" s="7"/>
      <c r="C237" s="59"/>
      <c r="D237" s="59"/>
      <c r="E237" s="59"/>
      <c r="F237" s="59"/>
      <c r="G237" s="59"/>
      <c r="H237" s="5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7"/>
      <c r="B238" s="7"/>
      <c r="C238" s="59"/>
      <c r="D238" s="59"/>
      <c r="E238" s="59"/>
      <c r="F238" s="59"/>
      <c r="G238" s="59"/>
      <c r="H238" s="5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7"/>
      <c r="B239" s="7"/>
      <c r="C239" s="59"/>
      <c r="D239" s="59"/>
      <c r="E239" s="59"/>
      <c r="F239" s="59"/>
      <c r="G239" s="59"/>
      <c r="H239" s="5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7"/>
      <c r="B240" s="97"/>
      <c r="C240" s="59"/>
      <c r="D240" s="59"/>
      <c r="E240" s="59"/>
      <c r="F240" s="59"/>
      <c r="G240" s="59"/>
      <c r="H240" s="5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7"/>
      <c r="B243" s="7"/>
      <c r="C243" s="91"/>
      <c r="D243" s="91"/>
      <c r="E243" s="91"/>
      <c r="F243" s="91"/>
      <c r="G243" s="91"/>
      <c r="H243" s="91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94"/>
      <c r="B244" s="7"/>
      <c r="C244" s="91"/>
      <c r="D244" s="91"/>
      <c r="E244" s="91"/>
      <c r="F244" s="91"/>
      <c r="G244" s="91"/>
      <c r="H244" s="91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94"/>
      <c r="B245" s="7"/>
      <c r="C245" s="91"/>
      <c r="D245" s="91"/>
      <c r="E245" s="91"/>
      <c r="F245" s="91"/>
      <c r="G245" s="91"/>
      <c r="H245" s="91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94"/>
      <c r="B246" s="97"/>
      <c r="C246" s="91"/>
      <c r="D246" s="91"/>
      <c r="E246" s="91"/>
      <c r="F246" s="91"/>
      <c r="G246" s="91"/>
      <c r="H246" s="91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91"/>
      <c r="D247" s="91"/>
      <c r="E247" s="91"/>
      <c r="F247" s="91"/>
      <c r="G247" s="91"/>
      <c r="H247" s="91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7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7"/>
      <c r="B251" s="7"/>
      <c r="C251" s="91"/>
      <c r="D251" s="91"/>
      <c r="E251" s="91"/>
      <c r="F251" s="91"/>
      <c r="G251" s="91"/>
      <c r="H251" s="91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98"/>
      <c r="C254" s="98"/>
      <c r="D254" s="98"/>
      <c r="E254" s="98"/>
      <c r="F254" s="98"/>
      <c r="G254" s="98"/>
      <c r="H254" s="9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57"/>
      <c r="B255" s="97"/>
      <c r="C255" s="98"/>
      <c r="D255" s="98"/>
      <c r="E255" s="98"/>
      <c r="F255" s="98"/>
      <c r="G255" s="98"/>
      <c r="H255" s="9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57"/>
      <c r="B256" s="98"/>
      <c r="C256" s="98"/>
      <c r="D256" s="98"/>
      <c r="E256" s="98"/>
      <c r="F256" s="98"/>
      <c r="G256" s="98"/>
      <c r="H256" s="98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57"/>
      <c r="B257" s="7"/>
      <c r="C257" s="98"/>
      <c r="D257" s="98"/>
      <c r="E257" s="98"/>
      <c r="F257" s="98"/>
      <c r="G257" s="98"/>
      <c r="H257" s="98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7"/>
      <c r="B262" s="7"/>
      <c r="C262" s="87"/>
      <c r="D262" s="87"/>
      <c r="E262" s="87"/>
      <c r="F262" s="87"/>
      <c r="G262" s="87"/>
      <c r="H262" s="8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98"/>
      <c r="D263" s="98"/>
      <c r="E263" s="98"/>
      <c r="F263" s="98"/>
      <c r="G263" s="98"/>
      <c r="H263" s="9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7"/>
      <c r="B264" s="7"/>
      <c r="C264" s="99"/>
      <c r="D264" s="99"/>
      <c r="E264" s="99"/>
      <c r="F264" s="99"/>
      <c r="G264" s="99"/>
      <c r="H264" s="9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87"/>
      <c r="D265" s="87"/>
      <c r="E265" s="87"/>
      <c r="F265" s="87"/>
      <c r="G265" s="87"/>
      <c r="H265" s="8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99"/>
      <c r="D266" s="99"/>
      <c r="E266" s="99"/>
      <c r="F266" s="99"/>
      <c r="G266" s="99"/>
      <c r="H266" s="9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100"/>
      <c r="D267" s="100"/>
      <c r="E267" s="100"/>
      <c r="F267" s="100"/>
      <c r="G267" s="100"/>
      <c r="H267" s="10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100"/>
      <c r="D268" s="100"/>
      <c r="E268" s="100"/>
      <c r="F268" s="100"/>
      <c r="G268" s="100"/>
      <c r="H268" s="100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8.75" hidden="1" outlineLevel="2">
      <c r="A269" s="84"/>
      <c r="B269" s="7"/>
      <c r="C269" s="100"/>
      <c r="D269" s="100"/>
      <c r="E269" s="100"/>
      <c r="F269" s="100"/>
      <c r="G269" s="100"/>
      <c r="H269" s="100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idden="1" outlineLevel="2">
      <c r="A270" s="57"/>
      <c r="B270" s="7"/>
      <c r="C270" s="100"/>
      <c r="D270" s="100"/>
      <c r="E270" s="100"/>
      <c r="F270" s="100"/>
      <c r="G270" s="100"/>
      <c r="H270" s="100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idden="1" outlineLevel="2">
      <c r="A271" s="7"/>
      <c r="B271" s="7"/>
      <c r="C271" s="100"/>
      <c r="D271" s="100"/>
      <c r="E271" s="100"/>
      <c r="F271" s="100"/>
      <c r="G271" s="100"/>
      <c r="H271" s="100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idden="1" outlineLevel="2">
      <c r="A272" s="57"/>
      <c r="B272" s="11"/>
      <c r="C272" s="11"/>
      <c r="D272" s="10"/>
      <c r="E272" s="10"/>
      <c r="F272" s="11"/>
      <c r="G272" s="11"/>
      <c r="H272" s="10"/>
      <c r="I272" s="11"/>
      <c r="J272" s="11"/>
      <c r="K272" s="11"/>
      <c r="L272" s="10"/>
      <c r="M272" s="11"/>
      <c r="N272" s="11"/>
      <c r="O272" s="7"/>
      <c r="P272" s="7"/>
      <c r="Q272" s="7"/>
      <c r="R272" s="7"/>
      <c r="S272" s="7"/>
      <c r="T272" s="11"/>
      <c r="U272" s="7"/>
    </row>
    <row r="273" spans="1:25" hidden="1" outlineLevel="2">
      <c r="A273" s="5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5" hidden="1" outlineLevel="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5" hidden="1" outlineLevel="2">
      <c r="A275" s="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7"/>
      <c r="P275" s="7"/>
      <c r="Q275" s="7"/>
      <c r="R275" s="7"/>
      <c r="S275" s="7"/>
      <c r="T275" s="87"/>
      <c r="U275" s="7"/>
    </row>
    <row r="276" spans="1:25" hidden="1" outlineLevel="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5" hidden="1" outlineLevel="2">
      <c r="A277" s="7"/>
      <c r="B277" s="98"/>
      <c r="C277" s="98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7"/>
      <c r="P277" s="7"/>
      <c r="Q277" s="7"/>
      <c r="R277" s="7"/>
      <c r="S277" s="7"/>
      <c r="T277" s="87"/>
      <c r="U277" s="7"/>
    </row>
    <row r="278" spans="1:25" hidden="1" outlineLevel="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5" hidden="1" outlineLevel="2">
      <c r="A279" s="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7"/>
      <c r="P279" s="7"/>
      <c r="Q279" s="7"/>
      <c r="R279" s="7"/>
      <c r="S279" s="7"/>
      <c r="T279" s="87"/>
      <c r="U279" s="87"/>
      <c r="V279" s="87"/>
      <c r="W279" s="87"/>
      <c r="X279" s="87"/>
      <c r="Y279" s="87"/>
    </row>
    <row r="280" spans="1:25" hidden="1" outlineLevel="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5" hidden="1" outlineLevel="2">
      <c r="A281" s="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7"/>
      <c r="P281" s="7"/>
      <c r="Q281" s="7"/>
      <c r="R281" s="7"/>
      <c r="S281" s="7"/>
      <c r="T281" s="87"/>
      <c r="U281" s="7"/>
    </row>
    <row r="282" spans="1:25" hidden="1" outlineLevel="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5" hidden="1" outlineLevel="2">
      <c r="A283" s="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7"/>
      <c r="P283" s="7"/>
      <c r="Q283" s="7"/>
      <c r="R283" s="7"/>
      <c r="S283" s="7"/>
      <c r="T283" s="87"/>
      <c r="U283" s="87"/>
    </row>
    <row r="284" spans="1:25" hidden="1" outlineLevel="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5" hidden="1" outlineLevel="2">
      <c r="A285" s="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7"/>
      <c r="P285" s="7"/>
      <c r="Q285" s="7"/>
      <c r="R285" s="7"/>
      <c r="S285" s="7"/>
      <c r="T285" s="87"/>
      <c r="U285" s="87"/>
    </row>
    <row r="286" spans="1:25" hidden="1" outlineLevel="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5" outlineLevel="1" collapsed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5" outlineLevel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8.75" outlineLevel="1">
      <c r="A290" s="8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5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5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2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 spans="1:21" outlineLevel="1">
      <c r="A295" s="5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86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</row>
    <row r="297" spans="1:21" outlineLevel="1">
      <c r="A297" s="86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</row>
    <row r="298" spans="1:21" outlineLevel="1">
      <c r="A298" s="86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</row>
    <row r="299" spans="1:21" outlineLevel="1">
      <c r="A299" s="86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</row>
    <row r="300" spans="1:21" outlineLevel="1">
      <c r="A300" s="86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</row>
    <row r="301" spans="1:21" outlineLevel="1">
      <c r="A301" s="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 spans="1:21" outlineLevel="1">
      <c r="A302" s="5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86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86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86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86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5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5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86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5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5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86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86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5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5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86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2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5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5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5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5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outlineLevel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8.75" outlineLevel="1">
      <c r="A340" s="8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outlineLevel="1">
      <c r="A341" s="5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outlineLevel="1">
      <c r="A342" s="5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outlineLevel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outlineLevel="1">
      <c r="A344" s="2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7"/>
      <c r="P344" s="7"/>
      <c r="Q344" s="7"/>
      <c r="R344" s="7"/>
      <c r="S344" s="7"/>
      <c r="T344" s="7"/>
      <c r="U344" s="7"/>
    </row>
    <row r="345" spans="1:21" outlineLevel="1">
      <c r="A345" s="5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outlineLevel="1">
      <c r="A346" s="86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7"/>
      <c r="P346" s="7"/>
      <c r="Q346" s="7"/>
      <c r="R346" s="7"/>
      <c r="S346" s="7"/>
      <c r="T346" s="7"/>
      <c r="U346" s="7"/>
    </row>
    <row r="347" spans="1:21" outlineLevel="1">
      <c r="A347" s="86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7"/>
      <c r="P347" s="7"/>
      <c r="Q347" s="7"/>
      <c r="R347" s="7"/>
      <c r="S347" s="7"/>
      <c r="T347" s="7"/>
      <c r="U347" s="7"/>
    </row>
    <row r="348" spans="1:21" outlineLevel="1">
      <c r="A348" s="86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7"/>
      <c r="P348" s="7"/>
      <c r="Q348" s="7"/>
      <c r="R348" s="7"/>
      <c r="S348" s="7"/>
      <c r="T348" s="7"/>
      <c r="U348" s="7"/>
    </row>
    <row r="349" spans="1:21" outlineLevel="1">
      <c r="A349" s="86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7"/>
      <c r="P349" s="7"/>
      <c r="Q349" s="7"/>
      <c r="R349" s="7"/>
      <c r="S349" s="7"/>
      <c r="T349" s="7"/>
      <c r="U349" s="7"/>
    </row>
    <row r="350" spans="1:21" outlineLevel="1">
      <c r="A350" s="86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7"/>
      <c r="P350" s="7"/>
      <c r="Q350" s="7"/>
      <c r="R350" s="7"/>
      <c r="S350" s="7"/>
      <c r="T350" s="7"/>
      <c r="U350" s="7"/>
    </row>
    <row r="351" spans="1:21" outlineLevel="1">
      <c r="A351" s="86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7"/>
      <c r="P351" s="7"/>
      <c r="Q351" s="7"/>
      <c r="R351" s="7"/>
      <c r="S351" s="7"/>
      <c r="T351" s="7"/>
      <c r="U351" s="7"/>
    </row>
    <row r="352" spans="1:21" outlineLevel="1">
      <c r="A352" s="57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86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86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86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86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57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7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57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86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57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57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101"/>
      <c r="C373"/>
      <c r="D373"/>
      <c r="E373"/>
      <c r="F373"/>
      <c r="G373"/>
      <c r="H373"/>
      <c r="I373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57"/>
      <c r="B374" s="101"/>
      <c r="C374"/>
      <c r="D374"/>
      <c r="E374"/>
      <c r="F374"/>
      <c r="G374"/>
      <c r="H374"/>
      <c r="I374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/>
      <c r="D375"/>
      <c r="E375"/>
      <c r="F375"/>
      <c r="G375"/>
      <c r="H375"/>
      <c r="I375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57"/>
      <c r="B376" s="101"/>
      <c r="C376"/>
      <c r="D376"/>
      <c r="E376"/>
      <c r="F376"/>
      <c r="G376"/>
      <c r="H376"/>
      <c r="I376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57"/>
      <c r="B377" s="101"/>
      <c r="C377"/>
      <c r="D377"/>
      <c r="E377"/>
      <c r="F377"/>
      <c r="G377"/>
      <c r="H377"/>
      <c r="I377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7"/>
      <c r="B378" s="101"/>
      <c r="C378"/>
      <c r="D378"/>
      <c r="E378"/>
      <c r="F378"/>
      <c r="G378"/>
      <c r="H378"/>
      <c r="I378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</row>
    <row r="379" spans="1:21" outlineLevel="1">
      <c r="A379" s="7"/>
      <c r="B379" s="101"/>
      <c r="C379"/>
      <c r="D379"/>
      <c r="E379"/>
      <c r="F379"/>
      <c r="G379"/>
      <c r="H379"/>
      <c r="I379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</row>
    <row r="380" spans="1:21" outlineLevel="1">
      <c r="A380" s="7"/>
      <c r="B380" s="101"/>
      <c r="C380"/>
      <c r="D380"/>
      <c r="E380"/>
      <c r="F380"/>
      <c r="G380"/>
      <c r="H380"/>
      <c r="I380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</row>
    <row r="381" spans="1:21" outlineLevel="1">
      <c r="A381" s="7"/>
      <c r="B381" s="101"/>
      <c r="C381"/>
      <c r="D381"/>
      <c r="E381"/>
      <c r="F381"/>
      <c r="G381"/>
      <c r="H381"/>
      <c r="I38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</row>
    <row r="382" spans="1:21" outlineLevel="1">
      <c r="A382" s="7"/>
      <c r="B382" s="101"/>
      <c r="C382"/>
      <c r="D382"/>
      <c r="E382"/>
      <c r="F382"/>
      <c r="G382"/>
      <c r="H382"/>
      <c r="I382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</row>
    <row r="383" spans="1:21" outlineLevel="1">
      <c r="A383" s="7"/>
      <c r="B383" s="101"/>
      <c r="C383"/>
      <c r="D383"/>
      <c r="E383"/>
      <c r="F383"/>
      <c r="G383"/>
      <c r="H383"/>
      <c r="I383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outlineLevel="1">
      <c r="A384" s="57"/>
      <c r="B384" s="101"/>
      <c r="C384"/>
      <c r="D384"/>
      <c r="E384"/>
      <c r="F384"/>
      <c r="G384"/>
      <c r="H384"/>
      <c r="I384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outlineLevel="1">
      <c r="A385" s="7"/>
      <c r="B385" s="101"/>
      <c r="C385"/>
      <c r="D385"/>
      <c r="E385"/>
      <c r="F385"/>
      <c r="G385"/>
      <c r="H385"/>
      <c r="I385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7"/>
      <c r="B386" s="101"/>
      <c r="C386"/>
      <c r="D386"/>
      <c r="E386"/>
      <c r="F386"/>
      <c r="G386"/>
      <c r="H386"/>
      <c r="I386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57"/>
      <c r="B387" s="101"/>
      <c r="C387"/>
      <c r="D387"/>
      <c r="E387"/>
      <c r="F387"/>
      <c r="G387"/>
      <c r="H387"/>
      <c r="I387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57"/>
      <c r="B388" s="101"/>
      <c r="C388"/>
      <c r="D388"/>
      <c r="E388"/>
      <c r="F388"/>
      <c r="G388"/>
      <c r="H388"/>
      <c r="I388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7"/>
      <c r="B389" s="101"/>
      <c r="C389"/>
      <c r="D389"/>
      <c r="E389"/>
      <c r="F389"/>
      <c r="G389"/>
      <c r="H389"/>
      <c r="I389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/>
      <c r="D390"/>
      <c r="E390"/>
      <c r="F390"/>
      <c r="G390"/>
      <c r="H390"/>
      <c r="I390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7"/>
      <c r="B391" s="101"/>
      <c r="C391"/>
      <c r="D391"/>
      <c r="E391"/>
      <c r="F391"/>
      <c r="G391"/>
      <c r="H391"/>
      <c r="I39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7"/>
      <c r="B392" s="101"/>
      <c r="C392"/>
      <c r="D392"/>
      <c r="E392"/>
      <c r="F392"/>
      <c r="G392"/>
      <c r="H392"/>
      <c r="I392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7"/>
      <c r="B393" s="101"/>
      <c r="C393"/>
      <c r="D393"/>
      <c r="E393"/>
      <c r="F393"/>
      <c r="G393"/>
      <c r="H393"/>
      <c r="I393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7"/>
      <c r="B394" s="101"/>
      <c r="C394"/>
      <c r="D394"/>
      <c r="E394"/>
      <c r="F394"/>
      <c r="G394"/>
      <c r="H394"/>
      <c r="I394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</row>
    <row r="395" spans="1:21" outlineLevel="1">
      <c r="A395" s="7"/>
      <c r="B395" s="101"/>
      <c r="C395"/>
      <c r="D395"/>
      <c r="E395"/>
      <c r="F395"/>
      <c r="G395"/>
      <c r="H395"/>
      <c r="I395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</row>
    <row r="396" spans="1:21" outlineLevel="1">
      <c r="A396" s="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5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5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57"/>
      <c r="B401" s="102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7"/>
      <c r="P401" s="7"/>
      <c r="Q401" s="7"/>
      <c r="R401" s="7"/>
      <c r="S401" s="7"/>
      <c r="T401" s="7"/>
      <c r="U401" s="7"/>
    </row>
    <row r="402" spans="1:21" outlineLevel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8.75" outlineLevel="1">
      <c r="A403" s="8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outlineLevel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outlineLevel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outlineLevel="1">
      <c r="A407" s="2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</row>
    <row r="408" spans="1:21" outlineLevel="1">
      <c r="A408" s="7"/>
      <c r="B408" s="7"/>
      <c r="C408" s="7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7"/>
      <c r="C409" s="73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7"/>
      <c r="P409" s="7"/>
      <c r="Q409" s="7"/>
      <c r="R409" s="7"/>
      <c r="S409" s="7"/>
      <c r="T409" s="7"/>
      <c r="U409" s="7"/>
    </row>
    <row r="410" spans="1:21" outlineLevel="1">
      <c r="A410" s="7"/>
      <c r="B410" s="7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"/>
      <c r="P410" s="7"/>
      <c r="Q410" s="7"/>
      <c r="R410" s="7"/>
      <c r="S410" s="7"/>
      <c r="T410" s="7"/>
      <c r="U410" s="7"/>
    </row>
    <row r="411" spans="1:21" outlineLevel="1">
      <c r="A411" s="7"/>
      <c r="B411" s="7"/>
      <c r="C411" s="73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7"/>
      <c r="P411" s="7"/>
      <c r="Q411" s="7"/>
      <c r="R411" s="7"/>
      <c r="S411" s="7"/>
      <c r="T411" s="7"/>
      <c r="U411" s="7"/>
    </row>
    <row r="412" spans="1:21" outlineLevel="1">
      <c r="A412" s="7"/>
      <c r="B412" s="7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"/>
      <c r="P412" s="7"/>
      <c r="Q412" s="7"/>
      <c r="R412" s="7"/>
      <c r="S412" s="7"/>
      <c r="T412" s="7"/>
      <c r="U412" s="7"/>
    </row>
    <row r="413" spans="1:21" outlineLevel="1">
      <c r="A413" s="7"/>
      <c r="B413" s="7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"/>
      <c r="P413" s="7"/>
      <c r="Q413" s="7"/>
      <c r="R413" s="7"/>
      <c r="S413" s="7"/>
      <c r="T413" s="7"/>
      <c r="U413" s="7"/>
    </row>
    <row r="414" spans="1:21" outlineLevel="1">
      <c r="A414" s="94"/>
      <c r="B414" s="7"/>
      <c r="C414" s="73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7"/>
      <c r="P414" s="7"/>
      <c r="Q414" s="7"/>
      <c r="R414" s="7"/>
      <c r="S414" s="7"/>
      <c r="T414" s="7"/>
      <c r="U414" s="7"/>
    </row>
    <row r="415" spans="1:21" outlineLevel="1">
      <c r="A415" s="94"/>
      <c r="B415" s="7"/>
      <c r="C415" s="73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7"/>
      <c r="C416" s="7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102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outlineLevel="1">
      <c r="A419" s="57"/>
      <c r="B419" s="7"/>
      <c r="C419" s="73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7"/>
      <c r="P419" s="7"/>
      <c r="Q419" s="7"/>
      <c r="R419" s="7"/>
      <c r="S419" s="7"/>
      <c r="T419" s="7"/>
      <c r="U419" s="7"/>
    </row>
    <row r="420" spans="1:21" outlineLevel="1">
      <c r="A420" s="7"/>
      <c r="B420" s="7"/>
      <c r="C420" s="73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7"/>
      <c r="P420" s="7"/>
      <c r="Q420" s="7"/>
      <c r="R420" s="7"/>
      <c r="S420" s="7"/>
      <c r="T420" s="7"/>
      <c r="U420" s="7"/>
    </row>
    <row r="421" spans="1:21" outlineLevel="1">
      <c r="A421" s="57"/>
      <c r="B421" s="7"/>
      <c r="C421" s="73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7"/>
      <c r="P421" s="7"/>
      <c r="Q421" s="7"/>
      <c r="R421" s="7"/>
      <c r="S421" s="7"/>
      <c r="T421" s="7"/>
      <c r="U421" s="7"/>
    </row>
    <row r="422" spans="1:21" outlineLevel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outlineLevel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s="106" customFormat="1" ht="18.75" outlineLevel="1">
      <c r="A424" s="104"/>
      <c r="B424" s="105"/>
      <c r="C424" s="105"/>
    </row>
    <row r="425" spans="1:21" s="106" customFormat="1" outlineLevel="1">
      <c r="A425" s="105"/>
      <c r="B425" s="107"/>
      <c r="C425" s="108"/>
      <c r="D425" s="105"/>
      <c r="E425" s="109"/>
    </row>
    <row r="426" spans="1:21" s="106" customFormat="1" outlineLevel="1">
      <c r="A426" s="105"/>
      <c r="B426" s="110"/>
      <c r="C426" s="88"/>
      <c r="D426" s="88"/>
      <c r="E426" s="109"/>
    </row>
    <row r="427" spans="1:21" s="106" customFormat="1" outlineLevel="1">
      <c r="A427" s="105"/>
      <c r="B427" s="88"/>
      <c r="C427" s="109"/>
      <c r="D427" s="88"/>
      <c r="E427" s="110"/>
    </row>
    <row r="428" spans="1:21" s="106" customFormat="1" outlineLevel="1">
      <c r="A428" s="111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</row>
    <row r="429" spans="1:21" s="106" customFormat="1" outlineLevel="1">
      <c r="A429" s="80"/>
      <c r="B429" s="105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</row>
    <row r="430" spans="1:21" s="106" customFormat="1" outlineLevel="1">
      <c r="A430" s="79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</row>
    <row r="431" spans="1:21" s="106" customFormat="1" outlineLevel="1">
      <c r="A431" s="79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</row>
    <row r="432" spans="1:21" s="106" customFormat="1" outlineLevel="1">
      <c r="A432" s="79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</row>
    <row r="433" spans="1:21" s="106" customFormat="1" outlineLevel="1">
      <c r="A433" s="78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</row>
    <row r="434" spans="1:21" s="106" customFormat="1" outlineLevel="1">
      <c r="A434" s="69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06" customFormat="1" outlineLevel="1">
      <c r="A435" s="80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06" customFormat="1" outlineLevel="1">
      <c r="A436" s="113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113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113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113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113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83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113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113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113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80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80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80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80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79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79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</row>
    <row r="453" spans="1:21" s="106" customFormat="1" outlineLevel="1">
      <c r="A453" s="80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outlineLevel="1">
      <c r="A454" s="82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</row>
    <row r="455" spans="1:21" s="106" customFormat="1" outlineLevel="1">
      <c r="A455" s="79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ht="13.9" customHeight="1" outlineLevel="1">
      <c r="A456" s="78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16" customFormat="1" outlineLevel="1">
      <c r="A457" s="115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8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79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 outlineLevel="1">
      <c r="A462" s="7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80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16" customFormat="1" outlineLevel="1">
      <c r="A464" s="117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/>
      <c r="B465"/>
      <c r="C465"/>
      <c r="D465"/>
      <c r="E465"/>
      <c r="F465"/>
      <c r="G465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/>
      <c r="B466"/>
      <c r="C466"/>
      <c r="D466"/>
      <c r="E466"/>
      <c r="F466"/>
      <c r="G466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/>
      <c r="B467"/>
      <c r="C467"/>
      <c r="D467"/>
      <c r="E467"/>
      <c r="F467"/>
      <c r="G467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/>
      <c r="B468"/>
      <c r="C468"/>
      <c r="D468"/>
      <c r="E468"/>
      <c r="F468"/>
      <c r="G468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/>
      <c r="B469"/>
      <c r="C469"/>
      <c r="D469"/>
      <c r="E469"/>
      <c r="F469"/>
      <c r="G469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16" customFormat="1" outlineLevel="1">
      <c r="A470"/>
      <c r="B470"/>
      <c r="C470"/>
      <c r="D470"/>
      <c r="E470"/>
      <c r="F470"/>
      <c r="G470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/>
      <c r="B471"/>
      <c r="C471"/>
      <c r="D471"/>
      <c r="E471"/>
      <c r="F471"/>
      <c r="G471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/>
      <c r="B472"/>
      <c r="C472"/>
      <c r="D472"/>
      <c r="E472"/>
      <c r="F472"/>
      <c r="G47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/>
      <c r="B473"/>
      <c r="C473"/>
      <c r="D473"/>
      <c r="E473"/>
      <c r="F473"/>
      <c r="G473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16" customFormat="1" outlineLevel="1">
      <c r="A474"/>
      <c r="B474"/>
      <c r="C474"/>
      <c r="D474"/>
      <c r="E474"/>
      <c r="F474"/>
      <c r="G474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/>
      <c r="B475"/>
      <c r="C475"/>
      <c r="D475"/>
      <c r="E475"/>
      <c r="F475"/>
      <c r="G475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16" customFormat="1" outlineLevel="1">
      <c r="A476"/>
      <c r="B476"/>
      <c r="C476"/>
      <c r="D476"/>
      <c r="E476"/>
      <c r="F476"/>
      <c r="G476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/>
      <c r="B477"/>
      <c r="C477"/>
      <c r="D477"/>
      <c r="E477"/>
      <c r="F477"/>
      <c r="G477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/>
      <c r="B478"/>
      <c r="C478"/>
      <c r="D478"/>
      <c r="E478"/>
      <c r="F478"/>
      <c r="G478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/>
      <c r="B479"/>
      <c r="C479"/>
      <c r="D479"/>
      <c r="E479"/>
      <c r="F479"/>
      <c r="G479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outlineLevel="1">
      <c r="A480"/>
      <c r="B480"/>
      <c r="C480"/>
      <c r="D480"/>
      <c r="E480"/>
      <c r="F480"/>
      <c r="G480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outlineLevel="1">
      <c r="A481"/>
      <c r="B481"/>
      <c r="C481"/>
      <c r="D481"/>
      <c r="E481"/>
      <c r="F481"/>
      <c r="G481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outlineLevel="1">
      <c r="A482"/>
      <c r="B482"/>
      <c r="C482"/>
      <c r="D482"/>
      <c r="E482"/>
      <c r="F482"/>
      <c r="G482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8.75" outlineLevel="1">
      <c r="A483" s="8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outlineLevel="1">
      <c r="A484" s="5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outlineLevel="1">
      <c r="A485" s="118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7"/>
      <c r="N485" s="7"/>
      <c r="O485" s="7"/>
      <c r="P485" s="7"/>
      <c r="Q485" s="7"/>
      <c r="R485" s="7"/>
      <c r="S485" s="7"/>
      <c r="T485" s="7"/>
      <c r="U485" s="7"/>
    </row>
    <row r="486" spans="1:21" outlineLevel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outlineLevel="1">
      <c r="A487" s="2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idden="1" outlineLevel="2">
      <c r="A488" s="5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idden="1" outlineLevel="2">
      <c r="A489" s="86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idden="1" outlineLevel="2">
      <c r="A490" s="86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idden="1" outlineLevel="2">
      <c r="A491" s="119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idden="1" outlineLevel="2">
      <c r="A492" s="86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idden="1" outlineLevel="2">
      <c r="A493" s="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idden="1" outlineLevel="2">
      <c r="A494" s="5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86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86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86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86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86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86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86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86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2">
      <c r="A511" s="5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2">
      <c r="A512" s="86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outlineLevel="1" collapsed="1">
      <c r="A513" s="5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5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5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outlineLevel="1">
      <c r="A516" s="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outlineLevel="1">
      <c r="A517" s="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5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5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5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>
      <c r="A522" s="7"/>
      <c r="B522" s="7"/>
      <c r="C522" s="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>
      <c r="A523" s="7"/>
      <c r="B523" s="7"/>
      <c r="C523" s="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>
      <c r="A524" s="7"/>
      <c r="B524" s="7"/>
      <c r="C524" s="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>
      <c r="A525" s="7"/>
      <c r="B525" s="7"/>
      <c r="C525" s="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>
      <c r="A526" s="7"/>
      <c r="B526" s="7"/>
      <c r="C526" s="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</sheetData>
  <pageMargins left="0.18" right="0.17" top="0.37" bottom="0.4" header="0.17" footer="0.21"/>
  <pageSetup scale="45" orientation="landscape" r:id="rId1"/>
  <headerFooter alignWithMargins="0">
    <oddHeader>&amp;L&amp;12Enron's Generation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2:E27"/>
  <sheetViews>
    <sheetView zoomScale="75" zoomScaleNormal="75" workbookViewId="0">
      <selection activeCell="D2" sqref="D2"/>
    </sheetView>
  </sheetViews>
  <sheetFormatPr defaultRowHeight="12.75"/>
  <cols>
    <col min="1" max="1" width="21.28515625" style="16" bestFit="1" customWidth="1"/>
    <col min="2" max="2" width="4" style="16" customWidth="1"/>
    <col min="3" max="3" width="17.28515625" style="16" bestFit="1" customWidth="1"/>
    <col min="4" max="4" width="3.5703125" style="16" customWidth="1"/>
    <col min="5" max="5" width="13.7109375" style="16" bestFit="1" customWidth="1"/>
    <col min="6" max="16384" width="9.140625" style="16"/>
  </cols>
  <sheetData>
    <row r="2" spans="1:5" ht="18.75">
      <c r="A2" s="438" t="s">
        <v>99</v>
      </c>
    </row>
    <row r="3" spans="1:5" ht="15.75">
      <c r="A3" s="274"/>
    </row>
    <row r="4" spans="1:5">
      <c r="A4" s="396" t="s">
        <v>100</v>
      </c>
      <c r="B4" s="50"/>
      <c r="C4" s="396" t="s">
        <v>177</v>
      </c>
      <c r="D4" s="50"/>
      <c r="E4" s="396" t="s">
        <v>188</v>
      </c>
    </row>
    <row r="7" spans="1:5">
      <c r="A7" s="15" t="s">
        <v>9</v>
      </c>
      <c r="C7" s="436">
        <v>0.125039438479223</v>
      </c>
      <c r="E7" s="436">
        <v>0.15501823273055182</v>
      </c>
    </row>
    <row r="8" spans="1:5">
      <c r="A8" s="15" t="s">
        <v>10</v>
      </c>
      <c r="C8" s="436">
        <v>0.1511835224699338</v>
      </c>
      <c r="E8" s="436">
        <v>0.15605780761822363</v>
      </c>
    </row>
    <row r="9" spans="1:5">
      <c r="A9" s="39" t="s">
        <v>11</v>
      </c>
      <c r="C9" s="437">
        <v>0.14539217477626698</v>
      </c>
      <c r="E9" s="437">
        <v>0.11944633226428593</v>
      </c>
    </row>
    <row r="10" spans="1:5">
      <c r="A10" s="15" t="s">
        <v>101</v>
      </c>
      <c r="C10" s="436">
        <f>SUM(C7:C9)</f>
        <v>0.42161513572542375</v>
      </c>
      <c r="E10" s="436">
        <f>SUM(E7:E9)</f>
        <v>0.43052237261306137</v>
      </c>
    </row>
    <row r="11" spans="1:5">
      <c r="A11" s="39"/>
      <c r="C11" s="436"/>
      <c r="E11" s="436"/>
    </row>
    <row r="12" spans="1:5">
      <c r="A12" s="15" t="s">
        <v>113</v>
      </c>
      <c r="C12" s="436">
        <v>0.17074206551655802</v>
      </c>
      <c r="E12" s="436">
        <v>0.17611369381710218</v>
      </c>
    </row>
    <row r="13" spans="1:5">
      <c r="A13" s="15" t="s">
        <v>12</v>
      </c>
      <c r="C13" s="436">
        <v>0.1561848046993598</v>
      </c>
      <c r="E13" s="436">
        <v>0.17073487833440371</v>
      </c>
    </row>
    <row r="14" spans="1:5">
      <c r="A14" s="39" t="s">
        <v>13</v>
      </c>
      <c r="C14" s="437">
        <v>0.25145799405865837</v>
      </c>
      <c r="E14" s="437">
        <v>0.22262905523543272</v>
      </c>
    </row>
    <row r="15" spans="1:5">
      <c r="A15" s="15" t="s">
        <v>101</v>
      </c>
      <c r="C15" s="436">
        <f>SUM(C12:C14)</f>
        <v>0.57838486427457614</v>
      </c>
      <c r="E15" s="436">
        <f>SUM(E12:E14)</f>
        <v>0.56947762738693863</v>
      </c>
    </row>
    <row r="16" spans="1:5">
      <c r="A16" s="39"/>
      <c r="C16" s="433"/>
      <c r="E16" s="433"/>
    </row>
    <row r="17" spans="1:5" ht="13.5" thickBot="1">
      <c r="A17" s="516" t="s">
        <v>23</v>
      </c>
      <c r="B17" s="432"/>
      <c r="C17" s="435">
        <f>SUM(C10,C15)</f>
        <v>0.99999999999999989</v>
      </c>
      <c r="D17" s="432"/>
      <c r="E17" s="435">
        <f>E15+E10</f>
        <v>1</v>
      </c>
    </row>
    <row r="18" spans="1:5" ht="13.5" thickTop="1">
      <c r="B18" s="6"/>
    </row>
    <row r="19" spans="1:5">
      <c r="B19" s="6"/>
      <c r="C19" s="6"/>
      <c r="D19" s="6"/>
    </row>
    <row r="20" spans="1:5">
      <c r="B20" s="397"/>
      <c r="C20" s="398"/>
    </row>
    <row r="25" spans="1:5">
      <c r="A25" s="39" t="s">
        <v>234</v>
      </c>
    </row>
    <row r="26" spans="1:5">
      <c r="A26" s="16" t="s">
        <v>260</v>
      </c>
    </row>
    <row r="27" spans="1:5">
      <c r="A27" s="16" t="s">
        <v>235</v>
      </c>
    </row>
  </sheetData>
  <pageMargins left="0.18" right="0.17" top="0.37" bottom="0.4" header="0.17" footer="0.21"/>
  <pageSetup orientation="landscape" r:id="rId1"/>
  <headerFooter alignWithMargins="0">
    <oddHeader>&amp;L&amp;12Enron's Generation</oddHeader>
    <oddFooter>&amp;L&amp;T, 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2:AG69"/>
  <sheetViews>
    <sheetView zoomScale="75" zoomScaleNormal="75" workbookViewId="0"/>
  </sheetViews>
  <sheetFormatPr defaultRowHeight="12.75"/>
  <cols>
    <col min="1" max="1" width="66.28515625" customWidth="1"/>
    <col min="3" max="5" width="13.7109375" customWidth="1"/>
    <col min="6" max="6" width="5.140625" customWidth="1"/>
    <col min="7" max="9" width="13.7109375" customWidth="1"/>
    <col min="10" max="10" width="4.5703125" customWidth="1"/>
    <col min="11" max="11" width="13.7109375" customWidth="1"/>
    <col min="12" max="12" width="4.7109375" customWidth="1"/>
    <col min="16" max="16" width="23" bestFit="1" customWidth="1"/>
  </cols>
  <sheetData>
    <row r="2" spans="1:33" ht="18.75">
      <c r="A2" s="438" t="s">
        <v>189</v>
      </c>
    </row>
    <row r="4" spans="1:33" ht="13.5" thickBot="1"/>
    <row r="5" spans="1:33" ht="15.75">
      <c r="A5" s="164" t="s">
        <v>2</v>
      </c>
      <c r="B5" s="188"/>
      <c r="C5" s="539" t="s">
        <v>3</v>
      </c>
      <c r="D5" s="539"/>
      <c r="E5" s="539"/>
      <c r="F5" s="27"/>
      <c r="G5" s="539" t="s">
        <v>4</v>
      </c>
      <c r="H5" s="539"/>
      <c r="I5" s="539"/>
      <c r="J5" s="189"/>
      <c r="K5" s="441"/>
      <c r="L5" s="14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</row>
    <row r="6" spans="1:33" ht="15.75">
      <c r="A6" s="176"/>
      <c r="B6" s="169"/>
      <c r="C6" s="169"/>
      <c r="D6" s="169"/>
      <c r="E6" s="169"/>
      <c r="F6" s="17"/>
      <c r="G6" s="169"/>
      <c r="H6" s="169"/>
      <c r="I6" s="169"/>
      <c r="J6" s="125"/>
      <c r="K6" s="177"/>
      <c r="L6" s="145"/>
      <c r="M6" s="405"/>
      <c r="N6" s="405"/>
      <c r="O6" s="405"/>
      <c r="P6" s="405"/>
      <c r="Q6" s="405"/>
      <c r="R6" s="405"/>
      <c r="S6" s="405"/>
      <c r="T6" s="405"/>
      <c r="U6" s="405"/>
      <c r="V6" s="405"/>
      <c r="W6" s="405"/>
      <c r="X6" s="405"/>
      <c r="Y6" s="405"/>
      <c r="Z6" s="405"/>
      <c r="AA6" s="405"/>
      <c r="AB6" s="405"/>
      <c r="AC6" s="405"/>
      <c r="AD6" s="405"/>
      <c r="AE6" s="405"/>
      <c r="AF6" s="405"/>
      <c r="AG6" s="405"/>
    </row>
    <row r="7" spans="1:33" ht="15.75">
      <c r="A7" s="176"/>
      <c r="B7" s="169"/>
      <c r="C7" s="195" t="s">
        <v>9</v>
      </c>
      <c r="D7" s="195" t="s">
        <v>10</v>
      </c>
      <c r="E7" s="195" t="s">
        <v>11</v>
      </c>
      <c r="F7" s="17"/>
      <c r="G7" s="195" t="s">
        <v>113</v>
      </c>
      <c r="H7" s="195" t="s">
        <v>12</v>
      </c>
      <c r="I7" s="195" t="s">
        <v>13</v>
      </c>
      <c r="J7" s="72"/>
      <c r="K7" s="196" t="s">
        <v>192</v>
      </c>
      <c r="L7" s="145"/>
      <c r="M7" s="405"/>
      <c r="N7" s="405"/>
      <c r="O7" s="405"/>
      <c r="P7" s="405"/>
      <c r="Q7" s="405"/>
      <c r="R7" s="405"/>
      <c r="S7" s="405"/>
      <c r="T7" s="405"/>
      <c r="U7" s="405"/>
      <c r="V7" s="405"/>
      <c r="W7" s="405"/>
      <c r="X7" s="405"/>
      <c r="Y7" s="405"/>
      <c r="Z7" s="405"/>
      <c r="AA7" s="405"/>
      <c r="AB7" s="405"/>
      <c r="AC7" s="405"/>
      <c r="AD7" s="405"/>
      <c r="AE7" s="405"/>
      <c r="AF7" s="405"/>
      <c r="AG7" s="405"/>
    </row>
    <row r="8" spans="1:33" ht="15.75">
      <c r="A8" s="176" t="s">
        <v>17</v>
      </c>
      <c r="B8" s="169"/>
      <c r="C8" s="308">
        <v>4</v>
      </c>
      <c r="D8" s="308">
        <v>6</v>
      </c>
      <c r="E8" s="308">
        <v>6</v>
      </c>
      <c r="F8" s="380"/>
      <c r="G8" s="308">
        <v>3</v>
      </c>
      <c r="H8" s="308">
        <v>4</v>
      </c>
      <c r="I8" s="308">
        <v>8</v>
      </c>
      <c r="J8" s="266"/>
      <c r="K8" s="478">
        <f>SUM(C8:I8)</f>
        <v>31</v>
      </c>
      <c r="L8" s="145"/>
      <c r="M8" s="405"/>
      <c r="N8" s="405"/>
      <c r="O8" s="405"/>
      <c r="P8" s="405"/>
      <c r="Q8" s="405"/>
      <c r="R8" s="405"/>
      <c r="S8" s="405"/>
      <c r="T8" s="405"/>
      <c r="U8" s="405"/>
      <c r="V8" s="405"/>
      <c r="W8" s="405"/>
      <c r="X8" s="405"/>
      <c r="Y8" s="405"/>
      <c r="Z8" s="405"/>
      <c r="AA8" s="405"/>
      <c r="AB8" s="405"/>
      <c r="AC8" s="405"/>
      <c r="AD8" s="405"/>
      <c r="AE8" s="405"/>
      <c r="AF8" s="405"/>
      <c r="AG8" s="405"/>
    </row>
    <row r="9" spans="1:33" ht="15.75">
      <c r="A9" s="176" t="s">
        <v>247</v>
      </c>
      <c r="B9" s="169"/>
      <c r="C9" s="308">
        <v>458</v>
      </c>
      <c r="D9" s="308">
        <v>466</v>
      </c>
      <c r="E9" s="308">
        <v>371</v>
      </c>
      <c r="F9" s="373"/>
      <c r="G9" s="308">
        <v>510</v>
      </c>
      <c r="H9" s="308">
        <v>470</v>
      </c>
      <c r="I9" s="308">
        <v>608</v>
      </c>
      <c r="J9" s="316"/>
      <c r="K9" s="478">
        <f>SUM(C9:I9)</f>
        <v>2883</v>
      </c>
      <c r="L9" s="145"/>
      <c r="M9" s="405"/>
      <c r="N9" s="405"/>
      <c r="O9" s="405"/>
      <c r="P9" s="405"/>
      <c r="Q9" s="405"/>
      <c r="R9" s="405"/>
      <c r="S9" s="405"/>
      <c r="T9" s="405"/>
      <c r="U9" s="405"/>
      <c r="V9" s="405"/>
      <c r="W9" s="405"/>
      <c r="X9" s="405"/>
      <c r="Y9" s="405"/>
      <c r="Z9" s="405"/>
      <c r="AA9" s="405"/>
      <c r="AB9" s="405"/>
      <c r="AC9" s="405"/>
      <c r="AD9" s="405"/>
      <c r="AE9" s="405"/>
      <c r="AF9" s="405"/>
      <c r="AG9" s="405"/>
    </row>
    <row r="10" spans="1:33" ht="15.75">
      <c r="A10" s="176" t="s">
        <v>301</v>
      </c>
      <c r="B10" s="169"/>
      <c r="C10" s="308">
        <v>11406</v>
      </c>
      <c r="D10" s="308">
        <v>12064</v>
      </c>
      <c r="E10" s="308">
        <v>12500</v>
      </c>
      <c r="F10" s="372"/>
      <c r="G10" s="308">
        <v>10592</v>
      </c>
      <c r="H10" s="308">
        <v>11734</v>
      </c>
      <c r="I10" s="308">
        <v>11973</v>
      </c>
      <c r="J10" s="266"/>
      <c r="K10" s="478">
        <f>SUMPRODUCT(C10:I10,C9:I9)/K9</f>
        <v>11682.190773499826</v>
      </c>
      <c r="L10" s="145"/>
      <c r="M10" s="405"/>
      <c r="N10" s="405"/>
      <c r="O10" s="405"/>
      <c r="P10" s="405"/>
      <c r="Q10" s="405"/>
      <c r="R10" s="405"/>
      <c r="S10" s="405"/>
      <c r="T10" s="405"/>
      <c r="U10" s="405"/>
      <c r="V10" s="405"/>
      <c r="W10" s="405"/>
      <c r="X10" s="405"/>
      <c r="Y10" s="405"/>
      <c r="Z10" s="405"/>
      <c r="AA10" s="405"/>
      <c r="AB10" s="405"/>
      <c r="AC10" s="405"/>
      <c r="AD10" s="405"/>
      <c r="AE10" s="405"/>
      <c r="AF10" s="405"/>
      <c r="AG10" s="405"/>
    </row>
    <row r="11" spans="1:33" ht="15.75">
      <c r="A11" s="176" t="s">
        <v>172</v>
      </c>
      <c r="B11" s="405"/>
      <c r="C11" s="308">
        <v>75</v>
      </c>
      <c r="D11" s="308">
        <v>75</v>
      </c>
      <c r="E11" s="308">
        <v>75</v>
      </c>
      <c r="F11" s="372"/>
      <c r="G11" s="308">
        <v>75</v>
      </c>
      <c r="H11" s="308">
        <v>75</v>
      </c>
      <c r="I11" s="308">
        <v>75</v>
      </c>
      <c r="J11" s="405"/>
      <c r="K11" s="478">
        <f>SUM(C11:I11)</f>
        <v>450</v>
      </c>
      <c r="L11" s="17"/>
      <c r="M11" s="405"/>
      <c r="N11" s="405"/>
      <c r="O11" s="405"/>
      <c r="P11" s="405"/>
      <c r="Q11" s="405"/>
      <c r="R11" s="405"/>
      <c r="S11" s="405"/>
      <c r="T11" s="405"/>
      <c r="U11" s="405"/>
      <c r="V11" s="405"/>
      <c r="W11" s="405"/>
      <c r="X11" s="405"/>
      <c r="Y11" s="405"/>
      <c r="Z11" s="405"/>
      <c r="AA11" s="405"/>
      <c r="AB11" s="405"/>
      <c r="AC11" s="405"/>
      <c r="AD11" s="405"/>
      <c r="AE11" s="405"/>
      <c r="AF11" s="405"/>
      <c r="AG11" s="405"/>
    </row>
    <row r="12" spans="1:33" ht="16.5" thickBot="1">
      <c r="A12" s="178" t="s">
        <v>300</v>
      </c>
      <c r="B12" s="179"/>
      <c r="C12" s="268">
        <f>C26*8760</f>
        <v>175.20000000000002</v>
      </c>
      <c r="D12" s="268">
        <f>D26*8760</f>
        <v>175.20000000000002</v>
      </c>
      <c r="E12" s="268">
        <f>E26*8760</f>
        <v>175.20000000000002</v>
      </c>
      <c r="F12" s="514"/>
      <c r="G12" s="268">
        <f>G26*8760</f>
        <v>175.20000000000002</v>
      </c>
      <c r="H12" s="268">
        <f>H26*8760</f>
        <v>175.20000000000002</v>
      </c>
      <c r="I12" s="268">
        <f>I26*8760</f>
        <v>175.20000000000002</v>
      </c>
      <c r="J12" s="268"/>
      <c r="K12" s="506">
        <f>SUM(C12:I12)</f>
        <v>1051.2</v>
      </c>
      <c r="L12" s="145"/>
      <c r="M12" s="405"/>
      <c r="N12" s="405"/>
      <c r="O12" s="405"/>
      <c r="P12" s="405"/>
      <c r="Q12" s="405"/>
      <c r="R12" s="405"/>
      <c r="S12" s="405"/>
      <c r="T12" s="405"/>
      <c r="U12" s="405"/>
      <c r="V12" s="405"/>
      <c r="W12" s="405"/>
      <c r="X12" s="405"/>
      <c r="Y12" s="405"/>
      <c r="Z12" s="405"/>
      <c r="AA12" s="405"/>
      <c r="AB12" s="405"/>
      <c r="AC12" s="405"/>
      <c r="AD12" s="405"/>
      <c r="AE12" s="405"/>
      <c r="AF12" s="405"/>
      <c r="AG12" s="405"/>
    </row>
    <row r="13" spans="1:3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45"/>
      <c r="M13" s="405"/>
      <c r="N13" s="405"/>
      <c r="O13" s="405"/>
      <c r="P13" s="405"/>
      <c r="Q13" s="405"/>
      <c r="R13" s="405"/>
      <c r="S13" s="405"/>
      <c r="T13" s="405"/>
      <c r="U13" s="405"/>
      <c r="V13" s="405"/>
      <c r="W13" s="405"/>
      <c r="X13" s="405"/>
      <c r="Y13" s="405"/>
      <c r="Z13" s="405"/>
      <c r="AA13" s="405"/>
      <c r="AB13" s="405"/>
      <c r="AC13" s="405"/>
      <c r="AD13" s="405"/>
      <c r="AE13" s="405"/>
      <c r="AF13" s="405"/>
      <c r="AG13" s="405"/>
    </row>
    <row r="14" spans="1:33" ht="13.5" thickBo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45"/>
      <c r="M14" s="405"/>
      <c r="N14" s="405"/>
      <c r="O14" s="405"/>
      <c r="P14" s="405"/>
      <c r="Q14" s="405"/>
      <c r="R14" s="405"/>
      <c r="S14" s="405"/>
      <c r="T14" s="405"/>
      <c r="U14" s="405"/>
      <c r="V14" s="405"/>
      <c r="W14" s="405"/>
      <c r="X14" s="405"/>
      <c r="Y14" s="405"/>
      <c r="Z14" s="405"/>
      <c r="AA14" s="405"/>
      <c r="AB14" s="405"/>
      <c r="AC14" s="405"/>
      <c r="AD14" s="405"/>
      <c r="AE14" s="405"/>
      <c r="AF14" s="405"/>
      <c r="AG14" s="405"/>
    </row>
    <row r="15" spans="1:33" ht="15.75">
      <c r="A15" s="164" t="s">
        <v>26</v>
      </c>
      <c r="B15" s="188"/>
      <c r="C15" s="193"/>
      <c r="D15" s="193"/>
      <c r="E15" s="193"/>
      <c r="F15" s="27"/>
      <c r="G15" s="193"/>
      <c r="H15" s="193"/>
      <c r="I15" s="193"/>
      <c r="J15" s="188"/>
      <c r="K15" s="479"/>
      <c r="L15" s="17"/>
      <c r="M15" s="405"/>
      <c r="N15" s="405"/>
      <c r="O15" s="405"/>
      <c r="P15" s="405"/>
      <c r="Q15" s="405"/>
      <c r="R15" s="405"/>
      <c r="S15" s="405"/>
      <c r="T15" s="405"/>
      <c r="U15" s="405"/>
      <c r="V15" s="405"/>
      <c r="W15" s="405"/>
      <c r="X15" s="405"/>
      <c r="Y15" s="405"/>
      <c r="Z15" s="405"/>
      <c r="AA15" s="405"/>
      <c r="AB15" s="405"/>
      <c r="AC15" s="405"/>
      <c r="AD15" s="405"/>
      <c r="AE15" s="405"/>
      <c r="AF15" s="405"/>
      <c r="AG15" s="405"/>
    </row>
    <row r="16" spans="1:33">
      <c r="A16" s="30"/>
      <c r="B16" s="17"/>
      <c r="C16" s="17"/>
      <c r="D16" s="17"/>
      <c r="E16" s="17"/>
      <c r="F16" s="17"/>
      <c r="G16" s="17"/>
      <c r="H16" s="17"/>
      <c r="I16" s="17"/>
      <c r="J16" s="7"/>
      <c r="K16" s="480"/>
      <c r="L16" s="17"/>
      <c r="M16" s="405"/>
      <c r="N16" s="405"/>
      <c r="O16" s="405"/>
      <c r="P16" s="405"/>
      <c r="Q16" s="405"/>
      <c r="R16" s="405"/>
      <c r="S16" s="405"/>
      <c r="T16" s="405"/>
      <c r="U16" s="405"/>
      <c r="V16" s="405"/>
      <c r="W16" s="405"/>
      <c r="X16" s="405"/>
      <c r="Y16" s="405"/>
      <c r="Z16" s="405"/>
      <c r="AA16" s="405"/>
      <c r="AB16" s="405"/>
      <c r="AC16" s="405"/>
      <c r="AD16" s="405"/>
      <c r="AE16" s="405"/>
      <c r="AF16" s="405"/>
      <c r="AG16" s="405"/>
    </row>
    <row r="17" spans="1:33" ht="15.75">
      <c r="A17" s="180" t="s">
        <v>29</v>
      </c>
      <c r="B17" s="17"/>
      <c r="C17" s="17"/>
      <c r="D17" s="17"/>
      <c r="E17" s="17"/>
      <c r="F17" s="17"/>
      <c r="G17" s="17"/>
      <c r="H17" s="17"/>
      <c r="I17" s="17"/>
      <c r="J17" s="7"/>
      <c r="K17" s="480"/>
      <c r="L17" s="17"/>
      <c r="M17" s="405"/>
      <c r="N17" s="405"/>
      <c r="O17" s="405"/>
      <c r="P17" s="405"/>
      <c r="Q17" s="405"/>
      <c r="R17" s="405"/>
      <c r="S17" s="405"/>
      <c r="T17" s="405"/>
      <c r="U17" s="405"/>
      <c r="V17" s="405"/>
      <c r="W17" s="405"/>
      <c r="X17" s="405"/>
      <c r="Y17" s="405"/>
      <c r="Z17" s="405"/>
      <c r="AA17" s="405"/>
      <c r="AB17" s="405"/>
      <c r="AC17" s="405"/>
      <c r="AD17" s="405"/>
      <c r="AE17" s="405"/>
      <c r="AF17" s="405"/>
      <c r="AG17" s="405"/>
    </row>
    <row r="18" spans="1:33" ht="15.75">
      <c r="A18" s="176" t="s">
        <v>302</v>
      </c>
      <c r="B18" s="169"/>
      <c r="C18" s="375">
        <v>4</v>
      </c>
      <c r="D18" s="388">
        <f>$C$18</f>
        <v>4</v>
      </c>
      <c r="E18" s="388">
        <f>$C$18</f>
        <v>4</v>
      </c>
      <c r="F18" s="389"/>
      <c r="G18" s="388">
        <f>$C$18</f>
        <v>4</v>
      </c>
      <c r="H18" s="388">
        <f>$C$18</f>
        <v>4</v>
      </c>
      <c r="I18" s="388">
        <f>$C$18</f>
        <v>4</v>
      </c>
      <c r="J18" s="379"/>
      <c r="K18" s="481"/>
      <c r="L18" s="439"/>
      <c r="M18" s="405"/>
      <c r="N18" s="405"/>
      <c r="O18" s="405"/>
      <c r="P18" s="239" t="s">
        <v>184</v>
      </c>
      <c r="Q18" s="405"/>
      <c r="R18" s="405"/>
      <c r="S18" s="405"/>
      <c r="T18" s="405"/>
      <c r="U18" s="405"/>
      <c r="V18" s="405"/>
      <c r="W18" s="405"/>
      <c r="X18" s="405"/>
      <c r="Y18" s="405"/>
      <c r="Z18" s="405"/>
      <c r="AA18" s="405"/>
      <c r="AB18" s="405"/>
      <c r="AC18" s="405"/>
      <c r="AD18" s="405"/>
      <c r="AE18" s="405"/>
      <c r="AF18" s="405"/>
      <c r="AG18" s="405"/>
    </row>
    <row r="19" spans="1:33" ht="15.75">
      <c r="A19" s="176" t="s">
        <v>193</v>
      </c>
      <c r="B19" s="169"/>
      <c r="C19" s="423" t="str">
        <f>IF(Assumptions!P23=1,"31-Dec-2003",IF(Assumptions!P23=2,"31-Dec-2008",IF(P23=3,"31-Dec-2013","31-Dec-2018")))</f>
        <v>31-Dec-2003</v>
      </c>
      <c r="D19" s="253"/>
      <c r="E19" s="253"/>
      <c r="F19" s="253"/>
      <c r="G19" s="253"/>
      <c r="H19" s="253"/>
      <c r="I19" s="253"/>
      <c r="J19" s="266"/>
      <c r="K19" s="478"/>
      <c r="L19" s="145"/>
      <c r="M19" s="405"/>
      <c r="N19" s="405"/>
      <c r="O19" s="405"/>
      <c r="P19" s="372" t="s">
        <v>185</v>
      </c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</row>
    <row r="20" spans="1:33" ht="15.75">
      <c r="A20" s="176" t="s">
        <v>184</v>
      </c>
      <c r="B20" s="17"/>
      <c r="C20" s="375">
        <v>4.75</v>
      </c>
      <c r="D20" s="388">
        <f>$C$20</f>
        <v>4.75</v>
      </c>
      <c r="E20" s="388">
        <f>$C$20</f>
        <v>4.75</v>
      </c>
      <c r="F20" s="389"/>
      <c r="G20" s="388">
        <f>$C$20</f>
        <v>4.75</v>
      </c>
      <c r="H20" s="388">
        <f>$C$20</f>
        <v>4.75</v>
      </c>
      <c r="I20" s="388">
        <f>$C$20</f>
        <v>4.75</v>
      </c>
      <c r="J20" s="376"/>
      <c r="K20" s="482"/>
      <c r="L20" s="7"/>
      <c r="M20" s="405"/>
      <c r="N20" s="405"/>
      <c r="O20" s="405"/>
      <c r="P20" s="372" t="s">
        <v>186</v>
      </c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</row>
    <row r="21" spans="1:33" ht="15.75">
      <c r="A21" s="176" t="s">
        <v>243</v>
      </c>
      <c r="B21" s="17"/>
      <c r="C21" s="500">
        <f t="shared" ref="C21:E22" si="0">C31</f>
        <v>1.5</v>
      </c>
      <c r="D21" s="500">
        <f t="shared" si="0"/>
        <v>1</v>
      </c>
      <c r="E21" s="500">
        <f t="shared" si="0"/>
        <v>1</v>
      </c>
      <c r="F21" s="489"/>
      <c r="G21" s="500">
        <f t="shared" ref="G21:I22" si="1">G31</f>
        <v>1.5</v>
      </c>
      <c r="H21" s="500">
        <f t="shared" si="1"/>
        <v>3</v>
      </c>
      <c r="I21" s="500">
        <f t="shared" si="1"/>
        <v>2</v>
      </c>
      <c r="J21" s="17"/>
      <c r="K21" s="29"/>
      <c r="L21" s="7"/>
      <c r="M21" s="405"/>
      <c r="N21" s="405"/>
      <c r="O21" s="405"/>
      <c r="P21" s="372" t="s">
        <v>187</v>
      </c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5"/>
      <c r="AF21" s="405"/>
      <c r="AG21" s="405"/>
    </row>
    <row r="22" spans="1:33" ht="15.75">
      <c r="A22" s="176" t="s">
        <v>244</v>
      </c>
      <c r="B22" s="405"/>
      <c r="C22" s="266">
        <f t="shared" si="0"/>
        <v>1500</v>
      </c>
      <c r="D22" s="266">
        <f t="shared" si="0"/>
        <v>1000</v>
      </c>
      <c r="E22" s="266">
        <f t="shared" si="0"/>
        <v>1000</v>
      </c>
      <c r="F22" s="502"/>
      <c r="G22" s="266">
        <f t="shared" si="1"/>
        <v>1500</v>
      </c>
      <c r="H22" s="266">
        <f t="shared" si="1"/>
        <v>1500</v>
      </c>
      <c r="I22" s="266">
        <f t="shared" si="1"/>
        <v>1000</v>
      </c>
      <c r="J22" s="405"/>
      <c r="K22" s="478"/>
      <c r="L22" s="7"/>
      <c r="M22" s="405"/>
      <c r="N22" s="405"/>
      <c r="O22" s="405"/>
      <c r="P22" s="372" t="s">
        <v>201</v>
      </c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</row>
    <row r="23" spans="1:33" ht="15.75">
      <c r="A23" s="176" t="s">
        <v>170</v>
      </c>
      <c r="B23" s="405"/>
      <c r="C23" s="404">
        <f>C12*C9</f>
        <v>80241.600000000006</v>
      </c>
      <c r="D23" s="404">
        <f>D12*D9</f>
        <v>81643.200000000012</v>
      </c>
      <c r="E23" s="404">
        <f>E12*E9</f>
        <v>64999.200000000004</v>
      </c>
      <c r="F23" s="404"/>
      <c r="G23" s="404">
        <f>G12*G9</f>
        <v>89352.000000000015</v>
      </c>
      <c r="H23" s="404">
        <f>H12*H9</f>
        <v>82344.000000000015</v>
      </c>
      <c r="I23" s="404">
        <f>I12*I9</f>
        <v>106521.60000000001</v>
      </c>
      <c r="J23" s="17"/>
      <c r="K23" s="507"/>
      <c r="L23" s="7"/>
      <c r="M23" s="405"/>
      <c r="N23" s="405"/>
      <c r="O23" s="405"/>
      <c r="P23" s="440">
        <v>1</v>
      </c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5"/>
      <c r="AG23" s="405"/>
    </row>
    <row r="24" spans="1:33">
      <c r="A24" s="501"/>
      <c r="B24" s="405"/>
      <c r="C24" s="405"/>
      <c r="D24" s="405"/>
      <c r="E24" s="405"/>
      <c r="F24" s="405"/>
      <c r="G24" s="405"/>
      <c r="H24" s="405"/>
      <c r="I24" s="405"/>
      <c r="J24" s="405"/>
      <c r="K24" s="499"/>
      <c r="L24" s="7"/>
      <c r="M24" s="405"/>
      <c r="N24" s="405"/>
      <c r="O24" s="405"/>
      <c r="P24" s="405"/>
      <c r="Q24" s="405"/>
      <c r="R24" s="405"/>
      <c r="S24" s="405"/>
      <c r="T24" s="405"/>
      <c r="U24" s="405"/>
      <c r="V24" s="405"/>
      <c r="W24" s="405"/>
      <c r="X24" s="405"/>
      <c r="Y24" s="405"/>
      <c r="Z24" s="405"/>
      <c r="AA24" s="405"/>
      <c r="AB24" s="405"/>
      <c r="AC24" s="405"/>
      <c r="AD24" s="405"/>
      <c r="AE24" s="405"/>
      <c r="AF24" s="405"/>
      <c r="AG24" s="405"/>
    </row>
    <row r="25" spans="1:33" ht="15.75">
      <c r="A25" s="180" t="s">
        <v>32</v>
      </c>
      <c r="B25" s="17"/>
      <c r="C25" s="253"/>
      <c r="D25" s="253"/>
      <c r="E25" s="253"/>
      <c r="F25" s="253"/>
      <c r="G25" s="253"/>
      <c r="H25" s="253"/>
      <c r="I25" s="253"/>
      <c r="J25" s="377"/>
      <c r="K25" s="378"/>
      <c r="L25" s="14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405"/>
      <c r="AB25" s="405"/>
      <c r="AC25" s="405"/>
      <c r="AD25" s="405"/>
      <c r="AE25" s="405"/>
      <c r="AF25" s="405"/>
      <c r="AG25" s="405"/>
    </row>
    <row r="26" spans="1:33" ht="15.75">
      <c r="A26" s="176" t="s">
        <v>292</v>
      </c>
      <c r="B26" s="169"/>
      <c r="C26" s="305">
        <v>0.02</v>
      </c>
      <c r="D26" s="305">
        <v>0.02</v>
      </c>
      <c r="E26" s="305">
        <v>0.02</v>
      </c>
      <c r="F26" s="392"/>
      <c r="G26" s="305">
        <v>0.02</v>
      </c>
      <c r="H26" s="305">
        <v>0.02</v>
      </c>
      <c r="I26" s="305">
        <v>0.02</v>
      </c>
      <c r="J26" s="379"/>
      <c r="K26" s="481"/>
      <c r="L26" s="7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405"/>
      <c r="AB26" s="405"/>
      <c r="AC26" s="405"/>
      <c r="AD26" s="405"/>
      <c r="AE26" s="405"/>
      <c r="AF26" s="405"/>
      <c r="AG26" s="405"/>
    </row>
    <row r="27" spans="1:33" ht="16.5" thickBot="1">
      <c r="A27" s="178" t="s">
        <v>35</v>
      </c>
      <c r="B27" s="179"/>
      <c r="C27" s="511">
        <v>1</v>
      </c>
      <c r="D27" s="512">
        <f>$C$27</f>
        <v>1</v>
      </c>
      <c r="E27" s="512">
        <f>$C$27</f>
        <v>1</v>
      </c>
      <c r="F27" s="513"/>
      <c r="G27" s="512">
        <f>$C$27</f>
        <v>1</v>
      </c>
      <c r="H27" s="512">
        <f>$C$27</f>
        <v>1</v>
      </c>
      <c r="I27" s="512">
        <f>$C$27</f>
        <v>1</v>
      </c>
      <c r="J27" s="514"/>
      <c r="K27" s="515"/>
      <c r="L27" s="7"/>
      <c r="M27" s="405"/>
      <c r="N27" s="405"/>
      <c r="O27" s="405"/>
      <c r="P27" s="405"/>
      <c r="Q27" s="405"/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5"/>
      <c r="AG27" s="405"/>
    </row>
    <row r="28" spans="1:33" ht="15.75">
      <c r="A28" s="17"/>
      <c r="B28" s="17"/>
      <c r="C28" s="253"/>
      <c r="D28" s="253"/>
      <c r="E28" s="253"/>
      <c r="F28" s="253"/>
      <c r="G28" s="253"/>
      <c r="H28" s="253"/>
      <c r="I28" s="253"/>
      <c r="J28" s="263"/>
      <c r="K28" s="263"/>
      <c r="L28" s="7"/>
      <c r="M28" s="405"/>
      <c r="N28" s="405"/>
      <c r="O28" s="405"/>
      <c r="P28" s="405"/>
      <c r="Q28" s="405"/>
      <c r="R28" s="405"/>
      <c r="S28" s="405"/>
      <c r="T28" s="405"/>
      <c r="U28" s="405"/>
      <c r="V28" s="405"/>
      <c r="W28" s="405"/>
      <c r="X28" s="405"/>
      <c r="Y28" s="405"/>
      <c r="Z28" s="405"/>
      <c r="AA28" s="405"/>
      <c r="AB28" s="405"/>
      <c r="AC28" s="405"/>
      <c r="AD28" s="405"/>
      <c r="AE28" s="405"/>
      <c r="AF28" s="405"/>
      <c r="AG28" s="405"/>
    </row>
    <row r="29" spans="1:33" ht="16.5" thickBot="1">
      <c r="A29" s="17"/>
      <c r="B29" s="17"/>
      <c r="C29" s="17"/>
      <c r="D29" s="17"/>
      <c r="E29" s="17"/>
      <c r="F29" s="17"/>
      <c r="G29" s="17"/>
      <c r="H29" s="17"/>
      <c r="I29" s="17"/>
      <c r="J29" s="309"/>
      <c r="K29" s="309"/>
      <c r="L29" s="7"/>
      <c r="M29" s="405"/>
      <c r="N29" s="405"/>
      <c r="O29" s="405"/>
      <c r="P29" s="405"/>
      <c r="Q29" s="405"/>
      <c r="R29" s="405"/>
      <c r="S29" s="405"/>
      <c r="T29" s="405"/>
      <c r="U29" s="405"/>
      <c r="V29" s="405"/>
      <c r="W29" s="405"/>
      <c r="X29" s="405"/>
      <c r="Y29" s="405"/>
      <c r="Z29" s="405"/>
      <c r="AA29" s="405"/>
      <c r="AB29" s="405"/>
      <c r="AC29" s="405"/>
      <c r="AD29" s="405"/>
      <c r="AE29" s="405"/>
      <c r="AF29" s="405"/>
      <c r="AG29" s="405"/>
    </row>
    <row r="30" spans="1:33" ht="15.75">
      <c r="A30" s="165" t="s">
        <v>49</v>
      </c>
      <c r="B30" s="193"/>
      <c r="C30" s="387"/>
      <c r="D30" s="387"/>
      <c r="E30" s="387"/>
      <c r="F30" s="382"/>
      <c r="G30" s="387"/>
      <c r="H30" s="387"/>
      <c r="I30" s="381"/>
      <c r="J30" s="483"/>
      <c r="K30" s="484"/>
      <c r="L30" s="17"/>
      <c r="M30" s="405"/>
      <c r="N30" s="405"/>
      <c r="O30" s="405"/>
      <c r="P30" s="405"/>
      <c r="Q30" s="405"/>
      <c r="R30" s="405"/>
      <c r="S30" s="405"/>
      <c r="T30" s="405"/>
      <c r="U30" s="405"/>
      <c r="V30" s="405"/>
      <c r="W30" s="405"/>
      <c r="X30" s="405"/>
      <c r="Y30" s="405"/>
      <c r="Z30" s="405"/>
      <c r="AA30" s="405"/>
      <c r="AB30" s="405"/>
      <c r="AC30" s="405"/>
      <c r="AD30" s="405"/>
      <c r="AE30" s="405"/>
      <c r="AF30" s="405"/>
      <c r="AG30" s="405"/>
    </row>
    <row r="31" spans="1:33" ht="15.75">
      <c r="A31" s="302" t="s">
        <v>241</v>
      </c>
      <c r="B31" s="169"/>
      <c r="C31" s="401">
        <v>1.5</v>
      </c>
      <c r="D31" s="401">
        <v>1</v>
      </c>
      <c r="E31" s="401">
        <v>1</v>
      </c>
      <c r="F31" s="489"/>
      <c r="G31" s="401">
        <v>1.5</v>
      </c>
      <c r="H31" s="401">
        <v>3</v>
      </c>
      <c r="I31" s="401">
        <v>2</v>
      </c>
      <c r="J31" s="376"/>
      <c r="K31" s="482"/>
      <c r="L31" s="7"/>
      <c r="M31" s="405"/>
      <c r="N31" s="405"/>
      <c r="O31" s="405"/>
      <c r="P31" s="405"/>
      <c r="Q31" s="405"/>
      <c r="R31" s="405"/>
      <c r="S31" s="405"/>
      <c r="T31" s="405"/>
      <c r="U31" s="405"/>
      <c r="V31" s="405"/>
      <c r="W31" s="405"/>
      <c r="X31" s="405"/>
      <c r="Y31" s="405"/>
      <c r="Z31" s="405"/>
      <c r="AA31" s="405"/>
      <c r="AB31" s="405"/>
      <c r="AC31" s="405"/>
      <c r="AD31" s="405"/>
      <c r="AE31" s="405"/>
      <c r="AF31" s="405"/>
      <c r="AG31" s="405"/>
    </row>
    <row r="32" spans="1:33" ht="15.75">
      <c r="A32" s="176" t="s">
        <v>245</v>
      </c>
      <c r="B32" s="405"/>
      <c r="C32" s="308">
        <v>1500</v>
      </c>
      <c r="D32" s="308">
        <v>1000</v>
      </c>
      <c r="E32" s="308">
        <v>1000</v>
      </c>
      <c r="F32" s="405"/>
      <c r="G32" s="308">
        <v>1500</v>
      </c>
      <c r="H32" s="308">
        <v>1500</v>
      </c>
      <c r="I32" s="308">
        <v>1000</v>
      </c>
      <c r="J32" s="377"/>
      <c r="K32" s="378"/>
      <c r="L32" s="7"/>
      <c r="M32" s="405"/>
      <c r="N32" s="405"/>
      <c r="O32" s="405"/>
      <c r="P32" s="405"/>
      <c r="Q32" s="405"/>
      <c r="R32" s="405"/>
      <c r="S32" s="405"/>
      <c r="T32" s="405"/>
      <c r="U32" s="405"/>
      <c r="V32" s="405"/>
      <c r="W32" s="405"/>
      <c r="X32" s="405"/>
      <c r="Y32" s="405"/>
      <c r="Z32" s="405"/>
      <c r="AA32" s="405"/>
      <c r="AB32" s="405"/>
      <c r="AC32" s="405"/>
      <c r="AD32" s="405"/>
      <c r="AE32" s="405"/>
      <c r="AF32" s="405"/>
      <c r="AG32" s="405"/>
    </row>
    <row r="33" spans="1:33" ht="15.75">
      <c r="A33" s="176" t="s">
        <v>127</v>
      </c>
      <c r="B33" s="169"/>
      <c r="C33" s="305">
        <v>0.03</v>
      </c>
      <c r="D33" s="377">
        <f>$C$33</f>
        <v>0.03</v>
      </c>
      <c r="E33" s="377">
        <f>$C$33</f>
        <v>0.03</v>
      </c>
      <c r="F33" s="392"/>
      <c r="G33" s="377">
        <f>$C$33</f>
        <v>0.03</v>
      </c>
      <c r="H33" s="377">
        <f>$C$33</f>
        <v>0.03</v>
      </c>
      <c r="I33" s="377">
        <f>$C$33</f>
        <v>0.03</v>
      </c>
      <c r="J33" s="267"/>
      <c r="K33" s="312"/>
      <c r="L33" s="7"/>
      <c r="M33" s="405"/>
      <c r="N33" s="405"/>
      <c r="O33" s="405"/>
      <c r="P33" s="405"/>
      <c r="Q33" s="405"/>
      <c r="R33" s="405"/>
      <c r="S33" s="405"/>
      <c r="T33" s="405"/>
      <c r="U33" s="405"/>
      <c r="V33" s="405"/>
      <c r="W33" s="405"/>
      <c r="X33" s="405"/>
      <c r="Y33" s="405"/>
      <c r="Z33" s="405"/>
      <c r="AA33" s="405"/>
      <c r="AB33" s="405"/>
      <c r="AC33" s="405"/>
      <c r="AD33" s="405"/>
      <c r="AE33" s="405"/>
      <c r="AF33" s="405"/>
      <c r="AG33" s="405"/>
    </row>
    <row r="34" spans="1:33" ht="15.75">
      <c r="A34" s="176"/>
      <c r="B34" s="169"/>
      <c r="C34" s="253"/>
      <c r="D34" s="253"/>
      <c r="E34" s="253"/>
      <c r="F34" s="253"/>
      <c r="G34" s="253"/>
      <c r="H34" s="253"/>
      <c r="I34" s="253"/>
      <c r="J34" s="400"/>
      <c r="K34" s="485"/>
      <c r="L34" s="7"/>
      <c r="M34" s="405"/>
      <c r="N34" s="405"/>
      <c r="O34" s="405"/>
      <c r="P34" s="405"/>
      <c r="Q34" s="405"/>
      <c r="R34" s="405"/>
      <c r="S34" s="405"/>
      <c r="T34" s="405"/>
      <c r="U34" s="405"/>
      <c r="V34" s="405"/>
      <c r="W34" s="405"/>
      <c r="X34" s="405"/>
      <c r="Y34" s="405"/>
      <c r="Z34" s="405"/>
      <c r="AA34" s="405"/>
      <c r="AB34" s="405"/>
      <c r="AC34" s="405"/>
      <c r="AD34" s="405"/>
      <c r="AE34" s="405"/>
      <c r="AF34" s="405"/>
      <c r="AG34" s="405"/>
    </row>
    <row r="35" spans="1:33" ht="15.75">
      <c r="A35" s="317" t="s">
        <v>126</v>
      </c>
      <c r="B35" s="169"/>
      <c r="C35" s="253"/>
      <c r="D35" s="253"/>
      <c r="E35" s="253"/>
      <c r="F35" s="253"/>
      <c r="G35" s="390"/>
      <c r="H35" s="253"/>
      <c r="I35" s="267"/>
      <c r="J35" s="400"/>
      <c r="K35" s="485"/>
      <c r="L35" s="7"/>
      <c r="M35" s="405"/>
      <c r="N35" s="405"/>
      <c r="O35" s="405"/>
      <c r="P35" s="405"/>
      <c r="Q35" s="405"/>
      <c r="R35" s="405"/>
      <c r="S35" s="405"/>
      <c r="T35" s="405"/>
      <c r="U35" s="405"/>
      <c r="V35" s="405"/>
      <c r="W35" s="405"/>
      <c r="X35" s="405"/>
      <c r="Y35" s="405"/>
      <c r="Z35" s="405"/>
      <c r="AA35" s="405"/>
      <c r="AB35" s="405"/>
      <c r="AC35" s="405"/>
      <c r="AD35" s="405"/>
      <c r="AE35" s="405"/>
      <c r="AF35" s="405"/>
      <c r="AG35" s="405"/>
    </row>
    <row r="36" spans="1:33" ht="15.75">
      <c r="A36" s="176" t="s">
        <v>55</v>
      </c>
      <c r="B36" s="17"/>
      <c r="C36" s="399">
        <v>1563.6314700000003</v>
      </c>
      <c r="D36" s="399">
        <v>1721.30196</v>
      </c>
      <c r="E36" s="399">
        <v>1878.0665900000001</v>
      </c>
      <c r="F36" s="316"/>
      <c r="G36" s="399">
        <v>1242.4817142857141</v>
      </c>
      <c r="H36" s="399">
        <v>1515.7902857142858</v>
      </c>
      <c r="I36" s="399">
        <v>1448.5405714285714</v>
      </c>
      <c r="J36" s="400"/>
      <c r="K36" s="485"/>
      <c r="L36" s="7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405"/>
      <c r="AA36" s="405"/>
      <c r="AB36" s="405"/>
      <c r="AC36" s="405"/>
      <c r="AD36" s="405"/>
      <c r="AE36" s="405"/>
      <c r="AF36" s="405"/>
      <c r="AG36" s="405"/>
    </row>
    <row r="37" spans="1:33" ht="15.75">
      <c r="A37" s="176" t="s">
        <v>56</v>
      </c>
      <c r="B37" s="17"/>
      <c r="C37" s="315">
        <f>C31*C23/1000</f>
        <v>120.36240000000001</v>
      </c>
      <c r="D37" s="315">
        <f>D31*D23/1000</f>
        <v>81.643200000000007</v>
      </c>
      <c r="E37" s="315">
        <f>E31*E23/1000</f>
        <v>64.999200000000002</v>
      </c>
      <c r="F37" s="316"/>
      <c r="G37" s="315">
        <f>G31*G23/1000</f>
        <v>134.02800000000002</v>
      </c>
      <c r="H37" s="315">
        <f>H31*H23/1000</f>
        <v>247.03200000000007</v>
      </c>
      <c r="I37" s="315">
        <f>I31*I23/1000</f>
        <v>213.04320000000001</v>
      </c>
      <c r="J37" s="400"/>
      <c r="K37" s="485"/>
      <c r="L37" s="7"/>
      <c r="M37" s="405"/>
      <c r="N37" s="405"/>
      <c r="O37" s="405"/>
      <c r="P37" s="405"/>
      <c r="Q37" s="405"/>
      <c r="R37" s="405"/>
      <c r="S37" s="405"/>
      <c r="T37" s="405"/>
      <c r="U37" s="405"/>
      <c r="V37" s="405"/>
      <c r="W37" s="405"/>
      <c r="X37" s="405"/>
      <c r="Y37" s="405"/>
      <c r="Z37" s="405"/>
      <c r="AA37" s="405"/>
      <c r="AB37" s="405"/>
      <c r="AC37" s="405"/>
      <c r="AD37" s="405"/>
      <c r="AE37" s="405"/>
      <c r="AF37" s="405"/>
      <c r="AG37" s="405"/>
    </row>
    <row r="38" spans="1:33" ht="15.75">
      <c r="A38" s="176" t="s">
        <v>261</v>
      </c>
      <c r="B38" s="405"/>
      <c r="C38" s="315">
        <f>C32*C11*C8/1000</f>
        <v>450</v>
      </c>
      <c r="D38" s="315">
        <f>D32*D11*D8/1000</f>
        <v>450</v>
      </c>
      <c r="E38" s="315">
        <f>E32*E11*E8/1000</f>
        <v>450</v>
      </c>
      <c r="F38" s="405"/>
      <c r="G38" s="315">
        <f>G32*G11*G8/1000</f>
        <v>337.5</v>
      </c>
      <c r="H38" s="315">
        <f>H32*H11*H8/1000</f>
        <v>450</v>
      </c>
      <c r="I38" s="315">
        <f>I32*I11*I8/1000</f>
        <v>600</v>
      </c>
      <c r="J38" s="405"/>
      <c r="K38" s="499"/>
      <c r="L38" s="7"/>
      <c r="M38" s="405"/>
      <c r="N38" s="405"/>
      <c r="O38" s="405"/>
      <c r="P38" s="405"/>
      <c r="Q38" s="405"/>
      <c r="R38" s="405"/>
      <c r="S38" s="405"/>
      <c r="T38" s="405"/>
      <c r="U38" s="405"/>
      <c r="V38" s="405"/>
      <c r="W38" s="405"/>
      <c r="X38" s="405"/>
      <c r="Y38" s="405"/>
      <c r="Z38" s="405"/>
      <c r="AA38" s="405"/>
      <c r="AB38" s="405"/>
      <c r="AC38" s="405"/>
      <c r="AD38" s="405"/>
      <c r="AE38" s="405"/>
      <c r="AF38" s="405"/>
      <c r="AG38" s="405"/>
    </row>
    <row r="39" spans="1:33" ht="15.75">
      <c r="A39" s="176" t="s">
        <v>124</v>
      </c>
      <c r="B39" s="17"/>
      <c r="C39" s="399">
        <v>207.01900000000001</v>
      </c>
      <c r="D39" s="399">
        <v>207.01900000000001</v>
      </c>
      <c r="E39" s="399">
        <v>207.01900000000001</v>
      </c>
      <c r="F39" s="316"/>
      <c r="G39" s="399">
        <v>342.85714285714289</v>
      </c>
      <c r="H39" s="399">
        <v>342.85714285714289</v>
      </c>
      <c r="I39" s="399">
        <v>342.85714285714289</v>
      </c>
      <c r="J39" s="400"/>
      <c r="K39" s="485"/>
      <c r="L39" s="7"/>
      <c r="M39" s="405"/>
      <c r="N39" s="405"/>
      <c r="O39" s="405"/>
      <c r="P39" s="405"/>
      <c r="Q39" s="405"/>
      <c r="R39" s="405"/>
      <c r="S39" s="405"/>
      <c r="T39" s="405"/>
      <c r="U39" s="405"/>
      <c r="V39" s="405"/>
      <c r="W39" s="405"/>
      <c r="X39" s="405"/>
      <c r="Y39" s="405"/>
      <c r="Z39" s="405"/>
      <c r="AA39" s="405"/>
      <c r="AB39" s="405"/>
      <c r="AC39" s="405"/>
      <c r="AD39" s="405"/>
      <c r="AE39" s="405"/>
      <c r="AF39" s="405"/>
      <c r="AG39" s="405"/>
    </row>
    <row r="40" spans="1:33" ht="15.75">
      <c r="A40" s="176" t="s">
        <v>125</v>
      </c>
      <c r="B40" s="17"/>
      <c r="C40" s="399">
        <v>431.78516666666667</v>
      </c>
      <c r="D40" s="399">
        <v>410.9306666666667</v>
      </c>
      <c r="E40" s="399">
        <v>362.67216666666667</v>
      </c>
      <c r="F40" s="316"/>
      <c r="G40" s="399">
        <v>322.2511428571429</v>
      </c>
      <c r="H40" s="399">
        <v>306.26771428571425</v>
      </c>
      <c r="I40" s="399">
        <v>400.64714285714285</v>
      </c>
      <c r="J40" s="400"/>
      <c r="K40" s="485"/>
      <c r="L40" s="7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405"/>
      <c r="AA40" s="405"/>
      <c r="AB40" s="405"/>
      <c r="AC40" s="405"/>
      <c r="AD40" s="405"/>
      <c r="AE40" s="405"/>
      <c r="AF40" s="405"/>
      <c r="AG40" s="405"/>
    </row>
    <row r="41" spans="1:33" ht="16.5" thickBot="1">
      <c r="A41" s="178" t="s">
        <v>224</v>
      </c>
      <c r="B41" s="31"/>
      <c r="C41" s="510">
        <f>-Brownsville!B58</f>
        <v>250</v>
      </c>
      <c r="D41" s="510">
        <f>-Caledonia!B58</f>
        <v>591.20000000000005</v>
      </c>
      <c r="E41" s="510">
        <f>-'New Albany'!B58</f>
        <v>488.8</v>
      </c>
      <c r="F41" s="510"/>
      <c r="G41" s="510">
        <f>-Gleason!B58</f>
        <v>92.2251014</v>
      </c>
      <c r="H41" s="510">
        <f>-Wheatland!B58</f>
        <v>203.273</v>
      </c>
      <c r="I41" s="510">
        <f>-Wilton!B58</f>
        <v>333.7</v>
      </c>
      <c r="J41" s="31"/>
      <c r="K41" s="142"/>
      <c r="L41" s="7"/>
      <c r="M41" s="405"/>
      <c r="N41" s="405"/>
      <c r="O41" s="405"/>
      <c r="P41" s="405"/>
      <c r="Q41" s="405"/>
      <c r="R41" s="405"/>
      <c r="S41" s="405"/>
      <c r="T41" s="405"/>
      <c r="U41" s="405"/>
      <c r="V41" s="405"/>
      <c r="W41" s="405"/>
      <c r="X41" s="405"/>
      <c r="Y41" s="405"/>
      <c r="Z41" s="405"/>
      <c r="AA41" s="405"/>
      <c r="AB41" s="405"/>
      <c r="AC41" s="405"/>
      <c r="AD41" s="405"/>
      <c r="AE41" s="405"/>
      <c r="AF41" s="405"/>
      <c r="AG41" s="405"/>
    </row>
    <row r="42" spans="1:33">
      <c r="L42" s="17"/>
      <c r="M42" s="405"/>
      <c r="N42" s="405"/>
      <c r="O42" s="405"/>
      <c r="P42" s="405"/>
      <c r="Q42" s="405"/>
      <c r="R42" s="405"/>
      <c r="S42" s="405"/>
      <c r="T42" s="405"/>
      <c r="U42" s="405"/>
      <c r="V42" s="405"/>
      <c r="W42" s="405"/>
      <c r="X42" s="405"/>
      <c r="Y42" s="405"/>
      <c r="Z42" s="405"/>
      <c r="AA42" s="405"/>
      <c r="AB42" s="405"/>
      <c r="AC42" s="405"/>
      <c r="AD42" s="405"/>
      <c r="AE42" s="405"/>
      <c r="AF42" s="405"/>
      <c r="AG42" s="405"/>
    </row>
    <row r="43" spans="1:33" ht="13.5" thickBo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7"/>
      <c r="M43" s="405"/>
      <c r="N43" s="405"/>
      <c r="O43" s="405"/>
      <c r="P43" s="405"/>
      <c r="Q43" s="405"/>
      <c r="R43" s="405"/>
      <c r="S43" s="405"/>
      <c r="T43" s="405"/>
      <c r="U43" s="405"/>
      <c r="V43" s="405"/>
      <c r="W43" s="405"/>
      <c r="X43" s="405"/>
      <c r="Y43" s="405"/>
      <c r="Z43" s="405"/>
      <c r="AA43" s="405"/>
      <c r="AB43" s="405"/>
      <c r="AC43" s="405"/>
      <c r="AD43" s="405"/>
      <c r="AE43" s="405"/>
      <c r="AF43" s="405"/>
      <c r="AG43" s="405"/>
    </row>
    <row r="44" spans="1:33" ht="15.75">
      <c r="A44" s="164" t="s">
        <v>43</v>
      </c>
      <c r="B44" s="188"/>
      <c r="C44" s="381"/>
      <c r="D44" s="381"/>
      <c r="E44" s="381"/>
      <c r="F44" s="382"/>
      <c r="G44" s="381"/>
      <c r="H44" s="381"/>
      <c r="I44" s="381"/>
      <c r="J44" s="381"/>
      <c r="K44" s="383"/>
      <c r="L44" s="7"/>
      <c r="M44" s="405"/>
      <c r="N44" s="405"/>
      <c r="O44" s="405"/>
      <c r="P44" s="405"/>
      <c r="Q44" s="405"/>
      <c r="R44" s="405"/>
      <c r="S44" s="405"/>
      <c r="T44" s="405"/>
      <c r="U44" s="405"/>
      <c r="V44" s="405"/>
      <c r="W44" s="405"/>
      <c r="X44" s="405"/>
      <c r="Y44" s="405"/>
      <c r="Z44" s="405"/>
      <c r="AA44" s="405"/>
      <c r="AB44" s="405"/>
      <c r="AC44" s="405"/>
      <c r="AD44" s="405"/>
      <c r="AE44" s="405"/>
      <c r="AF44" s="405"/>
      <c r="AG44" s="405"/>
    </row>
    <row r="45" spans="1:33" ht="15.75">
      <c r="A45" s="176"/>
      <c r="B45" s="169"/>
      <c r="C45" s="380"/>
      <c r="D45" s="380"/>
      <c r="E45" s="380"/>
      <c r="F45" s="253"/>
      <c r="G45" s="380"/>
      <c r="H45" s="380"/>
      <c r="I45" s="380"/>
      <c r="J45" s="380"/>
      <c r="K45" s="384"/>
      <c r="L45" s="7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405"/>
      <c r="AA45" s="405"/>
      <c r="AB45" s="405"/>
      <c r="AC45" s="405"/>
      <c r="AD45" s="405"/>
      <c r="AE45" s="405"/>
      <c r="AF45" s="405"/>
      <c r="AG45" s="405"/>
    </row>
    <row r="46" spans="1:33" ht="15.75">
      <c r="A46" s="176" t="s">
        <v>45</v>
      </c>
      <c r="B46" s="169"/>
      <c r="C46" s="305">
        <v>0.35</v>
      </c>
      <c r="D46" s="305">
        <v>0.35</v>
      </c>
      <c r="E46" s="305">
        <v>0.35</v>
      </c>
      <c r="F46" s="253"/>
      <c r="G46" s="305">
        <v>0.35</v>
      </c>
      <c r="H46" s="305">
        <v>0.35</v>
      </c>
      <c r="I46" s="305">
        <v>0.35</v>
      </c>
      <c r="J46" s="377"/>
      <c r="K46" s="378">
        <v>0.35</v>
      </c>
      <c r="L46" s="7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405"/>
      <c r="AA46" s="405"/>
      <c r="AB46" s="405"/>
      <c r="AC46" s="405"/>
      <c r="AD46" s="405"/>
      <c r="AE46" s="405"/>
      <c r="AF46" s="405"/>
      <c r="AG46" s="405"/>
    </row>
    <row r="47" spans="1:33" ht="15.75">
      <c r="A47" s="176" t="s">
        <v>46</v>
      </c>
      <c r="B47" s="169"/>
      <c r="C47" s="374">
        <v>0.06</v>
      </c>
      <c r="D47" s="374">
        <v>0.05</v>
      </c>
      <c r="E47" s="374">
        <v>0.05</v>
      </c>
      <c r="F47" s="253"/>
      <c r="G47" s="374">
        <v>0.06</v>
      </c>
      <c r="H47" s="374">
        <v>4.4999999999999998E-2</v>
      </c>
      <c r="I47" s="374">
        <v>7.1800000000000003E-2</v>
      </c>
      <c r="J47" s="267"/>
      <c r="K47" s="312"/>
      <c r="L47" s="7"/>
      <c r="M47" s="405"/>
      <c r="N47" s="405"/>
      <c r="O47" s="405"/>
      <c r="P47" s="405"/>
      <c r="Q47" s="405"/>
      <c r="R47" s="405"/>
      <c r="S47" s="405"/>
      <c r="T47" s="405"/>
      <c r="U47" s="405"/>
      <c r="V47" s="405"/>
      <c r="W47" s="405"/>
      <c r="X47" s="405"/>
      <c r="Y47" s="405"/>
      <c r="Z47" s="405"/>
      <c r="AA47" s="405"/>
      <c r="AB47" s="405"/>
      <c r="AC47" s="405"/>
      <c r="AD47" s="405"/>
      <c r="AE47" s="405"/>
      <c r="AF47" s="405"/>
      <c r="AG47" s="405"/>
    </row>
    <row r="48" spans="1:33" ht="15.75">
      <c r="A48" s="176" t="s">
        <v>97</v>
      </c>
      <c r="B48" s="405"/>
      <c r="C48" s="374" t="s">
        <v>47</v>
      </c>
      <c r="D48" s="374" t="s">
        <v>47</v>
      </c>
      <c r="E48" s="374" t="s">
        <v>47</v>
      </c>
      <c r="F48" s="253"/>
      <c r="G48" s="374" t="s">
        <v>47</v>
      </c>
      <c r="H48" s="374">
        <v>3.4000000000000002E-2</v>
      </c>
      <c r="I48" s="374" t="s">
        <v>47</v>
      </c>
      <c r="J48" s="267"/>
      <c r="K48" s="312"/>
      <c r="L48" s="7"/>
      <c r="M48" s="405"/>
      <c r="N48" s="405"/>
      <c r="O48" s="405"/>
      <c r="P48" s="405"/>
      <c r="Q48" s="405"/>
      <c r="R48" s="405"/>
      <c r="S48" s="405"/>
      <c r="T48" s="405"/>
      <c r="U48" s="405"/>
      <c r="V48" s="405"/>
      <c r="W48" s="405"/>
      <c r="X48" s="405"/>
      <c r="Y48" s="405"/>
      <c r="Z48" s="405"/>
      <c r="AA48" s="405"/>
      <c r="AB48" s="405"/>
      <c r="AC48" s="405"/>
      <c r="AD48" s="405"/>
      <c r="AE48" s="405"/>
      <c r="AF48" s="405"/>
      <c r="AG48" s="405"/>
    </row>
    <row r="49" spans="1:33" ht="15.75">
      <c r="A49" s="176" t="s">
        <v>209</v>
      </c>
      <c r="B49" s="405"/>
      <c r="C49" s="374" t="s">
        <v>47</v>
      </c>
      <c r="D49" s="374" t="s">
        <v>47</v>
      </c>
      <c r="E49" s="374" t="s">
        <v>47</v>
      </c>
      <c r="F49" s="253"/>
      <c r="G49" s="374" t="s">
        <v>47</v>
      </c>
      <c r="H49" s="374">
        <v>1.2E-2</v>
      </c>
      <c r="I49" s="374" t="s">
        <v>47</v>
      </c>
      <c r="J49" s="376"/>
      <c r="K49" s="482"/>
      <c r="L49" s="7"/>
      <c r="M49" s="405"/>
      <c r="N49" s="405"/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5"/>
      <c r="AE49" s="405"/>
      <c r="AF49" s="405"/>
      <c r="AG49" s="405"/>
    </row>
    <row r="50" spans="1:33" ht="15.75">
      <c r="A50" s="176" t="s">
        <v>212</v>
      </c>
      <c r="B50" s="169"/>
      <c r="C50" s="374">
        <v>2.5000000000000001E-3</v>
      </c>
      <c r="D50" s="374">
        <v>2.5000000000000001E-3</v>
      </c>
      <c r="E50" s="374">
        <v>2.5000000000000001E-3</v>
      </c>
      <c r="F50" s="253"/>
      <c r="G50" s="374">
        <v>2.5000000000000001E-3</v>
      </c>
      <c r="H50" s="374" t="s">
        <v>47</v>
      </c>
      <c r="I50" s="374">
        <v>1.5E-3</v>
      </c>
      <c r="J50" s="376"/>
      <c r="K50" s="482"/>
      <c r="L50" s="7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5"/>
      <c r="AE50" s="405"/>
      <c r="AF50" s="405"/>
      <c r="AG50" s="405"/>
    </row>
    <row r="51" spans="1:33" ht="16.5" thickBot="1">
      <c r="A51" s="178" t="s">
        <v>213</v>
      </c>
      <c r="B51" s="179"/>
      <c r="C51" s="385">
        <v>2.5000000000000001E-3</v>
      </c>
      <c r="D51" s="385">
        <v>2.5000000000000001E-3</v>
      </c>
      <c r="E51" s="385">
        <v>2.5000000000000001E-3</v>
      </c>
      <c r="F51" s="386"/>
      <c r="G51" s="385">
        <v>2.5000000000000001E-3</v>
      </c>
      <c r="H51" s="385" t="s">
        <v>47</v>
      </c>
      <c r="I51" s="385">
        <v>1E-3</v>
      </c>
      <c r="J51" s="31"/>
      <c r="K51" s="142"/>
      <c r="L51" s="7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405"/>
      <c r="AB51" s="405"/>
      <c r="AC51" s="405"/>
      <c r="AD51" s="405"/>
      <c r="AE51" s="405"/>
      <c r="AF51" s="405"/>
      <c r="AG51" s="405"/>
    </row>
    <row r="52" spans="1:33" ht="15.75">
      <c r="A52" s="169"/>
      <c r="B52" s="17"/>
      <c r="C52" s="316"/>
      <c r="D52" s="316"/>
      <c r="E52" s="316"/>
      <c r="F52" s="316"/>
      <c r="G52" s="316"/>
      <c r="H52" s="316"/>
      <c r="I52" s="316"/>
      <c r="J52" s="400"/>
      <c r="K52" s="400"/>
      <c r="L52" s="14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405"/>
      <c r="AA52" s="405"/>
      <c r="AB52" s="405"/>
      <c r="AC52" s="405"/>
      <c r="AD52" s="405"/>
      <c r="AE52" s="405"/>
      <c r="AF52" s="405"/>
      <c r="AG52" s="405"/>
    </row>
    <row r="53" spans="1:33" ht="15.75">
      <c r="A53" s="169"/>
      <c r="B53" s="17"/>
      <c r="C53" s="316"/>
      <c r="D53" s="518"/>
      <c r="E53" s="498"/>
      <c r="F53" s="316"/>
      <c r="G53" s="316"/>
      <c r="H53" s="316"/>
      <c r="I53" s="316"/>
      <c r="J53" s="400"/>
      <c r="K53" s="400"/>
      <c r="L53" s="477"/>
      <c r="M53" s="405"/>
      <c r="N53" s="405"/>
      <c r="O53" s="405"/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5"/>
      <c r="AG53" s="405"/>
    </row>
    <row r="54" spans="1:33" ht="15.75">
      <c r="A54" s="508"/>
      <c r="B54" s="50"/>
      <c r="C54" s="509"/>
      <c r="D54" s="316"/>
      <c r="E54" s="316"/>
      <c r="F54" s="316"/>
      <c r="G54" s="316"/>
      <c r="H54" s="316"/>
      <c r="I54" s="316"/>
      <c r="J54" s="17"/>
      <c r="K54" s="17"/>
      <c r="L54" s="477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5"/>
      <c r="AG54" s="405"/>
    </row>
    <row r="55" spans="1:33" ht="15.75">
      <c r="A55" s="169" t="s">
        <v>248</v>
      </c>
      <c r="B55" s="17"/>
      <c r="C55" s="316"/>
      <c r="D55" s="316"/>
      <c r="E55" s="316"/>
      <c r="F55" s="316"/>
      <c r="G55" s="316"/>
      <c r="H55" s="316"/>
      <c r="I55" s="316"/>
      <c r="J55" s="17"/>
      <c r="K55" s="17"/>
      <c r="L55" s="477"/>
      <c r="M55" s="405"/>
      <c r="N55" s="405"/>
      <c r="O55" s="405"/>
      <c r="P55" s="405"/>
      <c r="Q55" s="405"/>
      <c r="R55" s="405"/>
      <c r="S55" s="405"/>
      <c r="T55" s="405"/>
      <c r="U55" s="405"/>
      <c r="V55" s="405"/>
      <c r="W55" s="405"/>
      <c r="X55" s="405"/>
      <c r="Y55" s="405"/>
      <c r="Z55" s="405"/>
      <c r="AA55" s="405"/>
      <c r="AB55" s="405"/>
      <c r="AC55" s="405"/>
      <c r="AD55" s="405"/>
      <c r="AE55" s="405"/>
      <c r="AF55" s="405"/>
      <c r="AG55" s="405"/>
    </row>
    <row r="56" spans="1:33">
      <c r="A56" s="17"/>
      <c r="B56" s="17"/>
      <c r="C56" s="400"/>
      <c r="D56" s="400"/>
      <c r="E56" s="400"/>
      <c r="F56" s="400"/>
      <c r="G56" s="400"/>
      <c r="H56" s="400"/>
      <c r="I56" s="400"/>
      <c r="J56" s="400"/>
      <c r="K56" s="400"/>
      <c r="L56" s="477"/>
      <c r="M56" s="405"/>
      <c r="N56" s="405"/>
      <c r="O56" s="405"/>
      <c r="P56" s="405"/>
      <c r="Q56" s="405"/>
      <c r="R56" s="405"/>
      <c r="S56" s="405"/>
      <c r="T56" s="405"/>
      <c r="U56" s="405"/>
      <c r="V56" s="405"/>
      <c r="W56" s="405"/>
      <c r="X56" s="405"/>
      <c r="Y56" s="405"/>
      <c r="Z56" s="405"/>
      <c r="AA56" s="405"/>
      <c r="AB56" s="405"/>
      <c r="AC56" s="405"/>
      <c r="AD56" s="405"/>
      <c r="AE56" s="405"/>
      <c r="AF56" s="405"/>
      <c r="AG56" s="405"/>
    </row>
    <row r="57" spans="1:33">
      <c r="L57" s="477"/>
      <c r="M57" s="405"/>
      <c r="N57" s="405"/>
      <c r="O57" s="405"/>
      <c r="P57" s="405"/>
      <c r="Q57" s="405"/>
      <c r="R57" s="405"/>
      <c r="S57" s="405"/>
      <c r="T57" s="405"/>
      <c r="U57" s="405"/>
      <c r="V57" s="405"/>
      <c r="W57" s="405"/>
      <c r="X57" s="405"/>
      <c r="Y57" s="405"/>
      <c r="Z57" s="405"/>
      <c r="AA57" s="405"/>
      <c r="AB57" s="405"/>
      <c r="AC57" s="405"/>
      <c r="AD57" s="405"/>
      <c r="AE57" s="405"/>
      <c r="AF57" s="405"/>
      <c r="AG57" s="405"/>
    </row>
    <row r="58" spans="1:33">
      <c r="A58" s="17"/>
      <c r="B58" s="17"/>
      <c r="C58" s="400"/>
      <c r="D58" s="400"/>
      <c r="E58" s="400"/>
      <c r="F58" s="400"/>
      <c r="G58" s="400"/>
      <c r="H58" s="400"/>
      <c r="I58" s="400"/>
      <c r="J58" s="400"/>
      <c r="K58" s="400"/>
      <c r="L58" s="477"/>
      <c r="M58" s="405"/>
      <c r="N58" s="405"/>
      <c r="O58" s="405"/>
      <c r="P58" s="405"/>
      <c r="Q58" s="405"/>
      <c r="R58" s="405"/>
      <c r="S58" s="405"/>
      <c r="T58" s="405"/>
      <c r="U58" s="405"/>
      <c r="V58" s="405"/>
      <c r="W58" s="405"/>
      <c r="X58" s="405"/>
      <c r="Y58" s="405"/>
      <c r="Z58" s="405"/>
      <c r="AA58" s="405"/>
      <c r="AB58" s="405"/>
      <c r="AC58" s="405"/>
      <c r="AD58" s="405"/>
      <c r="AE58" s="405"/>
      <c r="AF58" s="405"/>
      <c r="AG58" s="405"/>
    </row>
    <row r="59" spans="1:33">
      <c r="A59" s="86"/>
      <c r="B59" s="17"/>
      <c r="C59" s="400"/>
      <c r="D59" s="400"/>
      <c r="E59" s="400"/>
      <c r="F59" s="400"/>
      <c r="G59" s="400"/>
      <c r="H59" s="400"/>
      <c r="I59" s="400"/>
      <c r="J59" s="400"/>
      <c r="K59" s="400"/>
      <c r="L59" s="477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405"/>
    </row>
    <row r="60" spans="1:33">
      <c r="A60" s="405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405"/>
      <c r="AA60" s="405"/>
      <c r="AB60" s="405"/>
      <c r="AC60" s="405"/>
      <c r="AD60" s="405"/>
      <c r="AE60" s="405"/>
      <c r="AF60" s="405"/>
      <c r="AG60" s="405"/>
    </row>
    <row r="61" spans="1:33">
      <c r="A61" s="405"/>
      <c r="B61" s="405"/>
      <c r="C61" s="405"/>
      <c r="D61" s="405"/>
      <c r="E61" s="405"/>
      <c r="F61" s="405"/>
      <c r="G61" s="405"/>
      <c r="H61" s="405"/>
      <c r="I61" s="405"/>
      <c r="J61" s="405"/>
      <c r="K61" s="405"/>
      <c r="L61" s="405"/>
      <c r="M61" s="405"/>
      <c r="N61" s="405"/>
      <c r="O61" s="405"/>
      <c r="P61" s="405"/>
      <c r="Q61" s="405"/>
      <c r="R61" s="405"/>
      <c r="S61" s="405"/>
      <c r="T61" s="405"/>
      <c r="U61" s="405"/>
      <c r="V61" s="405"/>
      <c r="W61" s="405"/>
      <c r="X61" s="405"/>
      <c r="Y61" s="405"/>
      <c r="Z61" s="405"/>
      <c r="AA61" s="405"/>
      <c r="AB61" s="405"/>
      <c r="AC61" s="405"/>
      <c r="AD61" s="405"/>
      <c r="AE61" s="405"/>
      <c r="AF61" s="405"/>
      <c r="AG61" s="405"/>
    </row>
    <row r="62" spans="1:33">
      <c r="A62" s="405"/>
      <c r="B62" s="405"/>
      <c r="C62" s="405"/>
      <c r="D62" s="405"/>
      <c r="E62" s="405"/>
      <c r="F62" s="405"/>
      <c r="G62" s="405"/>
      <c r="H62" s="405"/>
      <c r="I62" s="405"/>
      <c r="J62" s="405"/>
      <c r="K62" s="405"/>
      <c r="L62" s="405"/>
      <c r="M62" s="405"/>
      <c r="N62" s="405"/>
      <c r="O62" s="405"/>
      <c r="P62" s="405"/>
      <c r="Q62" s="405"/>
      <c r="R62" s="405"/>
      <c r="S62" s="405"/>
      <c r="T62" s="405"/>
      <c r="U62" s="405"/>
      <c r="V62" s="405"/>
      <c r="W62" s="405"/>
      <c r="X62" s="405"/>
      <c r="Y62" s="405"/>
      <c r="Z62" s="405"/>
      <c r="AA62" s="405"/>
      <c r="AB62" s="405"/>
      <c r="AC62" s="405"/>
      <c r="AD62" s="405"/>
      <c r="AE62" s="405"/>
      <c r="AF62" s="405"/>
      <c r="AG62" s="405"/>
    </row>
    <row r="63" spans="1:33">
      <c r="A63" s="405"/>
      <c r="B63" s="405"/>
      <c r="C63" s="405"/>
      <c r="D63" s="405"/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5"/>
      <c r="T63" s="405"/>
      <c r="U63" s="405"/>
      <c r="V63" s="405"/>
      <c r="W63" s="405"/>
      <c r="X63" s="405"/>
      <c r="Y63" s="405"/>
      <c r="Z63" s="405"/>
      <c r="AA63" s="405"/>
      <c r="AB63" s="405"/>
      <c r="AC63" s="405"/>
      <c r="AD63" s="405"/>
      <c r="AE63" s="405"/>
      <c r="AF63" s="405"/>
      <c r="AG63" s="405"/>
    </row>
    <row r="64" spans="1:33">
      <c r="A64" s="405"/>
      <c r="B64" s="405"/>
      <c r="C64" s="405"/>
      <c r="D64" s="405"/>
      <c r="E64" s="405"/>
      <c r="F64" s="405"/>
      <c r="G64" s="405"/>
      <c r="H64" s="405"/>
      <c r="I64" s="405"/>
      <c r="J64" s="405"/>
      <c r="K64" s="405"/>
      <c r="L64" s="405"/>
      <c r="M64" s="405"/>
      <c r="N64" s="405"/>
      <c r="O64" s="405"/>
      <c r="P64" s="405"/>
      <c r="Q64" s="405"/>
      <c r="R64" s="405"/>
      <c r="S64" s="405"/>
      <c r="T64" s="405"/>
      <c r="U64" s="405"/>
      <c r="V64" s="405"/>
      <c r="W64" s="405"/>
      <c r="X64" s="405"/>
      <c r="Y64" s="405"/>
      <c r="Z64" s="405"/>
      <c r="AA64" s="405"/>
      <c r="AB64" s="405"/>
      <c r="AC64" s="405"/>
      <c r="AD64" s="405"/>
      <c r="AE64" s="405"/>
      <c r="AF64" s="405"/>
      <c r="AG64" s="405"/>
    </row>
    <row r="65" spans="1:33">
      <c r="A65" s="405"/>
      <c r="B65" s="405"/>
      <c r="C65" s="405"/>
      <c r="D65" s="405"/>
      <c r="E65" s="405"/>
      <c r="F65" s="405"/>
      <c r="G65" s="405"/>
      <c r="H65" s="405"/>
      <c r="I65" s="405"/>
      <c r="J65" s="405"/>
      <c r="K65" s="405"/>
      <c r="L65" s="405"/>
      <c r="M65" s="405"/>
      <c r="N65" s="405"/>
      <c r="O65" s="405"/>
      <c r="P65" s="405"/>
      <c r="Q65" s="405"/>
      <c r="R65" s="405"/>
      <c r="S65" s="405"/>
      <c r="T65" s="405"/>
      <c r="U65" s="405"/>
      <c r="V65" s="405"/>
      <c r="W65" s="405"/>
      <c r="X65" s="405"/>
      <c r="Y65" s="405"/>
      <c r="Z65" s="405"/>
      <c r="AA65" s="405"/>
      <c r="AB65" s="405"/>
      <c r="AC65" s="405"/>
      <c r="AD65" s="405"/>
      <c r="AE65" s="405"/>
      <c r="AF65" s="405"/>
      <c r="AG65" s="405"/>
    </row>
    <row r="66" spans="1:33">
      <c r="A66" s="405"/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405"/>
      <c r="V66" s="405"/>
      <c r="W66" s="405"/>
      <c r="X66" s="405"/>
      <c r="Y66" s="405"/>
      <c r="Z66" s="405"/>
      <c r="AA66" s="405"/>
      <c r="AB66" s="405"/>
      <c r="AC66" s="405"/>
      <c r="AD66" s="405"/>
      <c r="AE66" s="405"/>
      <c r="AF66" s="405"/>
      <c r="AG66" s="405"/>
    </row>
    <row r="67" spans="1:33">
      <c r="L67" s="405"/>
      <c r="M67" s="405"/>
      <c r="N67" s="405"/>
      <c r="O67" s="405"/>
      <c r="P67" s="405"/>
      <c r="Q67" s="405"/>
      <c r="R67" s="405"/>
      <c r="S67" s="405"/>
      <c r="T67" s="405"/>
      <c r="U67" s="405"/>
      <c r="V67" s="405"/>
      <c r="W67" s="405"/>
      <c r="X67" s="405"/>
      <c r="Y67" s="405"/>
      <c r="Z67" s="405"/>
      <c r="AA67" s="405"/>
      <c r="AB67" s="405"/>
      <c r="AC67" s="405"/>
      <c r="AD67" s="405"/>
      <c r="AE67" s="405"/>
      <c r="AF67" s="405"/>
      <c r="AG67" s="405"/>
    </row>
    <row r="68" spans="1:33">
      <c r="L68" s="405"/>
      <c r="M68" s="405"/>
      <c r="N68" s="405"/>
      <c r="O68" s="405"/>
      <c r="P68" s="405"/>
      <c r="Q68" s="405"/>
      <c r="R68" s="405"/>
      <c r="S68" s="405"/>
      <c r="T68" s="405"/>
      <c r="U68" s="405"/>
      <c r="V68" s="405"/>
      <c r="W68" s="405"/>
      <c r="X68" s="405"/>
      <c r="Y68" s="405"/>
      <c r="Z68" s="405"/>
      <c r="AA68" s="405"/>
      <c r="AB68" s="405"/>
      <c r="AC68" s="405"/>
      <c r="AD68" s="405"/>
      <c r="AE68" s="405"/>
      <c r="AF68" s="405"/>
      <c r="AG68" s="405"/>
    </row>
    <row r="69" spans="1:33">
      <c r="L69" s="405"/>
      <c r="M69" s="405"/>
      <c r="N69" s="405"/>
      <c r="O69" s="405"/>
      <c r="P69" s="405"/>
      <c r="Q69" s="405"/>
      <c r="R69" s="405"/>
      <c r="S69" s="405"/>
      <c r="T69" s="405"/>
      <c r="U69" s="405"/>
      <c r="V69" s="405"/>
      <c r="W69" s="405"/>
      <c r="X69" s="405"/>
      <c r="Y69" s="405"/>
      <c r="Z69" s="405"/>
      <c r="AA69" s="405"/>
      <c r="AB69" s="405"/>
      <c r="AC69" s="405"/>
      <c r="AD69" s="405"/>
      <c r="AE69" s="405"/>
      <c r="AF69" s="405"/>
      <c r="AG69" s="405"/>
    </row>
  </sheetData>
  <mergeCells count="2">
    <mergeCell ref="C5:E5"/>
    <mergeCell ref="G5:I5"/>
  </mergeCells>
  <pageMargins left="0.75" right="0.75" top="1" bottom="1" header="0.5" footer="0.5"/>
  <pageSetup scale="55" orientation="landscape" verticalDpi="0" r:id="rId1"/>
  <headerFooter alignWithMargins="0">
    <oddHeader>&amp;L&amp;12Enron's Generation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Drop Down 1">
              <controlPr defaultSize="0" autoFill="0" autoLine="0" autoPict="0">
                <anchor moveWithCells="1">
                  <from>
                    <xdr:col>0</xdr:col>
                    <xdr:colOff>2047875</xdr:colOff>
                    <xdr:row>18</xdr:row>
                    <xdr:rowOff>180975</xdr:rowOff>
                  </from>
                  <to>
                    <xdr:col>0</xdr:col>
                    <xdr:colOff>3238500</xdr:colOff>
                    <xdr:row>19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85"/>
  <sheetViews>
    <sheetView zoomScale="75" zoomScaleNormal="75" workbookViewId="0"/>
  </sheetViews>
  <sheetFormatPr defaultColWidth="9.28515625" defaultRowHeight="15.75"/>
  <cols>
    <col min="1" max="1" width="7" style="36" customWidth="1"/>
    <col min="2" max="2" width="35.140625" style="36" customWidth="1"/>
    <col min="3" max="3" width="11.140625" style="36" customWidth="1"/>
    <col min="4" max="6" width="9.85546875" style="36" customWidth="1"/>
    <col min="7" max="8" width="11.5703125" style="36" customWidth="1"/>
    <col min="9" max="9" width="10.28515625" style="36" customWidth="1"/>
    <col min="10" max="23" width="9.85546875" style="36" customWidth="1"/>
    <col min="24" max="16384" width="9.28515625" style="36"/>
  </cols>
  <sheetData>
    <row r="1" spans="1:29" ht="12" customHeight="1">
      <c r="A1" s="2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</row>
    <row r="2" spans="1:29" ht="18.75">
      <c r="A2" s="438" t="s">
        <v>289</v>
      </c>
      <c r="B2" s="206"/>
      <c r="C2" s="124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</row>
    <row r="3" spans="1:29"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</row>
    <row r="4" spans="1:29">
      <c r="D4" s="211">
        <v>2001</v>
      </c>
      <c r="E4" s="211">
        <v>2002</v>
      </c>
      <c r="F4" s="211">
        <v>2003</v>
      </c>
      <c r="G4" s="211">
        <v>2004</v>
      </c>
      <c r="H4" s="211">
        <v>2005</v>
      </c>
      <c r="I4" s="211">
        <v>2006</v>
      </c>
      <c r="J4" s="211">
        <v>2007</v>
      </c>
      <c r="K4" s="211">
        <v>2008</v>
      </c>
      <c r="L4" s="211">
        <v>2009</v>
      </c>
      <c r="M4" s="211">
        <v>2010</v>
      </c>
      <c r="N4" s="211">
        <v>2011</v>
      </c>
      <c r="O4" s="211">
        <v>2012</v>
      </c>
      <c r="P4" s="211">
        <v>2013</v>
      </c>
      <c r="Q4" s="211">
        <v>2014</v>
      </c>
      <c r="R4" s="211">
        <v>2015</v>
      </c>
      <c r="S4" s="211">
        <v>2016</v>
      </c>
      <c r="T4" s="211">
        <v>2017</v>
      </c>
      <c r="U4" s="211">
        <v>2018</v>
      </c>
      <c r="V4" s="211">
        <v>2019</v>
      </c>
      <c r="W4" s="211">
        <v>2020</v>
      </c>
    </row>
    <row r="5" spans="1:29">
      <c r="A5" s="239" t="s">
        <v>178</v>
      </c>
      <c r="B5" s="169"/>
      <c r="C5" s="169"/>
      <c r="D5" s="415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5"/>
      <c r="U5" s="415"/>
      <c r="V5" s="415"/>
      <c r="W5" s="415"/>
      <c r="X5" s="416"/>
      <c r="Y5" s="124"/>
      <c r="Z5" s="124"/>
      <c r="AA5" s="124"/>
      <c r="AB5" s="124"/>
      <c r="AC5" s="124"/>
    </row>
    <row r="6" spans="1:29">
      <c r="A6" s="169">
        <v>1</v>
      </c>
      <c r="B6" s="169" t="s">
        <v>197</v>
      </c>
      <c r="C6" s="169"/>
      <c r="D6" s="217">
        <f>Assumptions!$C$18</f>
        <v>4</v>
      </c>
      <c r="E6" s="217">
        <f>Assumptions!$C$18</f>
        <v>4</v>
      </c>
      <c r="F6" s="217">
        <f>Assumptions!$C$18</f>
        <v>4</v>
      </c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5"/>
    </row>
    <row r="7" spans="1:29">
      <c r="A7" s="169">
        <v>2</v>
      </c>
      <c r="B7" s="169" t="s">
        <v>198</v>
      </c>
      <c r="C7" s="169"/>
      <c r="D7" s="217">
        <f>Assumptions!$C$18</f>
        <v>4</v>
      </c>
      <c r="E7" s="217">
        <f>Assumptions!$C$18</f>
        <v>4</v>
      </c>
      <c r="F7" s="217">
        <f>Assumptions!$C$18</f>
        <v>4</v>
      </c>
      <c r="G7" s="217">
        <f>Assumptions!$C$20</f>
        <v>4.75</v>
      </c>
      <c r="H7" s="217">
        <f>Assumptions!$C$20</f>
        <v>4.75</v>
      </c>
      <c r="I7" s="217">
        <f>Assumptions!$C$20</f>
        <v>4.75</v>
      </c>
      <c r="J7" s="217">
        <f>Assumptions!$C$20</f>
        <v>4.75</v>
      </c>
      <c r="K7" s="217">
        <f>Assumptions!$C$20</f>
        <v>4.75</v>
      </c>
      <c r="L7" s="217"/>
      <c r="M7" s="217"/>
      <c r="N7" s="217"/>
      <c r="O7" s="169"/>
      <c r="P7" s="169"/>
      <c r="Q7" s="169"/>
      <c r="R7" s="169"/>
      <c r="S7" s="169"/>
      <c r="T7" s="169"/>
      <c r="U7" s="169"/>
      <c r="V7" s="169"/>
      <c r="W7" s="169"/>
    </row>
    <row r="8" spans="1:29">
      <c r="A8" s="169">
        <v>3</v>
      </c>
      <c r="B8" s="169" t="s">
        <v>199</v>
      </c>
      <c r="C8" s="169"/>
      <c r="D8" s="217">
        <f>Assumptions!$C$18</f>
        <v>4</v>
      </c>
      <c r="E8" s="217">
        <f>Assumptions!$C$18</f>
        <v>4</v>
      </c>
      <c r="F8" s="217">
        <f>Assumptions!$C$18</f>
        <v>4</v>
      </c>
      <c r="G8" s="217">
        <f>Assumptions!$C$20</f>
        <v>4.75</v>
      </c>
      <c r="H8" s="217">
        <f>Assumptions!$C$20</f>
        <v>4.75</v>
      </c>
      <c r="I8" s="217">
        <f>Assumptions!$C$20</f>
        <v>4.75</v>
      </c>
      <c r="J8" s="217">
        <f>Assumptions!$C$20</f>
        <v>4.75</v>
      </c>
      <c r="K8" s="217">
        <f>Assumptions!$C$20</f>
        <v>4.75</v>
      </c>
      <c r="L8" s="217">
        <f>Assumptions!$C$20</f>
        <v>4.75</v>
      </c>
      <c r="M8" s="217">
        <f>Assumptions!$C$20</f>
        <v>4.75</v>
      </c>
      <c r="N8" s="217">
        <f>Assumptions!$C$20</f>
        <v>4.75</v>
      </c>
      <c r="O8" s="217">
        <f>Assumptions!$C$20</f>
        <v>4.75</v>
      </c>
      <c r="P8" s="217">
        <f>Assumptions!$C$20</f>
        <v>4.75</v>
      </c>
      <c r="Q8" s="217"/>
      <c r="R8" s="217"/>
      <c r="S8" s="217"/>
      <c r="T8" s="169"/>
      <c r="U8" s="169"/>
      <c r="V8" s="169"/>
      <c r="W8" s="169"/>
    </row>
    <row r="9" spans="1:29">
      <c r="A9" s="169">
        <v>4</v>
      </c>
      <c r="B9" s="169" t="s">
        <v>200</v>
      </c>
      <c r="C9" s="169"/>
      <c r="D9" s="217">
        <f>Assumptions!$C$18</f>
        <v>4</v>
      </c>
      <c r="E9" s="217">
        <f>Assumptions!$C$18</f>
        <v>4</v>
      </c>
      <c r="F9" s="217">
        <f>Assumptions!$C$18</f>
        <v>4</v>
      </c>
      <c r="G9" s="217">
        <f>Assumptions!$C$20</f>
        <v>4.75</v>
      </c>
      <c r="H9" s="217">
        <f>Assumptions!$C$20</f>
        <v>4.75</v>
      </c>
      <c r="I9" s="217">
        <f>Assumptions!$C$20</f>
        <v>4.75</v>
      </c>
      <c r="J9" s="217">
        <f>Assumptions!$C$20</f>
        <v>4.75</v>
      </c>
      <c r="K9" s="217">
        <f>Assumptions!$C$20</f>
        <v>4.75</v>
      </c>
      <c r="L9" s="217">
        <f>Assumptions!$C$20</f>
        <v>4.75</v>
      </c>
      <c r="M9" s="217">
        <f>Assumptions!$C$20</f>
        <v>4.75</v>
      </c>
      <c r="N9" s="217">
        <f>Assumptions!$C$20</f>
        <v>4.75</v>
      </c>
      <c r="O9" s="217">
        <f>Assumptions!$C$20</f>
        <v>4.75</v>
      </c>
      <c r="P9" s="217">
        <f>Assumptions!$C$20</f>
        <v>4.75</v>
      </c>
      <c r="Q9" s="217">
        <f>Assumptions!$C$20</f>
        <v>4.75</v>
      </c>
      <c r="R9" s="217">
        <f>Assumptions!$C$20</f>
        <v>4.75</v>
      </c>
      <c r="S9" s="217">
        <f>Assumptions!$C$20</f>
        <v>4.75</v>
      </c>
      <c r="T9" s="217">
        <f>Assumptions!$C$20</f>
        <v>4.75</v>
      </c>
      <c r="U9" s="217">
        <f>Assumptions!$C$20</f>
        <v>4.75</v>
      </c>
      <c r="V9" s="169"/>
      <c r="W9" s="169"/>
    </row>
    <row r="10" spans="1:29">
      <c r="A10" s="241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</row>
    <row r="11" spans="1:29">
      <c r="A11" s="241"/>
      <c r="B11" s="220" t="s">
        <v>179</v>
      </c>
      <c r="C11" s="490">
        <f>Assumptions!$P$23</f>
        <v>1</v>
      </c>
      <c r="D11" s="417">
        <f t="shared" ref="D11:W11" si="0">IF(D9&gt;0,CHOOSE($C$11,D6,D7,D8,D9),0)</f>
        <v>4</v>
      </c>
      <c r="E11" s="417">
        <f t="shared" si="0"/>
        <v>4</v>
      </c>
      <c r="F11" s="417">
        <f t="shared" si="0"/>
        <v>4</v>
      </c>
      <c r="G11" s="417">
        <f t="shared" si="0"/>
        <v>0</v>
      </c>
      <c r="H11" s="417">
        <f t="shared" si="0"/>
        <v>0</v>
      </c>
      <c r="I11" s="417">
        <f t="shared" si="0"/>
        <v>0</v>
      </c>
      <c r="J11" s="417">
        <f t="shared" si="0"/>
        <v>0</v>
      </c>
      <c r="K11" s="417">
        <f t="shared" si="0"/>
        <v>0</v>
      </c>
      <c r="L11" s="417">
        <f t="shared" si="0"/>
        <v>0</v>
      </c>
      <c r="M11" s="417">
        <f t="shared" si="0"/>
        <v>0</v>
      </c>
      <c r="N11" s="417">
        <f t="shared" si="0"/>
        <v>0</v>
      </c>
      <c r="O11" s="417">
        <f t="shared" si="0"/>
        <v>0</v>
      </c>
      <c r="P11" s="417">
        <f t="shared" si="0"/>
        <v>0</v>
      </c>
      <c r="Q11" s="417">
        <f t="shared" si="0"/>
        <v>0</v>
      </c>
      <c r="R11" s="417">
        <f t="shared" si="0"/>
        <v>0</v>
      </c>
      <c r="S11" s="417">
        <f t="shared" si="0"/>
        <v>0</v>
      </c>
      <c r="T11" s="417">
        <f t="shared" si="0"/>
        <v>0</v>
      </c>
      <c r="U11" s="417">
        <f t="shared" si="0"/>
        <v>0</v>
      </c>
      <c r="V11" s="417">
        <f t="shared" si="0"/>
        <v>0</v>
      </c>
      <c r="W11" s="417">
        <f t="shared" si="0"/>
        <v>0</v>
      </c>
    </row>
    <row r="12" spans="1:29">
      <c r="A12" s="241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</row>
    <row r="13" spans="1:29">
      <c r="A13" s="241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</row>
    <row r="14" spans="1:29">
      <c r="A14" s="241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</row>
    <row r="15" spans="1:29">
      <c r="A15" s="169"/>
      <c r="B15" s="220" t="s">
        <v>263</v>
      </c>
      <c r="C15" s="318">
        <f>Assumptions!C33</f>
        <v>0.03</v>
      </c>
      <c r="D15" s="169"/>
      <c r="E15" s="169"/>
      <c r="F15" s="20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</row>
    <row r="16" spans="1:29">
      <c r="A16" s="169"/>
      <c r="B16" s="207"/>
      <c r="C16" s="208"/>
      <c r="D16" s="169"/>
      <c r="E16" s="169"/>
      <c r="F16" s="20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</row>
    <row r="17" spans="1:29">
      <c r="A17" s="239" t="s">
        <v>58</v>
      </c>
      <c r="B17" s="169"/>
      <c r="C17" s="169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</row>
    <row r="18" spans="1:29">
      <c r="A18" s="169" t="s">
        <v>231</v>
      </c>
      <c r="B18" s="169"/>
      <c r="C18" s="169"/>
    </row>
    <row r="19" spans="1:29">
      <c r="A19" s="169"/>
      <c r="B19" s="169"/>
      <c r="C19" s="169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</row>
    <row r="20" spans="1:29">
      <c r="A20" s="242" t="s">
        <v>59</v>
      </c>
      <c r="B20" s="169"/>
      <c r="C20" s="16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</row>
    <row r="21" spans="1:29">
      <c r="A21" s="169"/>
      <c r="B21" s="169" t="s">
        <v>264</v>
      </c>
      <c r="C21" s="212"/>
      <c r="D21" s="213">
        <v>60.972853185595568</v>
      </c>
      <c r="E21" s="213">
        <v>62.131855955678674</v>
      </c>
      <c r="F21" s="213">
        <v>63.313019390581715</v>
      </c>
      <c r="G21" s="213">
        <v>64.517451523545702</v>
      </c>
      <c r="H21" s="213">
        <v>65.744044321329639</v>
      </c>
      <c r="I21" s="213">
        <v>64.647645429362882</v>
      </c>
      <c r="J21" s="213">
        <v>63.569529085872574</v>
      </c>
      <c r="K21" s="213">
        <v>62.509141274238225</v>
      </c>
      <c r="L21" s="213">
        <v>61.467036011080332</v>
      </c>
      <c r="M21" s="213">
        <v>60.442105263157892</v>
      </c>
      <c r="N21" s="213">
        <v>59.79168975069252</v>
      </c>
      <c r="O21" s="213">
        <v>59.149030470914127</v>
      </c>
      <c r="P21" s="213">
        <v>58.513019390581718</v>
      </c>
      <c r="Q21" s="213">
        <v>57.883656509695292</v>
      </c>
      <c r="R21" s="213">
        <v>57.26094182825485</v>
      </c>
      <c r="S21" s="213">
        <v>56.385595567867036</v>
      </c>
      <c r="T21" s="213">
        <v>55.525207756232689</v>
      </c>
      <c r="U21" s="213">
        <v>54.676454293628808</v>
      </c>
      <c r="V21" s="213">
        <v>53.841551246537399</v>
      </c>
      <c r="W21" s="213">
        <v>53.019390581717452</v>
      </c>
      <c r="X21" s="214"/>
    </row>
    <row r="22" spans="1:29">
      <c r="A22" s="169"/>
      <c r="B22" s="169" t="s">
        <v>265</v>
      </c>
      <c r="C22" s="169"/>
      <c r="D22" s="213">
        <v>0</v>
      </c>
      <c r="E22" s="213">
        <v>0</v>
      </c>
      <c r="F22" s="213">
        <v>0</v>
      </c>
      <c r="G22" s="213">
        <v>0</v>
      </c>
      <c r="H22" s="213">
        <v>0</v>
      </c>
      <c r="I22" s="213">
        <v>0</v>
      </c>
      <c r="J22" s="213">
        <v>0</v>
      </c>
      <c r="K22" s="213">
        <v>0</v>
      </c>
      <c r="L22" s="213">
        <v>0</v>
      </c>
      <c r="M22" s="213">
        <v>0</v>
      </c>
      <c r="N22" s="213">
        <v>0</v>
      </c>
      <c r="O22" s="213">
        <v>0</v>
      </c>
      <c r="P22" s="213">
        <v>0</v>
      </c>
      <c r="Q22" s="213">
        <v>0</v>
      </c>
      <c r="R22" s="213">
        <v>0</v>
      </c>
      <c r="S22" s="213">
        <v>0</v>
      </c>
      <c r="T22" s="213">
        <v>0</v>
      </c>
      <c r="U22" s="213">
        <v>0</v>
      </c>
      <c r="V22" s="213">
        <v>0</v>
      </c>
      <c r="W22" s="213">
        <v>0</v>
      </c>
      <c r="X22" s="215"/>
    </row>
    <row r="23" spans="1:29">
      <c r="A23" s="169"/>
      <c r="B23" s="169"/>
      <c r="C23" s="169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5"/>
    </row>
    <row r="24" spans="1:29">
      <c r="A24" s="242" t="s">
        <v>60</v>
      </c>
      <c r="B24" s="169"/>
      <c r="C24" s="169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5"/>
    </row>
    <row r="25" spans="1:29">
      <c r="A25" s="169"/>
      <c r="B25" s="169" t="s">
        <v>266</v>
      </c>
      <c r="C25" s="216"/>
      <c r="D25" s="213">
        <f>D21*(1+'Power Price Assumption'!$C$15)^(D4-1998)</f>
        <v>66.626682942936284</v>
      </c>
      <c r="E25" s="213">
        <f>E21*(1+'Power Price Assumption'!$C$15)^(E4-1998)</f>
        <v>69.929951259767307</v>
      </c>
      <c r="F25" s="213">
        <f>F21*(1+'Power Price Assumption'!$C$15)^(F4-1998)</f>
        <v>73.397141945154559</v>
      </c>
      <c r="G25" s="213">
        <f>G21*(1+'Power Price Assumption'!$C$15)^(G4-1998)</f>
        <v>77.037211157888166</v>
      </c>
      <c r="H25" s="213">
        <f>H21*(1+'Power Price Assumption'!$C$15)^(H4-1998)</f>
        <v>80.85688191813766</v>
      </c>
      <c r="I25" s="213">
        <f>I21*(1+'Power Price Assumption'!$C$15)^(I4-1998)</f>
        <v>81.893703062071751</v>
      </c>
      <c r="J25" s="213">
        <f>J21*(1+'Power Price Assumption'!$C$15)^(J4-1998)</f>
        <v>82.943816859899712</v>
      </c>
      <c r="K25" s="213">
        <f>K21*(1+'Power Price Assumption'!$C$15)^(K4-1998)</f>
        <v>84.007058817184443</v>
      </c>
      <c r="L25" s="213">
        <f>L21*(1+'Power Price Assumption'!$C$15)^(L4-1998)</f>
        <v>85.084753179576609</v>
      </c>
      <c r="M25" s="213">
        <f>M21*(1+'Power Price Assumption'!$C$15)^(M4-1998)</f>
        <v>86.17598960285008</v>
      </c>
      <c r="N25" s="213">
        <f>N21*(1+'Power Price Assumption'!$C$15)^(N4-1998)</f>
        <v>87.806112183128306</v>
      </c>
      <c r="O25" s="213">
        <f>O21*(1+'Power Price Assumption'!$C$15)^(O4-1998)</f>
        <v>89.468215725446569</v>
      </c>
      <c r="P25" s="213">
        <f>P21*(1+'Power Price Assumption'!$C$15)^(P4-1998)</f>
        <v>91.161377657455034</v>
      </c>
      <c r="Q25" s="213">
        <f>Q21*(1+'Power Price Assumption'!$C$15)^(Q4-1998)</f>
        <v>92.886276319690452</v>
      </c>
      <c r="R25" s="213">
        <f>R21*(1+'Power Price Assumption'!$C$15)^(R4-1998)</f>
        <v>94.643612122481485</v>
      </c>
      <c r="S25" s="213">
        <f>S21*(1+'Power Price Assumption'!$C$15)^(S4-1998)</f>
        <v>95.992702072439002</v>
      </c>
      <c r="T25" s="213">
        <f>T21*(1+'Power Price Assumption'!$C$15)^(T4-1998)</f>
        <v>97.363787898917579</v>
      </c>
      <c r="U25" s="213">
        <f>U21*(1+'Power Price Assumption'!$C$15)^(U4-1998)</f>
        <v>98.751758371611672</v>
      </c>
      <c r="V25" s="213">
        <f>V21*(1+'Power Price Assumption'!$C$15)^(V4-1998)</f>
        <v>100.16114551635214</v>
      </c>
      <c r="W25" s="213">
        <f>W21*(1+'Power Price Assumption'!$C$15)^(W4-1998)</f>
        <v>101.59063502934997</v>
      </c>
      <c r="X25" s="215"/>
    </row>
    <row r="26" spans="1:29">
      <c r="A26" s="169"/>
      <c r="B26" s="169" t="s">
        <v>265</v>
      </c>
      <c r="C26" s="169"/>
      <c r="D26" s="213">
        <f>D22*(1+'Power Price Assumption'!$C$15)^(D4-1998)</f>
        <v>0</v>
      </c>
      <c r="E26" s="213">
        <f>E22*(1+'Power Price Assumption'!$C$15)^(E4-1998)</f>
        <v>0</v>
      </c>
      <c r="F26" s="213">
        <f>F22*(1+'Power Price Assumption'!$C$15)^(F4-1998)</f>
        <v>0</v>
      </c>
      <c r="G26" s="213">
        <f>G22*(1+'Power Price Assumption'!$C$15)^(G4-1998)</f>
        <v>0</v>
      </c>
      <c r="H26" s="213">
        <f>H22*(1+'Power Price Assumption'!$C$15)^(H4-1998)</f>
        <v>0</v>
      </c>
      <c r="I26" s="213">
        <f>I22*(1+'Power Price Assumption'!$C$15)^(I4-1998)</f>
        <v>0</v>
      </c>
      <c r="J26" s="213">
        <f>J22*(1+'Power Price Assumption'!$C$15)^(J4-1998)</f>
        <v>0</v>
      </c>
      <c r="K26" s="213">
        <f>K22*(1+'Power Price Assumption'!$C$15)^(K4-1998)</f>
        <v>0</v>
      </c>
      <c r="L26" s="213">
        <f>L22*(1+'Power Price Assumption'!$C$15)^(L4-1998)</f>
        <v>0</v>
      </c>
      <c r="M26" s="213">
        <f>M22*(1+'Power Price Assumption'!$C$15)^(M4-1998)</f>
        <v>0</v>
      </c>
      <c r="N26" s="213">
        <f>N22*(1+'Power Price Assumption'!$C$15)^(N4-1998)</f>
        <v>0</v>
      </c>
      <c r="O26" s="213">
        <f>O22*(1+'Power Price Assumption'!$C$15)^(O4-1998)</f>
        <v>0</v>
      </c>
      <c r="P26" s="213">
        <f>P22*(1+'Power Price Assumption'!$C$15)^(P4-1998)</f>
        <v>0</v>
      </c>
      <c r="Q26" s="213">
        <f>Q22*(1+'Power Price Assumption'!$C$15)^(Q4-1998)</f>
        <v>0</v>
      </c>
      <c r="R26" s="213">
        <f>R22*(1+'Power Price Assumption'!$C$15)^(R4-1998)</f>
        <v>0</v>
      </c>
      <c r="S26" s="213">
        <f>S22*(1+'Power Price Assumption'!$C$15)^(S4-1998)</f>
        <v>0</v>
      </c>
      <c r="T26" s="213">
        <f>T22*(1+'Power Price Assumption'!$C$15)^(T4-1998)</f>
        <v>0</v>
      </c>
      <c r="U26" s="213">
        <f>U22*(1+'Power Price Assumption'!$C$15)^(U4-1998)</f>
        <v>0</v>
      </c>
      <c r="V26" s="213">
        <f>V22*(1+'Power Price Assumption'!$C$15)^(V4-1998)</f>
        <v>0</v>
      </c>
      <c r="W26" s="213">
        <f>W22*(1+'Power Price Assumption'!$C$15)^(W4-1998)</f>
        <v>0</v>
      </c>
      <c r="X26" s="215"/>
    </row>
    <row r="27" spans="1:29">
      <c r="A27" s="169"/>
      <c r="B27" s="169"/>
      <c r="C27" s="16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</row>
    <row r="28" spans="1:29">
      <c r="A28" s="169">
        <v>1</v>
      </c>
      <c r="B28" s="169" t="s">
        <v>267</v>
      </c>
      <c r="C28" s="169"/>
      <c r="D28" s="217">
        <f t="shared" ref="D28:W28" si="1">D25/12</f>
        <v>5.5522235785780234</v>
      </c>
      <c r="E28" s="217">
        <f t="shared" si="1"/>
        <v>5.827495938313942</v>
      </c>
      <c r="F28" s="217">
        <f t="shared" si="1"/>
        <v>6.1164284954295463</v>
      </c>
      <c r="G28" s="217">
        <f t="shared" si="1"/>
        <v>6.4197675964906802</v>
      </c>
      <c r="H28" s="217">
        <f t="shared" si="1"/>
        <v>6.7380734931781383</v>
      </c>
      <c r="I28" s="217">
        <f t="shared" si="1"/>
        <v>6.8244752551726462</v>
      </c>
      <c r="J28" s="217">
        <f t="shared" si="1"/>
        <v>6.9119847383249757</v>
      </c>
      <c r="K28" s="217">
        <f t="shared" si="1"/>
        <v>7.0005882347653703</v>
      </c>
      <c r="L28" s="217">
        <f t="shared" si="1"/>
        <v>7.0903960982980507</v>
      </c>
      <c r="M28" s="217">
        <f t="shared" si="1"/>
        <v>7.1813324669041734</v>
      </c>
      <c r="N28" s="217">
        <f t="shared" si="1"/>
        <v>7.3171760152606922</v>
      </c>
      <c r="O28" s="217">
        <f t="shared" si="1"/>
        <v>7.4556846437872144</v>
      </c>
      <c r="P28" s="217">
        <f t="shared" si="1"/>
        <v>7.5967814714545865</v>
      </c>
      <c r="Q28" s="217">
        <f t="shared" si="1"/>
        <v>7.7405230266408713</v>
      </c>
      <c r="R28" s="217">
        <f t="shared" si="1"/>
        <v>7.8869676768734571</v>
      </c>
      <c r="S28" s="217">
        <f t="shared" si="1"/>
        <v>7.9993918393699168</v>
      </c>
      <c r="T28" s="217">
        <f t="shared" si="1"/>
        <v>8.1136489915764649</v>
      </c>
      <c r="U28" s="217">
        <f t="shared" si="1"/>
        <v>8.2293131976343066</v>
      </c>
      <c r="V28" s="217">
        <f t="shared" si="1"/>
        <v>8.3467621263626786</v>
      </c>
      <c r="W28" s="217">
        <f t="shared" si="1"/>
        <v>8.4658862524458307</v>
      </c>
      <c r="X28" s="215"/>
    </row>
    <row r="29" spans="1:29">
      <c r="A29" s="169">
        <v>2</v>
      </c>
      <c r="B29" s="169" t="s">
        <v>268</v>
      </c>
      <c r="C29" s="169"/>
      <c r="D29" s="217">
        <f t="shared" ref="D29:W29" si="2">D26/12</f>
        <v>0</v>
      </c>
      <c r="E29" s="217">
        <f t="shared" si="2"/>
        <v>0</v>
      </c>
      <c r="F29" s="217">
        <f t="shared" si="2"/>
        <v>0</v>
      </c>
      <c r="G29" s="217">
        <f t="shared" si="2"/>
        <v>0</v>
      </c>
      <c r="H29" s="217">
        <f t="shared" si="2"/>
        <v>0</v>
      </c>
      <c r="I29" s="217">
        <f t="shared" si="2"/>
        <v>0</v>
      </c>
      <c r="J29" s="217">
        <f t="shared" si="2"/>
        <v>0</v>
      </c>
      <c r="K29" s="217">
        <f t="shared" si="2"/>
        <v>0</v>
      </c>
      <c r="L29" s="217">
        <f t="shared" si="2"/>
        <v>0</v>
      </c>
      <c r="M29" s="217">
        <f t="shared" si="2"/>
        <v>0</v>
      </c>
      <c r="N29" s="217">
        <f t="shared" si="2"/>
        <v>0</v>
      </c>
      <c r="O29" s="217">
        <f t="shared" si="2"/>
        <v>0</v>
      </c>
      <c r="P29" s="217">
        <f t="shared" si="2"/>
        <v>0</v>
      </c>
      <c r="Q29" s="217">
        <f t="shared" si="2"/>
        <v>0</v>
      </c>
      <c r="R29" s="217">
        <f t="shared" si="2"/>
        <v>0</v>
      </c>
      <c r="S29" s="217">
        <f t="shared" si="2"/>
        <v>0</v>
      </c>
      <c r="T29" s="217">
        <f t="shared" si="2"/>
        <v>0</v>
      </c>
      <c r="U29" s="217">
        <f t="shared" si="2"/>
        <v>0</v>
      </c>
      <c r="V29" s="217">
        <f t="shared" si="2"/>
        <v>0</v>
      </c>
      <c r="W29" s="217">
        <f t="shared" si="2"/>
        <v>0</v>
      </c>
      <c r="X29" s="215"/>
    </row>
    <row r="30" spans="1:29">
      <c r="A30" s="169">
        <v>3</v>
      </c>
      <c r="B30" s="169" t="s">
        <v>61</v>
      </c>
      <c r="C30" s="169"/>
      <c r="D30" s="271">
        <v>0</v>
      </c>
      <c r="E30" s="271">
        <v>0</v>
      </c>
      <c r="F30" s="271">
        <v>0</v>
      </c>
      <c r="G30" s="271">
        <v>0</v>
      </c>
      <c r="H30" s="271">
        <v>0</v>
      </c>
      <c r="I30" s="271">
        <v>0</v>
      </c>
      <c r="J30" s="271">
        <v>0</v>
      </c>
      <c r="K30" s="271">
        <v>0</v>
      </c>
      <c r="L30" s="271">
        <v>0</v>
      </c>
      <c r="M30" s="271">
        <v>0</v>
      </c>
      <c r="N30" s="271">
        <v>0</v>
      </c>
      <c r="O30" s="271">
        <v>0</v>
      </c>
      <c r="P30" s="271">
        <v>0</v>
      </c>
      <c r="Q30" s="271">
        <v>0</v>
      </c>
      <c r="R30" s="271">
        <v>0</v>
      </c>
      <c r="S30" s="271">
        <v>0</v>
      </c>
      <c r="T30" s="271">
        <v>0</v>
      </c>
      <c r="U30" s="271">
        <v>0</v>
      </c>
      <c r="V30" s="271">
        <v>0</v>
      </c>
      <c r="W30" s="271">
        <v>0</v>
      </c>
      <c r="X30" s="215"/>
    </row>
    <row r="31" spans="1:29">
      <c r="A31" s="169"/>
      <c r="B31" s="169"/>
      <c r="C31" s="169"/>
      <c r="D31" s="415"/>
      <c r="E31" s="415"/>
      <c r="F31" s="415"/>
      <c r="G31" s="415"/>
      <c r="H31" s="415"/>
      <c r="I31" s="415"/>
      <c r="J31" s="415"/>
      <c r="K31" s="415"/>
      <c r="L31" s="415"/>
      <c r="M31" s="415"/>
      <c r="N31" s="415"/>
      <c r="O31" s="415"/>
      <c r="P31" s="415"/>
      <c r="Q31" s="415"/>
      <c r="R31" s="415"/>
      <c r="S31" s="415"/>
      <c r="T31" s="415"/>
      <c r="U31" s="415"/>
      <c r="V31" s="415"/>
      <c r="W31" s="415"/>
      <c r="X31" s="416"/>
      <c r="Y31" s="124"/>
      <c r="Z31" s="124"/>
      <c r="AA31" s="124"/>
      <c r="AB31" s="124"/>
      <c r="AC31" s="124"/>
    </row>
    <row r="32" spans="1:29">
      <c r="A32" s="169"/>
      <c r="B32" s="220" t="s">
        <v>180</v>
      </c>
      <c r="C32" s="491">
        <v>1</v>
      </c>
      <c r="D32" s="221">
        <f t="shared" ref="D32:W32" si="3">IF(D11&gt;0,D11,CHOOSE($C$32,D28,D29,D30,D6))</f>
        <v>4</v>
      </c>
      <c r="E32" s="221">
        <f t="shared" si="3"/>
        <v>4</v>
      </c>
      <c r="F32" s="221">
        <f t="shared" si="3"/>
        <v>4</v>
      </c>
      <c r="G32" s="221">
        <f t="shared" si="3"/>
        <v>6.4197675964906802</v>
      </c>
      <c r="H32" s="221">
        <f t="shared" si="3"/>
        <v>6.7380734931781383</v>
      </c>
      <c r="I32" s="221">
        <f t="shared" si="3"/>
        <v>6.8244752551726462</v>
      </c>
      <c r="J32" s="221">
        <f t="shared" si="3"/>
        <v>6.9119847383249757</v>
      </c>
      <c r="K32" s="221">
        <f t="shared" si="3"/>
        <v>7.0005882347653703</v>
      </c>
      <c r="L32" s="221">
        <f t="shared" si="3"/>
        <v>7.0903960982980507</v>
      </c>
      <c r="M32" s="221">
        <f t="shared" si="3"/>
        <v>7.1813324669041734</v>
      </c>
      <c r="N32" s="221">
        <f t="shared" si="3"/>
        <v>7.3171760152606922</v>
      </c>
      <c r="O32" s="221">
        <f t="shared" si="3"/>
        <v>7.4556846437872144</v>
      </c>
      <c r="P32" s="221">
        <f t="shared" si="3"/>
        <v>7.5967814714545865</v>
      </c>
      <c r="Q32" s="221">
        <f t="shared" si="3"/>
        <v>7.7405230266408713</v>
      </c>
      <c r="R32" s="221">
        <f t="shared" si="3"/>
        <v>7.8869676768734571</v>
      </c>
      <c r="S32" s="221">
        <f t="shared" si="3"/>
        <v>7.9993918393699168</v>
      </c>
      <c r="T32" s="221">
        <f t="shared" si="3"/>
        <v>8.1136489915764649</v>
      </c>
      <c r="U32" s="221">
        <f t="shared" si="3"/>
        <v>8.2293131976343066</v>
      </c>
      <c r="V32" s="221">
        <f t="shared" si="3"/>
        <v>8.3467621263626786</v>
      </c>
      <c r="W32" s="221">
        <f t="shared" si="3"/>
        <v>8.4658862524458307</v>
      </c>
    </row>
    <row r="33" spans="1:26">
      <c r="A33" s="169"/>
      <c r="B33" s="220"/>
      <c r="C33" s="222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14"/>
      <c r="Y33" s="224"/>
      <c r="Z33" s="224"/>
    </row>
    <row r="34" spans="1:26">
      <c r="A34" s="239" t="s">
        <v>63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</row>
    <row r="35" spans="1:26">
      <c r="A35" s="169" t="s">
        <v>64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</row>
    <row r="36" spans="1:26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</row>
    <row r="37" spans="1:26">
      <c r="A37" s="242" t="s">
        <v>59</v>
      </c>
      <c r="B37" s="169"/>
      <c r="C37" s="16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</row>
    <row r="38" spans="1:26">
      <c r="A38" s="169"/>
      <c r="B38" s="169" t="s">
        <v>264</v>
      </c>
      <c r="C38" s="222"/>
      <c r="D38" s="213">
        <v>66.353191489361706</v>
      </c>
      <c r="E38" s="213">
        <v>67.142553191489355</v>
      </c>
      <c r="F38" s="213">
        <v>67.940425531914897</v>
      </c>
      <c r="G38" s="213">
        <v>68.746808510638303</v>
      </c>
      <c r="H38" s="213">
        <v>69.563829787234042</v>
      </c>
      <c r="I38" s="213">
        <v>68.908510638297869</v>
      </c>
      <c r="J38" s="213">
        <v>68.261702127659575</v>
      </c>
      <c r="K38" s="213">
        <v>67.61914893617022</v>
      </c>
      <c r="L38" s="213">
        <v>66.982978723404258</v>
      </c>
      <c r="M38" s="213">
        <v>66.353191489361706</v>
      </c>
      <c r="N38" s="213">
        <v>65.47446808510638</v>
      </c>
      <c r="O38" s="213">
        <v>64.606382978723403</v>
      </c>
      <c r="P38" s="213">
        <v>63.751063829787235</v>
      </c>
      <c r="Q38" s="213">
        <v>62.906382978723407</v>
      </c>
      <c r="R38" s="213">
        <v>62.072340425531912</v>
      </c>
      <c r="S38" s="213">
        <v>60.96382978723404</v>
      </c>
      <c r="T38" s="213">
        <v>59.874468085106386</v>
      </c>
      <c r="U38" s="213">
        <v>58.804255319148936</v>
      </c>
      <c r="V38" s="213">
        <v>57.753191489361704</v>
      </c>
      <c r="W38" s="213">
        <v>56.721276595744683</v>
      </c>
    </row>
    <row r="39" spans="1:26">
      <c r="A39" s="169"/>
      <c r="B39" s="169" t="s">
        <v>265</v>
      </c>
      <c r="C39" s="222"/>
      <c r="D39" s="225">
        <v>0</v>
      </c>
      <c r="E39" s="225">
        <v>0</v>
      </c>
      <c r="F39" s="225">
        <v>0</v>
      </c>
      <c r="G39" s="225">
        <v>0</v>
      </c>
      <c r="H39" s="225">
        <v>0</v>
      </c>
      <c r="I39" s="225">
        <v>0</v>
      </c>
      <c r="J39" s="225">
        <v>0</v>
      </c>
      <c r="K39" s="225">
        <v>0</v>
      </c>
      <c r="L39" s="225">
        <v>0</v>
      </c>
      <c r="M39" s="225">
        <v>0</v>
      </c>
      <c r="N39" s="225">
        <v>0</v>
      </c>
      <c r="O39" s="225">
        <v>0</v>
      </c>
      <c r="P39" s="225">
        <v>0</v>
      </c>
      <c r="Q39" s="225">
        <v>0</v>
      </c>
      <c r="R39" s="225">
        <v>0</v>
      </c>
      <c r="S39" s="225">
        <v>0</v>
      </c>
      <c r="T39" s="225">
        <v>0</v>
      </c>
      <c r="U39" s="225">
        <v>0</v>
      </c>
      <c r="V39" s="225">
        <v>0</v>
      </c>
      <c r="W39" s="225">
        <v>0</v>
      </c>
    </row>
    <row r="40" spans="1:26">
      <c r="A40" s="169"/>
      <c r="B40" s="169"/>
      <c r="C40" s="222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</row>
    <row r="41" spans="1:26">
      <c r="A41" s="242" t="s">
        <v>60</v>
      </c>
      <c r="B41" s="169"/>
      <c r="C41" s="222"/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</row>
    <row r="42" spans="1:26">
      <c r="A42" s="169"/>
      <c r="B42" s="169" t="s">
        <v>266</v>
      </c>
      <c r="C42" s="222"/>
      <c r="D42" s="225">
        <f>D38*(1+'Power Price Assumption'!$C$15)^(D4-1998)</f>
        <v>72.505923876595745</v>
      </c>
      <c r="E42" s="225">
        <f>E38*(1+'Power Price Assumption'!$C$15)^(E4-1998)</f>
        <v>75.569535142914887</v>
      </c>
      <c r="F42" s="225">
        <f>F38*(1+'Power Price Assumption'!$C$15)^(F4-1998)</f>
        <v>78.761573916058722</v>
      </c>
      <c r="G42" s="225">
        <f>G38*(1+'Power Price Assumption'!$C$15)^(G4-1998)</f>
        <v>82.087284581167069</v>
      </c>
      <c r="H42" s="225">
        <f>H38*(1+'Power Price Assumption'!$C$15)^(H4-1998)</f>
        <v>85.554736234183238</v>
      </c>
      <c r="I42" s="225">
        <f>I38*(1+'Power Price Assumption'!$C$15)^(I4-1998)</f>
        <v>87.291239629575983</v>
      </c>
      <c r="J42" s="225">
        <f>J38*(1+'Power Price Assumption'!$C$15)^(J4-1998)</f>
        <v>89.066038418709894</v>
      </c>
      <c r="K42" s="225">
        <f>K38*(1+'Power Price Assumption'!$C$15)^(K4-1998)</f>
        <v>90.874481812628801</v>
      </c>
      <c r="L42" s="225">
        <f>L38*(1+'Power Price Assumption'!$C$15)^(L4-1998)</f>
        <v>92.720107910951057</v>
      </c>
      <c r="M42" s="225">
        <f>M38*(1+'Power Price Assumption'!$C$15)^(M4-1998)</f>
        <v>94.603785142946663</v>
      </c>
      <c r="N42" s="225">
        <f>N38*(1+'Power Price Assumption'!$C$15)^(N4-1998)</f>
        <v>96.151463753287175</v>
      </c>
      <c r="O42" s="225">
        <f>O38*(1+'Power Price Assumption'!$C$15)^(O4-1998)</f>
        <v>97.722951053671153</v>
      </c>
      <c r="P42" s="225">
        <f>P38*(1+'Power Price Assumption'!$C$15)^(P4-1998)</f>
        <v>99.32208022044405</v>
      </c>
      <c r="Q42" s="225">
        <f>Q38*(1+'Power Price Assumption'!$C$15)^(Q4-1998)</f>
        <v>100.94627782637178</v>
      </c>
      <c r="R42" s="225">
        <f>R38*(1+'Power Price Assumption'!$C$15)^(R4-1998)</f>
        <v>102.59612090190649</v>
      </c>
      <c r="S42" s="225">
        <f>S38*(1+'Power Price Assumption'!$C$15)^(S4-1998)</f>
        <v>103.78683936958925</v>
      </c>
      <c r="T42" s="225">
        <f>T38*(1+'Power Price Assumption'!$C$15)^(T4-1998)</f>
        <v>104.99024221200571</v>
      </c>
      <c r="U42" s="225">
        <f>U38*(1+'Power Price Assumption'!$C$15)^(U4-1998)</f>
        <v>106.2070261782835</v>
      </c>
      <c r="V42" s="225">
        <f>V38*(1+'Power Price Assumption'!$C$15)^(V4-1998)</f>
        <v>107.43794862655861</v>
      </c>
      <c r="W42" s="225">
        <f>W38*(1+'Power Price Assumption'!$C$15)^(W4-1998)</f>
        <v>108.68383144004159</v>
      </c>
    </row>
    <row r="43" spans="1:26">
      <c r="A43" s="169"/>
      <c r="B43" s="169" t="s">
        <v>265</v>
      </c>
      <c r="C43" s="222"/>
      <c r="D43" s="225">
        <f>D39*(1+'Power Price Assumption'!$C$15)^(D4-1998)</f>
        <v>0</v>
      </c>
      <c r="E43" s="225">
        <f>E39*(1+'Power Price Assumption'!$C$15)^(E4-1998)</f>
        <v>0</v>
      </c>
      <c r="F43" s="225">
        <f>F39*(1+'Power Price Assumption'!$C$15)^(F4-1998)</f>
        <v>0</v>
      </c>
      <c r="G43" s="225">
        <f>G39*(1+'Power Price Assumption'!$C$15)^(G4-1998)</f>
        <v>0</v>
      </c>
      <c r="H43" s="225">
        <f>H39*(1+'Power Price Assumption'!$C$15)^(H4-1998)</f>
        <v>0</v>
      </c>
      <c r="I43" s="225">
        <f>I39*(1+'Power Price Assumption'!$C$15)^(I4-1998)</f>
        <v>0</v>
      </c>
      <c r="J43" s="225">
        <f>J39*(1+'Power Price Assumption'!$C$15)^(J4-1998)</f>
        <v>0</v>
      </c>
      <c r="K43" s="225">
        <f>K39*(1+'Power Price Assumption'!$C$15)^(K4-1998)</f>
        <v>0</v>
      </c>
      <c r="L43" s="225">
        <f>L39*(1+'Power Price Assumption'!$C$15)^(L4-1998)</f>
        <v>0</v>
      </c>
      <c r="M43" s="225">
        <f>M39*(1+'Power Price Assumption'!$C$15)^(M4-1998)</f>
        <v>0</v>
      </c>
      <c r="N43" s="225">
        <f>N39*(1+'Power Price Assumption'!$C$15)^(N4-1998)</f>
        <v>0</v>
      </c>
      <c r="O43" s="225">
        <f>O39*(1+'Power Price Assumption'!$C$15)^(O4-1998)</f>
        <v>0</v>
      </c>
      <c r="P43" s="225">
        <f>P39*(1+'Power Price Assumption'!$C$15)^(P4-1998)</f>
        <v>0</v>
      </c>
      <c r="Q43" s="225">
        <f>Q39*(1+'Power Price Assumption'!$C$15)^(Q4-1998)</f>
        <v>0</v>
      </c>
      <c r="R43" s="225">
        <f>R39*(1+'Power Price Assumption'!$C$15)^(R4-1998)</f>
        <v>0</v>
      </c>
      <c r="S43" s="225">
        <f>S39*(1+'Power Price Assumption'!$C$15)^(S4-1998)</f>
        <v>0</v>
      </c>
      <c r="T43" s="225">
        <f>T39*(1+'Power Price Assumption'!$C$15)^(T4-1998)</f>
        <v>0</v>
      </c>
      <c r="U43" s="225">
        <f>U39*(1+'Power Price Assumption'!$C$15)^(U4-1998)</f>
        <v>0</v>
      </c>
      <c r="V43" s="225">
        <f>V39*(1+'Power Price Assumption'!$C$15)^(V4-1998)</f>
        <v>0</v>
      </c>
      <c r="W43" s="225">
        <f>W39*(1+'Power Price Assumption'!$C$15)^(W4-1998)</f>
        <v>0</v>
      </c>
    </row>
    <row r="44" spans="1:26">
      <c r="A44" s="169"/>
      <c r="B44" s="169"/>
      <c r="C44" s="16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</row>
    <row r="45" spans="1:26">
      <c r="A45" s="169">
        <v>1</v>
      </c>
      <c r="B45" s="169" t="s">
        <v>267</v>
      </c>
      <c r="C45" s="169"/>
      <c r="D45" s="217">
        <f t="shared" ref="D45:W45" si="4">D42/12</f>
        <v>6.0421603230496457</v>
      </c>
      <c r="E45" s="217">
        <f t="shared" si="4"/>
        <v>6.2974612619095742</v>
      </c>
      <c r="F45" s="217">
        <f t="shared" si="4"/>
        <v>6.5634644930048935</v>
      </c>
      <c r="G45" s="217">
        <f t="shared" si="4"/>
        <v>6.8406070484305888</v>
      </c>
      <c r="H45" s="217">
        <f t="shared" si="4"/>
        <v>7.1295613528486035</v>
      </c>
      <c r="I45" s="217">
        <f t="shared" si="4"/>
        <v>7.2742699691313319</v>
      </c>
      <c r="J45" s="217">
        <f t="shared" si="4"/>
        <v>7.4221698682258248</v>
      </c>
      <c r="K45" s="217">
        <f t="shared" si="4"/>
        <v>7.5728734843857337</v>
      </c>
      <c r="L45" s="217">
        <f t="shared" si="4"/>
        <v>7.7266756592459211</v>
      </c>
      <c r="M45" s="217">
        <f t="shared" si="4"/>
        <v>7.8836487619122222</v>
      </c>
      <c r="N45" s="217">
        <f t="shared" si="4"/>
        <v>8.0126219794405973</v>
      </c>
      <c r="O45" s="217">
        <f t="shared" si="4"/>
        <v>8.1435792544725967</v>
      </c>
      <c r="P45" s="217">
        <f t="shared" si="4"/>
        <v>8.2768400183703381</v>
      </c>
      <c r="Q45" s="217">
        <f t="shared" si="4"/>
        <v>8.4121898188643147</v>
      </c>
      <c r="R45" s="217">
        <f t="shared" si="4"/>
        <v>8.5496767418255413</v>
      </c>
      <c r="S45" s="217">
        <f t="shared" si="4"/>
        <v>8.6489032807991038</v>
      </c>
      <c r="T45" s="217">
        <f t="shared" si="4"/>
        <v>8.7491868510004753</v>
      </c>
      <c r="U45" s="217">
        <f t="shared" si="4"/>
        <v>8.8505855148569577</v>
      </c>
      <c r="V45" s="217">
        <f t="shared" si="4"/>
        <v>8.9531623855465501</v>
      </c>
      <c r="W45" s="217">
        <f t="shared" si="4"/>
        <v>9.0569859533367989</v>
      </c>
    </row>
    <row r="46" spans="1:26">
      <c r="A46" s="169">
        <v>2</v>
      </c>
      <c r="B46" s="169" t="s">
        <v>268</v>
      </c>
      <c r="C46" s="169"/>
      <c r="D46" s="217">
        <f t="shared" ref="D46:W46" si="5">D43/12</f>
        <v>0</v>
      </c>
      <c r="E46" s="217">
        <f t="shared" si="5"/>
        <v>0</v>
      </c>
      <c r="F46" s="217">
        <f t="shared" si="5"/>
        <v>0</v>
      </c>
      <c r="G46" s="217">
        <f t="shared" si="5"/>
        <v>0</v>
      </c>
      <c r="H46" s="217">
        <f t="shared" si="5"/>
        <v>0</v>
      </c>
      <c r="I46" s="217">
        <f t="shared" si="5"/>
        <v>0</v>
      </c>
      <c r="J46" s="217">
        <f t="shared" si="5"/>
        <v>0</v>
      </c>
      <c r="K46" s="217">
        <f t="shared" si="5"/>
        <v>0</v>
      </c>
      <c r="L46" s="217">
        <f t="shared" si="5"/>
        <v>0</v>
      </c>
      <c r="M46" s="217">
        <f t="shared" si="5"/>
        <v>0</v>
      </c>
      <c r="N46" s="217">
        <f t="shared" si="5"/>
        <v>0</v>
      </c>
      <c r="O46" s="217">
        <f t="shared" si="5"/>
        <v>0</v>
      </c>
      <c r="P46" s="217">
        <f t="shared" si="5"/>
        <v>0</v>
      </c>
      <c r="Q46" s="217">
        <f t="shared" si="5"/>
        <v>0</v>
      </c>
      <c r="R46" s="217">
        <f t="shared" si="5"/>
        <v>0</v>
      </c>
      <c r="S46" s="217">
        <f t="shared" si="5"/>
        <v>0</v>
      </c>
      <c r="T46" s="217">
        <f t="shared" si="5"/>
        <v>0</v>
      </c>
      <c r="U46" s="217">
        <f t="shared" si="5"/>
        <v>0</v>
      </c>
      <c r="V46" s="217">
        <f t="shared" si="5"/>
        <v>0</v>
      </c>
      <c r="W46" s="217">
        <f t="shared" si="5"/>
        <v>0</v>
      </c>
    </row>
    <row r="47" spans="1:26">
      <c r="A47" s="169">
        <v>3</v>
      </c>
      <c r="B47" s="169" t="s">
        <v>61</v>
      </c>
      <c r="C47" s="169"/>
      <c r="D47" s="271">
        <v>0</v>
      </c>
      <c r="E47" s="271">
        <v>0</v>
      </c>
      <c r="F47" s="271">
        <v>0</v>
      </c>
      <c r="G47" s="271">
        <v>0</v>
      </c>
      <c r="H47" s="271">
        <v>0</v>
      </c>
      <c r="I47" s="271">
        <v>0</v>
      </c>
      <c r="J47" s="271">
        <v>0</v>
      </c>
      <c r="K47" s="271">
        <v>0</v>
      </c>
      <c r="L47" s="271">
        <v>0</v>
      </c>
      <c r="M47" s="271">
        <v>0</v>
      </c>
      <c r="N47" s="271">
        <v>0</v>
      </c>
      <c r="O47" s="271">
        <v>0</v>
      </c>
      <c r="P47" s="271">
        <v>0</v>
      </c>
      <c r="Q47" s="271">
        <v>0</v>
      </c>
      <c r="R47" s="271">
        <v>0</v>
      </c>
      <c r="S47" s="271">
        <v>0</v>
      </c>
      <c r="T47" s="271">
        <v>0</v>
      </c>
      <c r="U47" s="271">
        <v>0</v>
      </c>
      <c r="V47" s="271">
        <v>0</v>
      </c>
      <c r="W47" s="271">
        <v>0</v>
      </c>
    </row>
    <row r="48" spans="1:26">
      <c r="A48" s="169"/>
      <c r="B48" s="169"/>
      <c r="C48" s="169"/>
      <c r="D48" s="218"/>
      <c r="E48" s="218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</row>
    <row r="49" spans="1:26">
      <c r="A49" s="169"/>
      <c r="B49" s="220" t="s">
        <v>180</v>
      </c>
      <c r="C49" s="490">
        <f>$C$32</f>
        <v>1</v>
      </c>
      <c r="D49" s="221">
        <f t="shared" ref="D49:W49" si="6">IF(D11&gt;0,D11,CHOOSE($C$49,D45,D46,D47))</f>
        <v>4</v>
      </c>
      <c r="E49" s="221">
        <f t="shared" si="6"/>
        <v>4</v>
      </c>
      <c r="F49" s="221">
        <f t="shared" si="6"/>
        <v>4</v>
      </c>
      <c r="G49" s="221">
        <f t="shared" si="6"/>
        <v>6.8406070484305888</v>
      </c>
      <c r="H49" s="221">
        <f t="shared" si="6"/>
        <v>7.1295613528486035</v>
      </c>
      <c r="I49" s="221">
        <f t="shared" si="6"/>
        <v>7.2742699691313319</v>
      </c>
      <c r="J49" s="221">
        <f t="shared" si="6"/>
        <v>7.4221698682258248</v>
      </c>
      <c r="K49" s="221">
        <f t="shared" si="6"/>
        <v>7.5728734843857337</v>
      </c>
      <c r="L49" s="221">
        <f t="shared" si="6"/>
        <v>7.7266756592459211</v>
      </c>
      <c r="M49" s="221">
        <f t="shared" si="6"/>
        <v>7.8836487619122222</v>
      </c>
      <c r="N49" s="221">
        <f t="shared" si="6"/>
        <v>8.0126219794405973</v>
      </c>
      <c r="O49" s="221">
        <f t="shared" si="6"/>
        <v>8.1435792544725967</v>
      </c>
      <c r="P49" s="221">
        <f t="shared" si="6"/>
        <v>8.2768400183703381</v>
      </c>
      <c r="Q49" s="221">
        <f t="shared" si="6"/>
        <v>8.4121898188643147</v>
      </c>
      <c r="R49" s="221">
        <f t="shared" si="6"/>
        <v>8.5496767418255413</v>
      </c>
      <c r="S49" s="221">
        <f t="shared" si="6"/>
        <v>8.6489032807991038</v>
      </c>
      <c r="T49" s="221">
        <f t="shared" si="6"/>
        <v>8.7491868510004753</v>
      </c>
      <c r="U49" s="221">
        <f t="shared" si="6"/>
        <v>8.8505855148569577</v>
      </c>
      <c r="V49" s="221">
        <f t="shared" si="6"/>
        <v>8.9531623855465501</v>
      </c>
      <c r="W49" s="221">
        <f t="shared" si="6"/>
        <v>9.0569859533367989</v>
      </c>
    </row>
    <row r="50" spans="1:26">
      <c r="A50" s="169"/>
      <c r="B50" s="220"/>
      <c r="C50" s="222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</row>
    <row r="51" spans="1:26">
      <c r="A51" s="239" t="s">
        <v>262</v>
      </c>
      <c r="B51" s="220"/>
      <c r="C51" s="222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14"/>
      <c r="Y51" s="224"/>
      <c r="Z51" s="224"/>
    </row>
    <row r="52" spans="1:26">
      <c r="A52" s="169" t="s">
        <v>62</v>
      </c>
      <c r="B52" s="220"/>
      <c r="C52" s="222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3"/>
      <c r="T52" s="223"/>
      <c r="U52" s="223"/>
      <c r="V52" s="223"/>
      <c r="W52" s="223"/>
      <c r="X52" s="214"/>
      <c r="Y52" s="224"/>
      <c r="Z52" s="224"/>
    </row>
    <row r="53" spans="1:26">
      <c r="A53" s="169"/>
      <c r="B53" s="220"/>
      <c r="C53" s="222"/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14"/>
      <c r="Y53" s="224"/>
      <c r="Z53" s="224"/>
    </row>
    <row r="54" spans="1:26">
      <c r="A54" s="242" t="s">
        <v>59</v>
      </c>
      <c r="B54" s="169"/>
      <c r="C54" s="222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14"/>
      <c r="Y54" s="224"/>
      <c r="Z54" s="224"/>
    </row>
    <row r="55" spans="1:26">
      <c r="A55" s="169"/>
      <c r="B55" s="169" t="s">
        <v>264</v>
      </c>
      <c r="C55" s="222"/>
      <c r="D55" s="213">
        <v>64.110197368421055</v>
      </c>
      <c r="E55" s="213">
        <v>65.161184210526315</v>
      </c>
      <c r="F55" s="213">
        <v>66.23026315789474</v>
      </c>
      <c r="G55" s="213">
        <v>67.317434210526315</v>
      </c>
      <c r="H55" s="213">
        <v>68.421052631578945</v>
      </c>
      <c r="I55" s="213">
        <v>67.766447368421055</v>
      </c>
      <c r="J55" s="213">
        <v>67.120065789473685</v>
      </c>
      <c r="K55" s="213">
        <v>66.47861842105263</v>
      </c>
      <c r="L55" s="213">
        <v>65.84375</v>
      </c>
      <c r="M55" s="213">
        <v>65.213815789473685</v>
      </c>
      <c r="N55" s="213">
        <v>64.559210526315795</v>
      </c>
      <c r="O55" s="213">
        <v>63.911184210526315</v>
      </c>
      <c r="P55" s="213">
        <v>63.26973684210526</v>
      </c>
      <c r="Q55" s="213">
        <v>62.63486842105263</v>
      </c>
      <c r="R55" s="213">
        <v>62.006578947368418</v>
      </c>
      <c r="S55" s="213">
        <v>61.126644736842103</v>
      </c>
      <c r="T55" s="213">
        <v>60.25986842105263</v>
      </c>
      <c r="U55" s="213">
        <v>59.404605263157897</v>
      </c>
      <c r="V55" s="213">
        <v>58.560855263157897</v>
      </c>
      <c r="W55" s="213">
        <v>57.73026315789474</v>
      </c>
      <c r="Z55" s="224"/>
    </row>
    <row r="56" spans="1:26">
      <c r="A56" s="169"/>
      <c r="B56" s="169" t="s">
        <v>265</v>
      </c>
      <c r="C56" s="169"/>
      <c r="D56" s="213">
        <v>0</v>
      </c>
      <c r="E56" s="213">
        <v>0</v>
      </c>
      <c r="F56" s="213">
        <v>0</v>
      </c>
      <c r="G56" s="213">
        <v>0</v>
      </c>
      <c r="H56" s="213">
        <v>0</v>
      </c>
      <c r="I56" s="213">
        <v>0</v>
      </c>
      <c r="J56" s="213">
        <v>0</v>
      </c>
      <c r="K56" s="213">
        <v>0</v>
      </c>
      <c r="L56" s="213">
        <v>0</v>
      </c>
      <c r="M56" s="213">
        <v>0</v>
      </c>
      <c r="N56" s="213">
        <v>0</v>
      </c>
      <c r="O56" s="213">
        <v>0</v>
      </c>
      <c r="P56" s="213">
        <v>0</v>
      </c>
      <c r="Q56" s="213">
        <v>0</v>
      </c>
      <c r="R56" s="213">
        <v>0</v>
      </c>
      <c r="S56" s="213">
        <v>0</v>
      </c>
      <c r="T56" s="213">
        <v>0</v>
      </c>
      <c r="U56" s="213">
        <v>0</v>
      </c>
      <c r="V56" s="213">
        <v>0</v>
      </c>
      <c r="W56" s="213">
        <v>0</v>
      </c>
      <c r="Z56" s="224"/>
    </row>
    <row r="57" spans="1:26">
      <c r="A57" s="183"/>
      <c r="B57" s="169"/>
      <c r="C57" s="169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Z57" s="224"/>
    </row>
    <row r="58" spans="1:26">
      <c r="A58" s="242" t="s">
        <v>60</v>
      </c>
      <c r="B58" s="169"/>
      <c r="C58" s="169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Z58" s="224"/>
    </row>
    <row r="59" spans="1:26">
      <c r="A59" s="169"/>
      <c r="B59" s="169" t="s">
        <v>266</v>
      </c>
      <c r="C59" s="169"/>
      <c r="D59" s="213">
        <f>D55*(1+'Power Price Assumption'!$C$15)^(D4-1998)</f>
        <v>70.05494363980263</v>
      </c>
      <c r="E59" s="213">
        <f>E55*(1+'Power Price Assumption'!$C$15)^(E4-1998)</f>
        <v>73.339486898980255</v>
      </c>
      <c r="F59" s="213">
        <f>F55*(1+'Power Price Assumption'!$C$15)^(F4-1998)</f>
        <v>76.779027013013803</v>
      </c>
      <c r="G59" s="213">
        <f>G55*(1+'Power Price Assumption'!$C$15)^(G4-1998)</f>
        <v>80.380536915518817</v>
      </c>
      <c r="H59" s="213">
        <f>H55*(1+'Power Price Assumption'!$C$15)^(H4-1998)</f>
        <v>84.149264476438475</v>
      </c>
      <c r="I59" s="213">
        <f>I55*(1+'Power Price Assumption'!$C$15)^(I4-1998)</f>
        <v>85.844508048244336</v>
      </c>
      <c r="J59" s="213">
        <f>J55*(1+'Power Price Assumption'!$C$15)^(J4-1998)</f>
        <v>87.576461938959923</v>
      </c>
      <c r="K59" s="213">
        <f>K55*(1+'Power Price Assumption'!$C$15)^(K4-1998)</f>
        <v>89.341704172220489</v>
      </c>
      <c r="L59" s="213">
        <f>L55*(1+'Power Price Assumption'!$C$15)^(L4-1998)</f>
        <v>91.143148925512705</v>
      </c>
      <c r="M59" s="213">
        <f>M55*(1+'Power Price Assumption'!$C$15)^(M4-1998)</f>
        <v>92.979307834623327</v>
      </c>
      <c r="N59" s="213">
        <f>N55*(1+'Power Price Assumption'!$C$15)^(N4-1998)</f>
        <v>94.807377171711835</v>
      </c>
      <c r="O59" s="213">
        <f>O55*(1+'Power Price Assumption'!$C$15)^(O4-1998)</f>
        <v>96.671400540164313</v>
      </c>
      <c r="P59" s="213">
        <f>P55*(1+'Power Price Assumption'!$C$15)^(P4-1998)</f>
        <v>98.572188456904939</v>
      </c>
      <c r="Q59" s="213">
        <f>Q55*(1+'Power Price Assumption'!$C$15)^(Q4-1998)</f>
        <v>100.51057666736844</v>
      </c>
      <c r="R59" s="213">
        <f>R55*(1+'Power Price Assumption'!$C$15)^(R4-1998)</f>
        <v>102.48742719842927</v>
      </c>
      <c r="S59" s="213">
        <f>S55*(1+'Power Price Assumption'!$C$15)^(S4-1998)</f>
        <v>104.06402092266612</v>
      </c>
      <c r="T59" s="213">
        <f>T55*(1+'Power Price Assumption'!$C$15)^(T4-1998)</f>
        <v>105.6660440339454</v>
      </c>
      <c r="U59" s="213">
        <f>U55*(1+'Power Price Assumption'!$C$15)^(U4-1998)</f>
        <v>107.29132495689123</v>
      </c>
      <c r="V59" s="213">
        <f>V55*(1+'Power Price Assumption'!$C$15)^(V4-1998)</f>
        <v>108.94044116071807</v>
      </c>
      <c r="W59" s="213">
        <f>W55*(1+'Power Price Assumption'!$C$15)^(W4-1998)</f>
        <v>110.61715403127204</v>
      </c>
    </row>
    <row r="60" spans="1:26">
      <c r="A60" s="169"/>
      <c r="B60" s="169" t="s">
        <v>265</v>
      </c>
      <c r="C60" s="169"/>
      <c r="D60" s="213">
        <f>D56*(1+'Power Price Assumption'!$C$15)^(D4-1998)</f>
        <v>0</v>
      </c>
      <c r="E60" s="213">
        <f>E56*(1+'Power Price Assumption'!$C$15)^(E4-1998)</f>
        <v>0</v>
      </c>
      <c r="F60" s="213">
        <f>F56*(1+'Power Price Assumption'!$C$15)^(F4-1998)</f>
        <v>0</v>
      </c>
      <c r="G60" s="213">
        <f>G56*(1+'Power Price Assumption'!$C$15)^(G4-1998)</f>
        <v>0</v>
      </c>
      <c r="H60" s="213">
        <f>H56*(1+'Power Price Assumption'!$C$15)^(H4-1998)</f>
        <v>0</v>
      </c>
      <c r="I60" s="213">
        <f>I56*(1+'Power Price Assumption'!$C$15)^(I4-1998)</f>
        <v>0</v>
      </c>
      <c r="J60" s="213">
        <f>J56*(1+'Power Price Assumption'!$C$15)^(J4-1998)</f>
        <v>0</v>
      </c>
      <c r="K60" s="213">
        <f>K56*(1+'Power Price Assumption'!$C$15)^(K4-1998)</f>
        <v>0</v>
      </c>
      <c r="L60" s="213">
        <f>L56*(1+'Power Price Assumption'!$C$15)^(L4-1998)</f>
        <v>0</v>
      </c>
      <c r="M60" s="213">
        <f>M56*(1+'Power Price Assumption'!$C$15)^(M4-1998)</f>
        <v>0</v>
      </c>
      <c r="N60" s="213">
        <f>N56*(1+'Power Price Assumption'!$C$15)^(N4-1998)</f>
        <v>0</v>
      </c>
      <c r="O60" s="213">
        <f>O56*(1+'Power Price Assumption'!$C$15)^(O4-1998)</f>
        <v>0</v>
      </c>
      <c r="P60" s="213">
        <f>P56*(1+'Power Price Assumption'!$C$15)^(P4-1998)</f>
        <v>0</v>
      </c>
      <c r="Q60" s="213">
        <f>Q56*(1+'Power Price Assumption'!$C$15)^(Q4-1998)</f>
        <v>0</v>
      </c>
      <c r="R60" s="213">
        <f>R56*(1+'Power Price Assumption'!$C$15)^(R4-1998)</f>
        <v>0</v>
      </c>
      <c r="S60" s="213">
        <f>S56*(1+'Power Price Assumption'!$C$15)^(S4-1998)</f>
        <v>0</v>
      </c>
      <c r="T60" s="213">
        <f>T56*(1+'Power Price Assumption'!$C$15)^(T4-1998)</f>
        <v>0</v>
      </c>
      <c r="U60" s="213">
        <f>U56*(1+'Power Price Assumption'!$C$15)^(U4-1998)</f>
        <v>0</v>
      </c>
      <c r="V60" s="213">
        <f>V56*(1+'Power Price Assumption'!$C$15)^(V4-1998)</f>
        <v>0</v>
      </c>
      <c r="W60" s="213">
        <f>W56*(1+'Power Price Assumption'!$C$15)^(W4-1998)</f>
        <v>0</v>
      </c>
    </row>
    <row r="61" spans="1:26">
      <c r="A61" s="169"/>
      <c r="B61" s="169"/>
      <c r="C61" s="16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</row>
    <row r="62" spans="1:26">
      <c r="A62" s="169">
        <v>1</v>
      </c>
      <c r="B62" s="169" t="s">
        <v>267</v>
      </c>
      <c r="C62" s="169"/>
      <c r="D62" s="217">
        <f t="shared" ref="D62:W62" si="7">D59/12</f>
        <v>5.8379119699835522</v>
      </c>
      <c r="E62" s="217">
        <f t="shared" si="7"/>
        <v>6.1116239082483546</v>
      </c>
      <c r="F62" s="217">
        <f t="shared" si="7"/>
        <v>6.3982522510844833</v>
      </c>
      <c r="G62" s="217">
        <f t="shared" si="7"/>
        <v>6.6983780762932348</v>
      </c>
      <c r="H62" s="217">
        <f t="shared" si="7"/>
        <v>7.0124387063698732</v>
      </c>
      <c r="I62" s="217">
        <f t="shared" si="7"/>
        <v>7.153709004020361</v>
      </c>
      <c r="J62" s="217">
        <f t="shared" si="7"/>
        <v>7.2980384949133272</v>
      </c>
      <c r="K62" s="217">
        <f t="shared" si="7"/>
        <v>7.4451420143517071</v>
      </c>
      <c r="L62" s="217">
        <f t="shared" si="7"/>
        <v>7.5952624104593918</v>
      </c>
      <c r="M62" s="217">
        <f t="shared" si="7"/>
        <v>7.748275652885277</v>
      </c>
      <c r="N62" s="217">
        <f t="shared" si="7"/>
        <v>7.9006147643093199</v>
      </c>
      <c r="O62" s="217">
        <f t="shared" si="7"/>
        <v>8.0559500450136934</v>
      </c>
      <c r="P62" s="217">
        <f t="shared" si="7"/>
        <v>8.2143490380754116</v>
      </c>
      <c r="Q62" s="217">
        <f t="shared" si="7"/>
        <v>8.37588138894737</v>
      </c>
      <c r="R62" s="217">
        <f t="shared" si="7"/>
        <v>8.54061893320244</v>
      </c>
      <c r="S62" s="217">
        <f t="shared" si="7"/>
        <v>8.6720017435555103</v>
      </c>
      <c r="T62" s="217">
        <f t="shared" si="7"/>
        <v>8.8055036694954492</v>
      </c>
      <c r="U62" s="217">
        <f t="shared" si="7"/>
        <v>8.9409437464076031</v>
      </c>
      <c r="V62" s="217">
        <f t="shared" si="7"/>
        <v>9.0783700967265055</v>
      </c>
      <c r="W62" s="217">
        <f t="shared" si="7"/>
        <v>9.2180961692726697</v>
      </c>
    </row>
    <row r="63" spans="1:26">
      <c r="A63" s="169">
        <v>2</v>
      </c>
      <c r="B63" s="169" t="s">
        <v>268</v>
      </c>
      <c r="C63" s="169"/>
      <c r="D63" s="217">
        <f t="shared" ref="D63:W63" si="8">D60/12</f>
        <v>0</v>
      </c>
      <c r="E63" s="217">
        <f t="shared" si="8"/>
        <v>0</v>
      </c>
      <c r="F63" s="217">
        <f t="shared" si="8"/>
        <v>0</v>
      </c>
      <c r="G63" s="217">
        <f t="shared" si="8"/>
        <v>0</v>
      </c>
      <c r="H63" s="217">
        <f t="shared" si="8"/>
        <v>0</v>
      </c>
      <c r="I63" s="217">
        <f t="shared" si="8"/>
        <v>0</v>
      </c>
      <c r="J63" s="217">
        <f t="shared" si="8"/>
        <v>0</v>
      </c>
      <c r="K63" s="217">
        <f t="shared" si="8"/>
        <v>0</v>
      </c>
      <c r="L63" s="217">
        <f t="shared" si="8"/>
        <v>0</v>
      </c>
      <c r="M63" s="217">
        <f t="shared" si="8"/>
        <v>0</v>
      </c>
      <c r="N63" s="217">
        <f t="shared" si="8"/>
        <v>0</v>
      </c>
      <c r="O63" s="217">
        <f t="shared" si="8"/>
        <v>0</v>
      </c>
      <c r="P63" s="217">
        <f t="shared" si="8"/>
        <v>0</v>
      </c>
      <c r="Q63" s="217">
        <f t="shared" si="8"/>
        <v>0</v>
      </c>
      <c r="R63" s="217">
        <f t="shared" si="8"/>
        <v>0</v>
      </c>
      <c r="S63" s="217">
        <f t="shared" si="8"/>
        <v>0</v>
      </c>
      <c r="T63" s="217">
        <f t="shared" si="8"/>
        <v>0</v>
      </c>
      <c r="U63" s="217">
        <f t="shared" si="8"/>
        <v>0</v>
      </c>
      <c r="V63" s="217">
        <f t="shared" si="8"/>
        <v>0</v>
      </c>
      <c r="W63" s="217">
        <f t="shared" si="8"/>
        <v>0</v>
      </c>
    </row>
    <row r="64" spans="1:26">
      <c r="A64" s="169">
        <v>3</v>
      </c>
      <c r="B64" s="169" t="s">
        <v>61</v>
      </c>
      <c r="C64" s="169"/>
      <c r="D64" s="271">
        <v>0</v>
      </c>
      <c r="E64" s="271">
        <v>0</v>
      </c>
      <c r="F64" s="271">
        <v>0</v>
      </c>
      <c r="G64" s="271">
        <v>0</v>
      </c>
      <c r="H64" s="271">
        <v>0</v>
      </c>
      <c r="I64" s="271">
        <v>0</v>
      </c>
      <c r="J64" s="271">
        <v>0</v>
      </c>
      <c r="K64" s="271">
        <v>0</v>
      </c>
      <c r="L64" s="271">
        <v>0</v>
      </c>
      <c r="M64" s="271">
        <v>0</v>
      </c>
      <c r="N64" s="271">
        <v>0</v>
      </c>
      <c r="O64" s="271">
        <v>0</v>
      </c>
      <c r="P64" s="271">
        <v>0</v>
      </c>
      <c r="Q64" s="271">
        <v>0</v>
      </c>
      <c r="R64" s="271">
        <v>0</v>
      </c>
      <c r="S64" s="271">
        <v>0</v>
      </c>
      <c r="T64" s="271">
        <v>0</v>
      </c>
      <c r="U64" s="271">
        <v>0</v>
      </c>
      <c r="V64" s="271">
        <v>0</v>
      </c>
      <c r="W64" s="271">
        <v>0</v>
      </c>
    </row>
    <row r="65" spans="1:23">
      <c r="A65" s="169"/>
      <c r="B65" s="169"/>
      <c r="C65" s="169"/>
      <c r="D65" s="218"/>
      <c r="E65" s="218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</row>
    <row r="66" spans="1:23">
      <c r="A66" s="169"/>
      <c r="B66" s="220" t="s">
        <v>180</v>
      </c>
      <c r="C66" s="490">
        <f>C32</f>
        <v>1</v>
      </c>
      <c r="D66" s="221">
        <f t="shared" ref="D66:W66" si="9">IF(D11&gt;0,D11,CHOOSE($C$66,D62,D63,D64))</f>
        <v>4</v>
      </c>
      <c r="E66" s="221">
        <f t="shared" si="9"/>
        <v>4</v>
      </c>
      <c r="F66" s="221">
        <f t="shared" si="9"/>
        <v>4</v>
      </c>
      <c r="G66" s="221">
        <f t="shared" si="9"/>
        <v>6.6983780762932348</v>
      </c>
      <c r="H66" s="221">
        <f t="shared" si="9"/>
        <v>7.0124387063698732</v>
      </c>
      <c r="I66" s="221">
        <f t="shared" si="9"/>
        <v>7.153709004020361</v>
      </c>
      <c r="J66" s="221">
        <f t="shared" si="9"/>
        <v>7.2980384949133272</v>
      </c>
      <c r="K66" s="221">
        <f t="shared" si="9"/>
        <v>7.4451420143517071</v>
      </c>
      <c r="L66" s="221">
        <f t="shared" si="9"/>
        <v>7.5952624104593918</v>
      </c>
      <c r="M66" s="221">
        <f t="shared" si="9"/>
        <v>7.748275652885277</v>
      </c>
      <c r="N66" s="221">
        <f t="shared" si="9"/>
        <v>7.9006147643093199</v>
      </c>
      <c r="O66" s="221">
        <f t="shared" si="9"/>
        <v>8.0559500450136934</v>
      </c>
      <c r="P66" s="221">
        <f t="shared" si="9"/>
        <v>8.2143490380754116</v>
      </c>
      <c r="Q66" s="221">
        <f t="shared" si="9"/>
        <v>8.37588138894737</v>
      </c>
      <c r="R66" s="221">
        <f t="shared" si="9"/>
        <v>8.54061893320244</v>
      </c>
      <c r="S66" s="221">
        <f t="shared" si="9"/>
        <v>8.6720017435555103</v>
      </c>
      <c r="T66" s="221">
        <f t="shared" si="9"/>
        <v>8.8055036694954492</v>
      </c>
      <c r="U66" s="221">
        <f t="shared" si="9"/>
        <v>8.9409437464076031</v>
      </c>
      <c r="V66" s="221">
        <f t="shared" si="9"/>
        <v>9.0783700967265055</v>
      </c>
      <c r="W66" s="221">
        <f t="shared" si="9"/>
        <v>9.2180961692726697</v>
      </c>
    </row>
    <row r="67" spans="1:23">
      <c r="A67" s="169"/>
      <c r="B67" s="220"/>
      <c r="C67" s="222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</row>
    <row r="68" spans="1:23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</row>
    <row r="69" spans="1:23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</row>
    <row r="70" spans="1:23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</row>
    <row r="71" spans="1:23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</row>
    <row r="72" spans="1:23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</row>
    <row r="73" spans="1:23">
      <c r="A73" s="169"/>
      <c r="B73" s="169"/>
      <c r="C73" s="222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</row>
    <row r="74" spans="1:23">
      <c r="A74" s="169"/>
      <c r="B74" s="169"/>
      <c r="C74" s="222"/>
      <c r="D74" s="226"/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</row>
    <row r="75" spans="1:23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</row>
    <row r="76" spans="1:23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</row>
    <row r="77" spans="1:23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</row>
    <row r="78" spans="1:23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</row>
    <row r="79" spans="1:23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</row>
    <row r="80" spans="1:23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</row>
    <row r="81" spans="1:23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</row>
    <row r="82" spans="1:23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</row>
    <row r="83" spans="1:23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</row>
    <row r="84" spans="1:23">
      <c r="A84" s="169"/>
      <c r="B84" s="169"/>
      <c r="C84" s="169"/>
    </row>
    <row r="85" spans="1:23">
      <c r="A85" s="169"/>
      <c r="B85" s="169"/>
      <c r="C85" s="169"/>
    </row>
  </sheetData>
  <pageMargins left="0.18" right="0.17" top="0.37" bottom="0.4" header="0.17" footer="0.21"/>
  <pageSetup scale="54" orientation="landscape" r:id="rId1"/>
  <headerFooter alignWithMargins="0">
    <oddHeader>&amp;L&amp;12Enron's Generation</oddHeader>
    <oddFooter>&amp;L&amp;T, 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AS50"/>
  <sheetViews>
    <sheetView zoomScale="75" zoomScaleNormal="75" workbookViewId="0"/>
  </sheetViews>
  <sheetFormatPr defaultRowHeight="12.75"/>
  <cols>
    <col min="1" max="1" width="33.7109375" style="16" customWidth="1"/>
    <col min="2" max="21" width="12.5703125" style="16" customWidth="1"/>
    <col min="22" max="22" width="12.5703125" style="7" customWidth="1"/>
    <col min="23" max="23" width="11.140625" style="7" bestFit="1" customWidth="1"/>
    <col min="24" max="24" width="11.5703125" style="16" bestFit="1" customWidth="1"/>
    <col min="25" max="16384" width="9.140625" style="16"/>
  </cols>
  <sheetData>
    <row r="2" spans="1:45" ht="18.75">
      <c r="A2" s="52" t="s">
        <v>168</v>
      </c>
      <c r="B2" s="26"/>
    </row>
    <row r="3" spans="1:45" ht="16.5" customHeight="1">
      <c r="A3" s="493"/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</row>
    <row r="4" spans="1:45">
      <c r="A4" s="493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</row>
    <row r="5" spans="1:45" s="7" customFormat="1" ht="13.5" thickBot="1">
      <c r="A5" s="197" t="s">
        <v>65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V5" s="9"/>
      <c r="W5" s="9"/>
      <c r="Y5" s="503">
        <f>SUM(Z5:AS5)-SUM(Z6:AS6)</f>
        <v>0</v>
      </c>
      <c r="Z5" s="504">
        <f>B11+B12</f>
        <v>3706.5662400000001</v>
      </c>
      <c r="AA5" s="504">
        <f>C11+C12</f>
        <v>3817.7632272000005</v>
      </c>
      <c r="AB5" s="504">
        <f>D11+D12</f>
        <v>3932.2961240160002</v>
      </c>
      <c r="AC5" s="504">
        <f t="shared" ref="AC5:AS5" si="1">E17</f>
        <v>1996.2114294864798</v>
      </c>
      <c r="AD5" s="504">
        <f t="shared" si="1"/>
        <v>2056.0977723710744</v>
      </c>
      <c r="AE5" s="504">
        <f t="shared" si="1"/>
        <v>2117.7807055422068</v>
      </c>
      <c r="AF5" s="504">
        <f t="shared" si="1"/>
        <v>2181.3141267084729</v>
      </c>
      <c r="AG5" s="504">
        <f t="shared" si="1"/>
        <v>2246.7535505097267</v>
      </c>
      <c r="AH5" s="504">
        <f t="shared" si="1"/>
        <v>2314.1561570250187</v>
      </c>
      <c r="AI5" s="504">
        <f t="shared" si="1"/>
        <v>2383.5808417357689</v>
      </c>
      <c r="AJ5" s="504">
        <f t="shared" si="1"/>
        <v>2455.088266987842</v>
      </c>
      <c r="AK5" s="504">
        <f t="shared" si="1"/>
        <v>2528.7409149974774</v>
      </c>
      <c r="AL5" s="504">
        <f t="shared" si="1"/>
        <v>2604.6031424474013</v>
      </c>
      <c r="AM5" s="504">
        <f t="shared" si="1"/>
        <v>2682.7412367208235</v>
      </c>
      <c r="AN5" s="504">
        <f t="shared" si="1"/>
        <v>2763.2234738224488</v>
      </c>
      <c r="AO5" s="504">
        <f t="shared" si="1"/>
        <v>2846.1201780371221</v>
      </c>
      <c r="AP5" s="504">
        <f t="shared" si="1"/>
        <v>2931.5037833782353</v>
      </c>
      <c r="AQ5" s="504">
        <f t="shared" si="1"/>
        <v>3019.4488968795827</v>
      </c>
      <c r="AR5" s="504">
        <f t="shared" si="1"/>
        <v>3110.0323637859701</v>
      </c>
      <c r="AS5" s="504">
        <f t="shared" si="1"/>
        <v>3203.3333346995487</v>
      </c>
    </row>
    <row r="6" spans="1:4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Y6" s="503">
        <v>0</v>
      </c>
      <c r="Z6" s="505">
        <f>B25+B26</f>
        <v>3706.5662400000001</v>
      </c>
      <c r="AA6" s="505">
        <f>C25+C26</f>
        <v>3817.7632272000005</v>
      </c>
      <c r="AB6" s="505">
        <f>D25+D26</f>
        <v>3932.2961240160002</v>
      </c>
      <c r="AC6" s="505">
        <f t="shared" ref="AC6:AS6" si="2">E25+1/3*E26</f>
        <v>1996.21142948648</v>
      </c>
      <c r="AD6" s="505">
        <f t="shared" si="2"/>
        <v>2056.0977723710744</v>
      </c>
      <c r="AE6" s="505">
        <f t="shared" si="2"/>
        <v>2117.7807055422072</v>
      </c>
      <c r="AF6" s="505">
        <f t="shared" si="2"/>
        <v>2181.3141267084729</v>
      </c>
      <c r="AG6" s="505">
        <f t="shared" si="2"/>
        <v>2246.7535505097276</v>
      </c>
      <c r="AH6" s="505">
        <f t="shared" si="2"/>
        <v>2314.1561570250192</v>
      </c>
      <c r="AI6" s="505">
        <f t="shared" si="2"/>
        <v>2383.5808417357698</v>
      </c>
      <c r="AJ6" s="505">
        <f t="shared" si="2"/>
        <v>2455.0882669878429</v>
      </c>
      <c r="AK6" s="505">
        <f t="shared" si="2"/>
        <v>2528.7409149974778</v>
      </c>
      <c r="AL6" s="505">
        <f t="shared" si="2"/>
        <v>2604.6031424474022</v>
      </c>
      <c r="AM6" s="505">
        <f t="shared" si="2"/>
        <v>2682.7412367208244</v>
      </c>
      <c r="AN6" s="505">
        <f t="shared" si="2"/>
        <v>2763.2234738224493</v>
      </c>
      <c r="AO6" s="505">
        <f t="shared" si="2"/>
        <v>2846.1201780371225</v>
      </c>
      <c r="AP6" s="505">
        <f t="shared" si="2"/>
        <v>2931.5037833782362</v>
      </c>
      <c r="AQ6" s="505">
        <f t="shared" si="2"/>
        <v>3019.4488968795836</v>
      </c>
      <c r="AR6" s="505">
        <f t="shared" si="2"/>
        <v>3110.032363785971</v>
      </c>
      <c r="AS6" s="505">
        <f t="shared" si="2"/>
        <v>3203.3333346995505</v>
      </c>
    </row>
    <row r="7" spans="1:45">
      <c r="A7" s="2"/>
      <c r="B7" s="442"/>
      <c r="C7" s="442"/>
      <c r="D7" s="442"/>
      <c r="E7" s="442"/>
      <c r="F7" s="442"/>
      <c r="G7" s="442"/>
      <c r="H7" s="442"/>
      <c r="I7" s="442"/>
      <c r="J7" s="442"/>
      <c r="K7" s="442"/>
      <c r="L7" s="442"/>
      <c r="M7" s="442"/>
      <c r="N7" s="442"/>
      <c r="O7" s="442"/>
      <c r="P7" s="442"/>
      <c r="Q7" s="442"/>
      <c r="R7" s="442"/>
      <c r="S7" s="442"/>
      <c r="T7" s="442"/>
      <c r="U7" s="442"/>
    </row>
    <row r="8" spans="1:45">
      <c r="A8" s="1" t="s">
        <v>66</v>
      </c>
      <c r="B8" s="443"/>
      <c r="C8" s="443"/>
      <c r="D8" s="443"/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  <c r="R8" s="443"/>
      <c r="S8" s="443"/>
      <c r="T8" s="443"/>
      <c r="U8" s="443"/>
      <c r="V8" s="91"/>
      <c r="W8" s="91"/>
    </row>
    <row r="9" spans="1:45">
      <c r="A9" s="364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91"/>
      <c r="W9" s="91"/>
    </row>
    <row r="10" spans="1:45">
      <c r="A10" s="3" t="s">
        <v>67</v>
      </c>
      <c r="B10" s="122">
        <f>SUM(Caledonia!B9,'New Albany'!B9,Wheatland!B9,Wilton!B9,Brownsville!B9,Gleason!B9)</f>
        <v>138384</v>
      </c>
      <c r="C10" s="122">
        <f>SUM(Caledonia!C9,'New Albany'!C9,Wheatland!C9,Wilton!C9,Brownsville!C9,Gleason!C9)</f>
        <v>138384</v>
      </c>
      <c r="D10" s="122">
        <f>SUM(Caledonia!D9,'New Albany'!D9,Wheatland!D9,Wilton!D9,Brownsville!D9,Gleason!D9)</f>
        <v>138384</v>
      </c>
      <c r="E10" s="122">
        <f>SUM(Caledonia!E9,'New Albany'!E9,Wheatland!E9,Wilton!E9,Brownsville!E9,Gleason!E9)</f>
        <v>0</v>
      </c>
      <c r="F10" s="122">
        <f>SUM(Caledonia!F9,'New Albany'!F9,Wheatland!F9,Wilton!F9,Brownsville!F9,Gleason!F9)</f>
        <v>0</v>
      </c>
      <c r="G10" s="122">
        <f>SUM(Caledonia!G9,'New Albany'!G9,Wheatland!G9,Wilton!G9,Brownsville!G9,Gleason!G9)</f>
        <v>0</v>
      </c>
      <c r="H10" s="122">
        <f>SUM(Caledonia!H9,'New Albany'!H9,Wheatland!H9,Wilton!H9,Brownsville!H9,Gleason!H9)</f>
        <v>0</v>
      </c>
      <c r="I10" s="122">
        <f>SUM(Caledonia!I9,'New Albany'!I9,Wheatland!I9,Wilton!I9,Brownsville!I9,Gleason!I9)</f>
        <v>0</v>
      </c>
      <c r="J10" s="122">
        <f>SUM(Caledonia!J9,'New Albany'!J9,Wheatland!J9,Wilton!J9,Brownsville!J9,Gleason!J9)</f>
        <v>0</v>
      </c>
      <c r="K10" s="122">
        <f>SUM(Caledonia!K9,'New Albany'!K9,Wheatland!K9,Wilton!K9,Brownsville!K9,Gleason!K9)</f>
        <v>0</v>
      </c>
      <c r="L10" s="122">
        <f>SUM(Caledonia!L9,'New Albany'!L9,Wheatland!L9,Wilton!L9,Brownsville!L9,Gleason!L9)</f>
        <v>0</v>
      </c>
      <c r="M10" s="122">
        <f>SUM(Caledonia!M9,'New Albany'!M9,Wheatland!M9,Wilton!M9,Brownsville!M9,Gleason!M9)</f>
        <v>0</v>
      </c>
      <c r="N10" s="122">
        <f>SUM(Caledonia!N9,'New Albany'!N9,Wheatland!N9,Wilton!N9,Brownsville!N9,Gleason!N9)</f>
        <v>0</v>
      </c>
      <c r="O10" s="122">
        <f>SUM(Caledonia!O9,'New Albany'!O9,Wheatland!O9,Wilton!O9,Brownsville!O9,Gleason!O9)</f>
        <v>0</v>
      </c>
      <c r="P10" s="122">
        <f>SUM(Caledonia!P9,'New Albany'!P9,Wheatland!P9,Wilton!P9,Brownsville!P9,Gleason!P9)</f>
        <v>0</v>
      </c>
      <c r="Q10" s="122">
        <f>SUM(Caledonia!Q9,'New Albany'!Q9,Wheatland!Q9,Wilton!Q9,Brownsville!Q9,Gleason!Q9)</f>
        <v>0</v>
      </c>
      <c r="R10" s="122">
        <f>SUM(Caledonia!R9,'New Albany'!R9,Wheatland!R9,Wilton!R9,Brownsville!R9,Gleason!R9)</f>
        <v>0</v>
      </c>
      <c r="S10" s="122">
        <f>SUM(Caledonia!S9,'New Albany'!S9,Wheatland!S9,Wilton!S9,Brownsville!S9,Gleason!S9)</f>
        <v>0</v>
      </c>
      <c r="T10" s="122">
        <f>SUM(Caledonia!T9,'New Albany'!T9,Wheatland!T9,Wilton!T9,Brownsville!T9,Gleason!T9)</f>
        <v>0</v>
      </c>
      <c r="U10" s="122">
        <f>SUM(Caledonia!U9,'New Albany'!U9,Wheatland!U9,Wilton!U9,Brownsville!U9,Gleason!U9)</f>
        <v>0</v>
      </c>
      <c r="W10" s="476">
        <f>SUM(B10:U10)</f>
        <v>415152</v>
      </c>
      <c r="X10" s="426">
        <f>SUM(Caledonia!W9,'New Albany'!W9,Wheatland!W9,Wilton!W9,Brownsville!W9,Gleason!W9)</f>
        <v>415152</v>
      </c>
      <c r="Y10" s="426">
        <f>W10-X10</f>
        <v>0</v>
      </c>
    </row>
    <row r="11" spans="1:45">
      <c r="A11" s="3" t="s">
        <v>242</v>
      </c>
      <c r="B11" s="122">
        <f>SUM(Caledonia!B10,'New Albany'!B10,Wheatland!B10,Wilton!B10,Brownsville!B10,Gleason!B10)</f>
        <v>886.94124000000022</v>
      </c>
      <c r="C11" s="122">
        <f>SUM(Caledonia!C10,'New Albany'!C10,Wheatland!C10,Wilton!C10,Brownsville!C10,Gleason!C10)</f>
        <v>913.54947720000007</v>
      </c>
      <c r="D11" s="122">
        <f>SUM(Caledonia!D10,'New Albany'!D10,Wheatland!D10,Wilton!D10,Brownsville!D10,Gleason!D10)</f>
        <v>940.95596151600012</v>
      </c>
      <c r="E11" s="122">
        <f>SUM(Caledonia!E10,'New Albany'!E10,Wheatland!E10,Wilton!E10,Brownsville!E10,Gleason!E10)</f>
        <v>0</v>
      </c>
      <c r="F11" s="122">
        <f>SUM(Caledonia!F10,'New Albany'!F10,Wheatland!F10,Wilton!F10,Brownsville!F10,Gleason!F10)</f>
        <v>0</v>
      </c>
      <c r="G11" s="122">
        <f>SUM(Caledonia!G10,'New Albany'!G10,Wheatland!G10,Wilton!G10,Brownsville!G10,Gleason!G10)</f>
        <v>0</v>
      </c>
      <c r="H11" s="122">
        <f>SUM(Caledonia!H10,'New Albany'!H10,Wheatland!H10,Wilton!H10,Brownsville!H10,Gleason!H10)</f>
        <v>0</v>
      </c>
      <c r="I11" s="122">
        <f>SUM(Caledonia!I10,'New Albany'!I10,Wheatland!I10,Wilton!I10,Brownsville!I10,Gleason!I10)</f>
        <v>0</v>
      </c>
      <c r="J11" s="122">
        <f>SUM(Caledonia!J10,'New Albany'!J10,Wheatland!J10,Wilton!J10,Brownsville!J10,Gleason!J10)</f>
        <v>0</v>
      </c>
      <c r="K11" s="122">
        <f>SUM(Caledonia!K10,'New Albany'!K10,Wheatland!K10,Wilton!K10,Brownsville!K10,Gleason!K10)</f>
        <v>0</v>
      </c>
      <c r="L11" s="122">
        <f>SUM(Caledonia!L10,'New Albany'!L10,Wheatland!L10,Wilton!L10,Brownsville!L10,Gleason!L10)</f>
        <v>0</v>
      </c>
      <c r="M11" s="122">
        <f>SUM(Caledonia!M10,'New Albany'!M10,Wheatland!M10,Wilton!M10,Brownsville!M10,Gleason!M10)</f>
        <v>0</v>
      </c>
      <c r="N11" s="122">
        <f>SUM(Caledonia!N10,'New Albany'!N10,Wheatland!N10,Wilton!N10,Brownsville!N10,Gleason!N10)</f>
        <v>0</v>
      </c>
      <c r="O11" s="122">
        <f>SUM(Caledonia!O10,'New Albany'!O10,Wheatland!O10,Wilton!O10,Brownsville!O10,Gleason!O10)</f>
        <v>0</v>
      </c>
      <c r="P11" s="122">
        <f>SUM(Caledonia!P10,'New Albany'!P10,Wheatland!P10,Wilton!P10,Brownsville!P10,Gleason!P10)</f>
        <v>0</v>
      </c>
      <c r="Q11" s="122">
        <f>SUM(Caledonia!Q10,'New Albany'!Q10,Wheatland!Q10,Wilton!Q10,Brownsville!Q10,Gleason!Q10)</f>
        <v>0</v>
      </c>
      <c r="R11" s="122">
        <f>SUM(Caledonia!R10,'New Albany'!R10,Wheatland!R10,Wilton!R10,Brownsville!R10,Gleason!R10)</f>
        <v>0</v>
      </c>
      <c r="S11" s="122">
        <f>SUM(Caledonia!S10,'New Albany'!S10,Wheatland!S10,Wilton!S10,Brownsville!S10,Gleason!S10)</f>
        <v>0</v>
      </c>
      <c r="T11" s="122">
        <f>SUM(Caledonia!T10,'New Albany'!T10,Wheatland!T10,Wilton!T10,Brownsville!T10,Gleason!T10)</f>
        <v>0</v>
      </c>
      <c r="U11" s="122">
        <f>SUM(Caledonia!U10,'New Albany'!U10,Wheatland!U10,Wilton!U10,Brownsville!U10,Gleason!U10)</f>
        <v>0</v>
      </c>
      <c r="W11" s="476">
        <f>SUM(B11:U11)</f>
        <v>2741.4466787160004</v>
      </c>
      <c r="X11" s="426">
        <f>SUM(Caledonia!W10,'New Albany'!W10,Wheatland!W10,Wilton!W10,Brownsville!W10,Gleason!W10)</f>
        <v>2741.4466787160004</v>
      </c>
      <c r="Y11" s="426">
        <f>W11-X11</f>
        <v>0</v>
      </c>
    </row>
    <row r="12" spans="1:45">
      <c r="A12" s="3" t="s">
        <v>171</v>
      </c>
      <c r="B12" s="122">
        <f>SUM(Caledonia!B11,'New Albany'!B11,Wheatland!B11,Wilton!B11,Brownsville!B11,Gleason!B11)</f>
        <v>2819.625</v>
      </c>
      <c r="C12" s="122">
        <f>SUM(Caledonia!C11,'New Albany'!C11,Wheatland!C11,Wilton!C11,Brownsville!C11,Gleason!C11)</f>
        <v>2904.2137500000003</v>
      </c>
      <c r="D12" s="122">
        <f>SUM(Caledonia!D11,'New Albany'!D11,Wheatland!D11,Wilton!D11,Brownsville!D11,Gleason!D11)</f>
        <v>2991.3401625000001</v>
      </c>
      <c r="E12" s="122">
        <f>SUM(Caledonia!E11,'New Albany'!E11,Wheatland!E11,Wilton!E11,Brownsville!E11,Gleason!E11)</f>
        <v>0</v>
      </c>
      <c r="F12" s="122">
        <f>SUM(Caledonia!F11,'New Albany'!F11,Wheatland!F11,Wilton!F11,Brownsville!F11,Gleason!F11)</f>
        <v>0</v>
      </c>
      <c r="G12" s="122">
        <f>SUM(Caledonia!G11,'New Albany'!G11,Wheatland!G11,Wilton!G11,Brownsville!G11,Gleason!G11)</f>
        <v>0</v>
      </c>
      <c r="H12" s="122">
        <f>SUM(Caledonia!H11,'New Albany'!H11,Wheatland!H11,Wilton!H11,Brownsville!H11,Gleason!H11)</f>
        <v>0</v>
      </c>
      <c r="I12" s="122">
        <f>SUM(Caledonia!I11,'New Albany'!I11,Wheatland!I11,Wilton!I11,Brownsville!I11,Gleason!I11)</f>
        <v>0</v>
      </c>
      <c r="J12" s="122">
        <f>SUM(Caledonia!J11,'New Albany'!J11,Wheatland!J11,Wilton!J11,Brownsville!J11,Gleason!J11)</f>
        <v>0</v>
      </c>
      <c r="K12" s="122">
        <f>SUM(Caledonia!K11,'New Albany'!K11,Wheatland!K11,Wilton!K11,Brownsville!K11,Gleason!K11)</f>
        <v>0</v>
      </c>
      <c r="L12" s="122">
        <f>SUM(Caledonia!L11,'New Albany'!L11,Wheatland!L11,Wilton!L11,Brownsville!L11,Gleason!L11)</f>
        <v>0</v>
      </c>
      <c r="M12" s="122">
        <f>SUM(Caledonia!M11,'New Albany'!M11,Wheatland!M11,Wilton!M11,Brownsville!M11,Gleason!M11)</f>
        <v>0</v>
      </c>
      <c r="N12" s="122">
        <f>SUM(Caledonia!N11,'New Albany'!N11,Wheatland!N11,Wilton!N11,Brownsville!N11,Gleason!N11)</f>
        <v>0</v>
      </c>
      <c r="O12" s="122">
        <f>SUM(Caledonia!O11,'New Albany'!O11,Wheatland!O11,Wilton!O11,Brownsville!O11,Gleason!O11)</f>
        <v>0</v>
      </c>
      <c r="P12" s="122">
        <f>SUM(Caledonia!P11,'New Albany'!P11,Wheatland!P11,Wilton!P11,Brownsville!P11,Gleason!P11)</f>
        <v>0</v>
      </c>
      <c r="Q12" s="122">
        <f>SUM(Caledonia!Q11,'New Albany'!Q11,Wheatland!Q11,Wilton!Q11,Brownsville!Q11,Gleason!Q11)</f>
        <v>0</v>
      </c>
      <c r="R12" s="122">
        <f>SUM(Caledonia!R11,'New Albany'!R11,Wheatland!R11,Wilton!R11,Brownsville!R11,Gleason!R11)</f>
        <v>0</v>
      </c>
      <c r="S12" s="122">
        <f>SUM(Caledonia!S11,'New Albany'!S11,Wheatland!S11,Wilton!S11,Brownsville!S11,Gleason!S11)</f>
        <v>0</v>
      </c>
      <c r="T12" s="122">
        <f>SUM(Caledonia!T11,'New Albany'!T11,Wheatland!T11,Wilton!T11,Brownsville!T11,Gleason!T11)</f>
        <v>0</v>
      </c>
      <c r="U12" s="122">
        <f>SUM(Caledonia!U11,'New Albany'!U11,Wheatland!U11,Wilton!U11,Brownsville!U11,Gleason!U11)</f>
        <v>0</v>
      </c>
      <c r="W12" s="476">
        <f>SUM(B12:U12)</f>
        <v>8715.1789125000014</v>
      </c>
      <c r="X12" s="426">
        <f>SUM(Caledonia!W11,'New Albany'!W11,Wheatland!W11,Wilton!W11,Brownsville!W11,Gleason!W11)</f>
        <v>8715.1789124999996</v>
      </c>
      <c r="Y12" s="426">
        <f>W12-X12</f>
        <v>0</v>
      </c>
    </row>
    <row r="13" spans="1:45">
      <c r="A13" s="3" t="s">
        <v>280</v>
      </c>
      <c r="B13" s="122">
        <f>SUM(Caledonia!B12,'New Albany'!B12,Wheatland!B12,Wilton!B12,Brownsville!B12,Gleason!B12)</f>
        <v>50084.212230324665</v>
      </c>
      <c r="C13" s="122">
        <f>SUM(Caledonia!C12,'New Albany'!C12,Wheatland!C12,Wilton!C12,Brownsville!C12,Gleason!C12)</f>
        <v>50084.212230324665</v>
      </c>
      <c r="D13" s="122">
        <f>SUM(Caledonia!D12,'New Albany'!D12,Wheatland!D12,Wilton!D12,Brownsville!D12,Gleason!D12)</f>
        <v>50084.212230324665</v>
      </c>
      <c r="E13" s="122">
        <f>SUM(Caledonia!E12,'New Albany'!E12,Wheatland!E12,Wilton!E12,Brownsville!E12,Gleason!E12)</f>
        <v>0</v>
      </c>
      <c r="F13" s="122">
        <f>SUM(Caledonia!F12,'New Albany'!F12,Wheatland!F12,Wilton!F12,Brownsville!F12,Gleason!F12)</f>
        <v>0</v>
      </c>
      <c r="G13" s="122">
        <f>SUM(Caledonia!G12,'New Albany'!G12,Wheatland!G12,Wilton!G12,Brownsville!G12,Gleason!G12)</f>
        <v>0</v>
      </c>
      <c r="H13" s="122">
        <f>SUM(Caledonia!H12,'New Albany'!H12,Wheatland!H12,Wilton!H12,Brownsville!H12,Gleason!H12)</f>
        <v>0</v>
      </c>
      <c r="I13" s="122">
        <f>SUM(Caledonia!I12,'New Albany'!I12,Wheatland!I12,Wilton!I12,Brownsville!I12,Gleason!I12)</f>
        <v>0</v>
      </c>
      <c r="J13" s="122">
        <f>SUM(Caledonia!J12,'New Albany'!J12,Wheatland!J12,Wilton!J12,Brownsville!J12,Gleason!J12)</f>
        <v>0</v>
      </c>
      <c r="K13" s="122">
        <f>SUM(Caledonia!K12,'New Albany'!K12,Wheatland!K12,Wilton!K12,Brownsville!K12,Gleason!K12)</f>
        <v>0</v>
      </c>
      <c r="L13" s="122">
        <f>SUM(Caledonia!L12,'New Albany'!L12,Wheatland!L12,Wilton!L12,Brownsville!L12,Gleason!L12)</f>
        <v>0</v>
      </c>
      <c r="M13" s="122">
        <f>SUM(Caledonia!M12,'New Albany'!M12,Wheatland!M12,Wilton!M12,Brownsville!M12,Gleason!M12)</f>
        <v>0</v>
      </c>
      <c r="N13" s="122">
        <f>SUM(Caledonia!N12,'New Albany'!N12,Wheatland!N12,Wilton!N12,Brownsville!N12,Gleason!N12)</f>
        <v>0</v>
      </c>
      <c r="O13" s="122">
        <f>SUM(Caledonia!O12,'New Albany'!O12,Wheatland!O12,Wilton!O12,Brownsville!O12,Gleason!O12)</f>
        <v>0</v>
      </c>
      <c r="P13" s="122">
        <f>SUM(Caledonia!P12,'New Albany'!P12,Wheatland!P12,Wilton!P12,Brownsville!P12,Gleason!P12)</f>
        <v>0</v>
      </c>
      <c r="Q13" s="122">
        <f>SUM(Caledonia!Q12,'New Albany'!Q12,Wheatland!Q12,Wilton!Q12,Brownsville!Q12,Gleason!Q12)</f>
        <v>0</v>
      </c>
      <c r="R13" s="122">
        <f>SUM(Caledonia!R12,'New Albany'!R12,Wheatland!R12,Wilton!R12,Brownsville!R12,Gleason!R12)</f>
        <v>0</v>
      </c>
      <c r="S13" s="122">
        <f>SUM(Caledonia!S12,'New Albany'!S12,Wheatland!S12,Wilton!S12,Brownsville!S12,Gleason!S12)</f>
        <v>0</v>
      </c>
      <c r="T13" s="122">
        <f>SUM(Caledonia!T12,'New Albany'!T12,Wheatland!T12,Wilton!T12,Brownsville!T12,Gleason!T12)</f>
        <v>0</v>
      </c>
      <c r="U13" s="122">
        <f>SUM(Caledonia!U12,'New Albany'!U12,Wheatland!U12,Wilton!U12,Brownsville!U12,Gleason!U12)</f>
        <v>0</v>
      </c>
      <c r="W13" s="476">
        <f>SUM(B13:U13)</f>
        <v>150252.636690974</v>
      </c>
      <c r="X13" s="426">
        <f>SUM(Caledonia!W12,'New Albany'!W12,Wheatland!W12,Wilton!W12,Brownsville!W12,Gleason!W12)</f>
        <v>150252.636690974</v>
      </c>
      <c r="Y13" s="426">
        <f>W13-X13</f>
        <v>0</v>
      </c>
    </row>
    <row r="14" spans="1:45">
      <c r="A14" s="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W14" s="476"/>
      <c r="X14" s="44"/>
      <c r="Y14" s="44"/>
    </row>
    <row r="15" spans="1:45">
      <c r="A15" s="364" t="s">
        <v>183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W15" s="476"/>
      <c r="X15" s="44"/>
      <c r="Y15" s="44"/>
    </row>
    <row r="16" spans="1:45">
      <c r="A16" s="3" t="s">
        <v>67</v>
      </c>
      <c r="B16" s="122">
        <f>SUM(Caledonia!B15,'New Albany'!B15,Wheatland!B15,Wilton!B15,Brownsville!B15,Gleason!B15)</f>
        <v>0</v>
      </c>
      <c r="C16" s="122">
        <f>SUM(Caledonia!C15,'New Albany'!C15,Wheatland!C15,Wilton!C15,Brownsville!C15,Gleason!C15)</f>
        <v>0</v>
      </c>
      <c r="D16" s="122">
        <f>SUM(Caledonia!D15,'New Albany'!D15,Wheatland!D15,Wilton!D15,Brownsville!D15,Gleason!D15)</f>
        <v>0</v>
      </c>
      <c r="E16" s="122">
        <f>SUM(Caledonia!E15,'New Albany'!E15,Wheatland!E15,Wilton!E15,Brownsville!E15,Gleason!E15)</f>
        <v>226504.55633777208</v>
      </c>
      <c r="F16" s="122">
        <f>SUM(Caledonia!F15,'New Albany'!F15,Wheatland!F15,Wilton!F15,Brownsville!F15,Gleason!F15)</f>
        <v>237320.1506939792</v>
      </c>
      <c r="G16" s="122">
        <f>SUM(Caledonia!G15,'New Albany'!G15,Wheatland!G15,Wilton!G15,Brownsville!G15,Gleason!G15)</f>
        <v>241038.4775462728</v>
      </c>
      <c r="H16" s="122">
        <f>SUM(Caledonia!H15,'New Albany'!H15,Wheatland!H15,Wilton!H15,Brownsville!H15,Gleason!H15)</f>
        <v>244821.11634780024</v>
      </c>
      <c r="I16" s="122">
        <f>SUM(Caledonia!I15,'New Albany'!I15,Wheatland!I15,Wilton!I15,Brownsville!I15,Gleason!I15)</f>
        <v>248663.50375366354</v>
      </c>
      <c r="J16" s="122">
        <f>SUM(Caledonia!J15,'New Albany'!J15,Wheatland!J15,Wilton!J15,Brownsville!J15,Gleason!J15)</f>
        <v>252571.46475399449</v>
      </c>
      <c r="K16" s="122">
        <f>SUM(Caledonia!K15,'New Albany'!K15,Wheatland!K15,Wilton!K15,Brownsville!K15,Gleason!K15)</f>
        <v>256542.85941378033</v>
      </c>
      <c r="L16" s="122">
        <f>SUM(Caledonia!L15,'New Albany'!L15,Wheatland!L15,Wilton!L15,Brownsville!L15,Gleason!L15)</f>
        <v>261324.10577499238</v>
      </c>
      <c r="M16" s="122">
        <f>SUM(Caledonia!M15,'New Albany'!M15,Wheatland!M15,Wilton!M15,Brownsville!M15,Gleason!M15)</f>
        <v>266196.12790807639</v>
      </c>
      <c r="N16" s="122">
        <f>SUM(Caledonia!N15,'New Albany'!N15,Wheatland!N15,Wilton!N15,Brownsville!N15,Gleason!N15)</f>
        <v>271159.55495711329</v>
      </c>
      <c r="O16" s="122">
        <f>SUM(Caledonia!O15,'New Albany'!O15,Wheatland!O15,Wilton!O15,Brownsville!O15,Gleason!O15)</f>
        <v>276214.90994919604</v>
      </c>
      <c r="P16" s="122">
        <f>SUM(Caledonia!P15,'New Albany'!P15,Wheatland!P15,Wilton!P15,Brownsville!P15,Gleason!P15)</f>
        <v>281364.2524416201</v>
      </c>
      <c r="Q16" s="122">
        <f>SUM(Caledonia!Q15,'New Albany'!Q15,Wheatland!Q15,Wilton!Q15,Brownsville!Q15,Gleason!Q15)</f>
        <v>285317.56646544038</v>
      </c>
      <c r="R16" s="122">
        <f>SUM(Caledonia!R15,'New Albany'!R15,Wheatland!R15,Wilton!R15,Brownsville!R15,Gleason!R15)</f>
        <v>289332.00576982769</v>
      </c>
      <c r="S16" s="122">
        <f>SUM(Caledonia!S15,'New Albany'!S15,Wheatland!S15,Wilton!S15,Brownsville!S15,Gleason!S15)</f>
        <v>293397.3517383422</v>
      </c>
      <c r="T16" s="122">
        <f>SUM(Caledonia!T15,'New Albany'!T15,Wheatland!T15,Wilton!T15,Brownsville!T15,Gleason!T15)</f>
        <v>297522.49173721473</v>
      </c>
      <c r="U16" s="122">
        <f>SUM(Caledonia!U15,'New Albany'!U15,Wheatland!U15,Wilton!U15,Brownsville!U15,Gleason!U15)</f>
        <v>301707.72665580967</v>
      </c>
      <c r="W16" s="476">
        <f>SUM(B16:U16)</f>
        <v>4530998.2222448941</v>
      </c>
      <c r="X16" s="426">
        <f>SUM(Caledonia!W15,'New Albany'!W15,Wheatland!W15,Wilton!W15,Brownsville!W15,Gleason!W15)</f>
        <v>4530998.222244896</v>
      </c>
      <c r="Y16" s="426">
        <f t="shared" ref="Y16:Y21" si="3">W16-X16</f>
        <v>0</v>
      </c>
    </row>
    <row r="17" spans="1:25">
      <c r="A17" s="3" t="s">
        <v>68</v>
      </c>
      <c r="B17" s="122">
        <f>SUM(Caledonia!B16,'New Albany'!B16,Wheatland!B16,Wilton!B16,Brownsville!B16,Gleason!B16)</f>
        <v>0</v>
      </c>
      <c r="C17" s="122">
        <f>SUM(Caledonia!C16,'New Albany'!C16,Wheatland!C16,Wilton!C16,Brownsville!C16,Gleason!C16)</f>
        <v>0</v>
      </c>
      <c r="D17" s="122">
        <f>SUM(Caledonia!D16,'New Albany'!D16,Wheatland!D16,Wilton!D16,Brownsville!D16,Gleason!D16)</f>
        <v>0</v>
      </c>
      <c r="E17" s="122">
        <f>SUM(Caledonia!E16,'New Albany'!E16,Wheatland!E16,Wilton!E16,Brownsville!E16,Gleason!E16)</f>
        <v>1996.2114294864798</v>
      </c>
      <c r="F17" s="122">
        <f>SUM(Caledonia!F16,'New Albany'!F16,Wheatland!F16,Wilton!F16,Brownsville!F16,Gleason!F16)</f>
        <v>2056.0977723710744</v>
      </c>
      <c r="G17" s="122">
        <f>SUM(Caledonia!G16,'New Albany'!G16,Wheatland!G16,Wilton!G16,Brownsville!G16,Gleason!G16)</f>
        <v>2117.7807055422068</v>
      </c>
      <c r="H17" s="122">
        <f>SUM(Caledonia!H16,'New Albany'!H16,Wheatland!H16,Wilton!H16,Brownsville!H16,Gleason!H16)</f>
        <v>2181.3141267084729</v>
      </c>
      <c r="I17" s="122">
        <f>SUM(Caledonia!I16,'New Albany'!I16,Wheatland!I16,Wilton!I16,Brownsville!I16,Gleason!I16)</f>
        <v>2246.7535505097267</v>
      </c>
      <c r="J17" s="122">
        <f>SUM(Caledonia!J16,'New Albany'!J16,Wheatland!J16,Wilton!J16,Brownsville!J16,Gleason!J16)</f>
        <v>2314.1561570250187</v>
      </c>
      <c r="K17" s="122">
        <f>SUM(Caledonia!K16,'New Albany'!K16,Wheatland!K16,Wilton!K16,Brownsville!K16,Gleason!K16)</f>
        <v>2383.5808417357689</v>
      </c>
      <c r="L17" s="122">
        <f>SUM(Caledonia!L16,'New Albany'!L16,Wheatland!L16,Wilton!L16,Brownsville!L16,Gleason!L16)</f>
        <v>2455.088266987842</v>
      </c>
      <c r="M17" s="122">
        <f>SUM(Caledonia!M16,'New Albany'!M16,Wheatland!M16,Wilton!M16,Brownsville!M16,Gleason!M16)</f>
        <v>2528.7409149974774</v>
      </c>
      <c r="N17" s="122">
        <f>SUM(Caledonia!N16,'New Albany'!N16,Wheatland!N16,Wilton!N16,Brownsville!N16,Gleason!N16)</f>
        <v>2604.6031424474013</v>
      </c>
      <c r="O17" s="122">
        <f>SUM(Caledonia!O16,'New Albany'!O16,Wheatland!O16,Wilton!O16,Brownsville!O16,Gleason!O16)</f>
        <v>2682.7412367208235</v>
      </c>
      <c r="P17" s="122">
        <f>SUM(Caledonia!P16,'New Albany'!P16,Wheatland!P16,Wilton!P16,Brownsville!P16,Gleason!P16)</f>
        <v>2763.2234738224488</v>
      </c>
      <c r="Q17" s="122">
        <f>SUM(Caledonia!Q16,'New Albany'!Q16,Wheatland!Q16,Wilton!Q16,Brownsville!Q16,Gleason!Q16)</f>
        <v>2846.1201780371221</v>
      </c>
      <c r="R17" s="122">
        <f>SUM(Caledonia!R16,'New Albany'!R16,Wheatland!R16,Wilton!R16,Brownsville!R16,Gleason!R16)</f>
        <v>2931.5037833782353</v>
      </c>
      <c r="S17" s="122">
        <f>SUM(Caledonia!S16,'New Albany'!S16,Wheatland!S16,Wilton!S16,Brownsville!S16,Gleason!S16)</f>
        <v>3019.4488968795827</v>
      </c>
      <c r="T17" s="122">
        <f>SUM(Caledonia!T16,'New Albany'!T16,Wheatland!T16,Wilton!T16,Brownsville!T16,Gleason!T16)</f>
        <v>3110.0323637859701</v>
      </c>
      <c r="U17" s="122">
        <f>SUM(Caledonia!U16,'New Albany'!U16,Wheatland!U16,Wilton!U16,Brownsville!U16,Gleason!U16)</f>
        <v>3203.3333346995487</v>
      </c>
      <c r="W17" s="476">
        <f>SUM(B17:U17)</f>
        <v>43440.730175135206</v>
      </c>
      <c r="X17" s="426">
        <f>SUM(Caledonia!W16,'New Albany'!W16,Wheatland!W16,Wilton!W16,Brownsville!W16,Gleason!W16)</f>
        <v>43440.730175135206</v>
      </c>
      <c r="Y17" s="426">
        <f t="shared" si="3"/>
        <v>0</v>
      </c>
    </row>
    <row r="18" spans="1:25">
      <c r="A18" s="3" t="s">
        <v>69</v>
      </c>
      <c r="B18" s="122">
        <f>SUM(Caledonia!B17,'New Albany'!B17,Wheatland!B17,Wilton!B17,Brownsville!B17,Gleason!B17)</f>
        <v>0</v>
      </c>
      <c r="C18" s="122">
        <f>SUM(Caledonia!C17,'New Albany'!C17,Wheatland!C17,Wilton!C17,Brownsville!C17,Gleason!C17)</f>
        <v>0</v>
      </c>
      <c r="D18" s="122">
        <f>SUM(Caledonia!D17,'New Albany'!D17,Wheatland!D17,Wilton!D17,Brownsville!D17,Gleason!D17)</f>
        <v>0</v>
      </c>
      <c r="E18" s="122">
        <f>SUM(Caledonia!E17,'New Albany'!E17,Wheatland!E17,Wilton!E17,Brownsville!E17,Gleason!E17)</f>
        <v>505.10160000000008</v>
      </c>
      <c r="F18" s="122">
        <f>SUM(Caledonia!F17,'New Albany'!F17,Wheatland!F17,Wilton!F17,Brownsville!F17,Gleason!F17)</f>
        <v>505.10160000000008</v>
      </c>
      <c r="G18" s="122">
        <f>SUM(Caledonia!G17,'New Albany'!G17,Wheatland!G17,Wilton!G17,Brownsville!G17,Gleason!G17)</f>
        <v>505.10160000000008</v>
      </c>
      <c r="H18" s="122">
        <f>SUM(Caledonia!H17,'New Albany'!H17,Wheatland!H17,Wilton!H17,Brownsville!H17,Gleason!H17)</f>
        <v>505.10160000000008</v>
      </c>
      <c r="I18" s="122">
        <f>SUM(Caledonia!I17,'New Albany'!I17,Wheatland!I17,Wilton!I17,Brownsville!I17,Gleason!I17)</f>
        <v>505.10160000000008</v>
      </c>
      <c r="J18" s="122">
        <f>SUM(Caledonia!J17,'New Albany'!J17,Wheatland!J17,Wilton!J17,Brownsville!J17,Gleason!J17)</f>
        <v>505.10160000000008</v>
      </c>
      <c r="K18" s="122">
        <f>SUM(Caledonia!K17,'New Albany'!K17,Wheatland!K17,Wilton!K17,Brownsville!K17,Gleason!K17)</f>
        <v>505.10160000000008</v>
      </c>
      <c r="L18" s="122">
        <f>SUM(Caledonia!L17,'New Albany'!L17,Wheatland!L17,Wilton!L17,Brownsville!L17,Gleason!L17)</f>
        <v>505.10160000000008</v>
      </c>
      <c r="M18" s="122">
        <f>SUM(Caledonia!M17,'New Albany'!M17,Wheatland!M17,Wilton!M17,Brownsville!M17,Gleason!M17)</f>
        <v>505.10160000000008</v>
      </c>
      <c r="N18" s="122">
        <f>SUM(Caledonia!N17,'New Albany'!N17,Wheatland!N17,Wilton!N17,Brownsville!N17,Gleason!N17)</f>
        <v>505.10160000000008</v>
      </c>
      <c r="O18" s="122">
        <f>SUM(Caledonia!O17,'New Albany'!O17,Wheatland!O17,Wilton!O17,Brownsville!O17,Gleason!O17)</f>
        <v>505.10160000000008</v>
      </c>
      <c r="P18" s="122">
        <f>SUM(Caledonia!P17,'New Albany'!P17,Wheatland!P17,Wilton!P17,Brownsville!P17,Gleason!P17)</f>
        <v>505.10160000000008</v>
      </c>
      <c r="Q18" s="122">
        <f>SUM(Caledonia!Q17,'New Albany'!Q17,Wheatland!Q17,Wilton!Q17,Brownsville!Q17,Gleason!Q17)</f>
        <v>505.10160000000008</v>
      </c>
      <c r="R18" s="122">
        <f>SUM(Caledonia!R17,'New Albany'!R17,Wheatland!R17,Wilton!R17,Brownsville!R17,Gleason!R17)</f>
        <v>505.10160000000008</v>
      </c>
      <c r="S18" s="122">
        <f>SUM(Caledonia!S17,'New Albany'!S17,Wheatland!S17,Wilton!S17,Brownsville!S17,Gleason!S17)</f>
        <v>505.10160000000008</v>
      </c>
      <c r="T18" s="122">
        <f>SUM(Caledonia!T17,'New Albany'!T17,Wheatland!T17,Wilton!T17,Brownsville!T17,Gleason!T17)</f>
        <v>505.10160000000008</v>
      </c>
      <c r="U18" s="122">
        <f>SUM(Caledonia!U17,'New Albany'!U17,Wheatland!U17,Wilton!U17,Brownsville!U17,Gleason!U17)</f>
        <v>505.10160000000008</v>
      </c>
      <c r="W18" s="476">
        <f>SUM(B18:U18)</f>
        <v>8586.7272000000012</v>
      </c>
      <c r="X18" s="426">
        <f>SUM(Caledonia!W17,'New Albany'!W17,Wheatland!W17,Wilton!W17,Brownsville!W17,Gleason!W17)</f>
        <v>8586.7272000000012</v>
      </c>
      <c r="Y18" s="426">
        <f t="shared" si="3"/>
        <v>0</v>
      </c>
    </row>
    <row r="19" spans="1:25">
      <c r="A19" s="3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W19" s="476"/>
      <c r="X19" s="426"/>
      <c r="Y19" s="426"/>
    </row>
    <row r="20" spans="1:25">
      <c r="A20" s="3" t="s">
        <v>194</v>
      </c>
      <c r="B20" s="146">
        <f>SUM(Caledonia!B19,'New Albany'!B19,Wheatland!B19,Wilton!B19,Brownsville!B19,Gleason!B19)</f>
        <v>1505.1313351501085</v>
      </c>
      <c r="C20" s="146">
        <f>SUM(Caledonia!C19,'New Albany'!C19,Wheatland!C19,Wilton!C19,Brownsville!C19,Gleason!C19)</f>
        <v>1497.2544938262863</v>
      </c>
      <c r="D20" s="146">
        <f>SUM(Caledonia!D19,'New Albany'!D19,Wheatland!D19,Wilton!D19,Brownsville!D19,Gleason!D19)</f>
        <v>1490.2451565905603</v>
      </c>
      <c r="E20" s="146">
        <f>SUM(Caledonia!E19,'New Albany'!E19,Wheatland!E19,Wilton!E19,Brownsville!E19,Gleason!E19)</f>
        <v>2567.0583426543308</v>
      </c>
      <c r="F20" s="146">
        <f>SUM(Caledonia!F19,'New Albany'!F19,Wheatland!F19,Wilton!F19,Brownsville!F19,Gleason!F19)</f>
        <v>2696.373049494619</v>
      </c>
      <c r="G20" s="146">
        <f>SUM(Caledonia!G19,'New Albany'!G19,Wheatland!G19,Wilton!G19,Brownsville!G19,Gleason!G19)</f>
        <v>2734.823650817013</v>
      </c>
      <c r="H20" s="146">
        <f>SUM(Caledonia!H19,'New Albany'!H19,Wheatland!H19,Wilton!H19,Brownsville!H19,Gleason!H19)</f>
        <v>2774.6233451325643</v>
      </c>
      <c r="I20" s="146">
        <f>SUM(Caledonia!I19,'New Albany'!I19,Wheatland!I19,Wilton!I19,Brownsville!I19,Gleason!I19)</f>
        <v>2815.7308878371746</v>
      </c>
      <c r="J20" s="146">
        <f>SUM(Caledonia!J19,'New Albany'!J19,Wheatland!J19,Wilton!J19,Brownsville!J19,Gleason!J19)</f>
        <v>2859.0028789745884</v>
      </c>
      <c r="K20" s="146">
        <f>SUM(Caledonia!K19,'New Albany'!K19,Wheatland!K19,Wilton!K19,Brownsville!K19,Gleason!K19)</f>
        <v>2891.7634950788902</v>
      </c>
      <c r="L20" s="146">
        <f>SUM(Caledonia!L19,'New Albany'!L19,Wheatland!L19,Wilton!L19,Brownsville!L19,Gleason!L19)</f>
        <v>2947.4619230051835</v>
      </c>
      <c r="M20" s="146">
        <f>SUM(Caledonia!M19,'New Albany'!M19,Wheatland!M19,Wilton!M19,Brownsville!M19,Gleason!M19)</f>
        <v>3006.465065367765</v>
      </c>
      <c r="N20" s="146">
        <f>SUM(Caledonia!N19,'New Albany'!N19,Wheatland!N19,Wilton!N19,Brownsville!N19,Gleason!N19)</f>
        <v>3060.1929404696939</v>
      </c>
      <c r="O20" s="146">
        <f>SUM(Caledonia!O19,'New Albany'!O19,Wheatland!O19,Wilton!O19,Brownsville!O19,Gleason!O19)</f>
        <v>3115.99728430803</v>
      </c>
      <c r="P20" s="146">
        <f>SUM(Caledonia!P19,'New Albany'!P19,Wheatland!P19,Wilton!P19,Brownsville!P19,Gleason!P19)</f>
        <v>3166.618905900305</v>
      </c>
      <c r="Q20" s="146">
        <f>SUM(Caledonia!Q19,'New Albany'!Q19,Wheatland!Q19,Wilton!Q19,Brownsville!Q19,Gleason!Q19)</f>
        <v>3214.9661815811019</v>
      </c>
      <c r="R20" s="146">
        <f>SUM(Caledonia!R19,'New Albany'!R19,Wheatland!R19,Wilton!R19,Brownsville!R19,Gleason!R19)</f>
        <v>3256.4432720995492</v>
      </c>
      <c r="S20" s="146">
        <f>SUM(Caledonia!S19,'New Albany'!S19,Wheatland!S19,Wilton!S19,Brownsville!S19,Gleason!S19)</f>
        <v>3298.2788444388812</v>
      </c>
      <c r="T20" s="146">
        <f>SUM(Caledonia!T19,'New Albany'!T19,Wheatland!T19,Wilton!T19,Brownsville!T19,Gleason!T19)</f>
        <v>3340.5756751776958</v>
      </c>
      <c r="U20" s="146">
        <f>SUM(Caledonia!U19,'New Albany'!U19,Wheatland!U19,Wilton!U19,Brownsville!U19,Gleason!U19)</f>
        <v>3383.4446775348624</v>
      </c>
      <c r="W20" s="476">
        <f>SUM(B20:U20)</f>
        <v>55622.451405439198</v>
      </c>
      <c r="X20" s="426">
        <f>SUM(Caledonia!W19,'New Albany'!W19,Wheatland!W19,Wilton!W19,Brownsville!W19,Gleason!W19)</f>
        <v>55622.451405439206</v>
      </c>
      <c r="Y20" s="426">
        <f t="shared" si="3"/>
        <v>0</v>
      </c>
    </row>
    <row r="21" spans="1:25">
      <c r="A21" s="3" t="s">
        <v>70</v>
      </c>
      <c r="B21" s="122">
        <f t="shared" ref="B21:U21" si="4">SUM(B10:B20)</f>
        <v>193679.90980547477</v>
      </c>
      <c r="C21" s="122">
        <f t="shared" si="4"/>
        <v>193783.22995135092</v>
      </c>
      <c r="D21" s="122">
        <f t="shared" si="4"/>
        <v>193890.75351093124</v>
      </c>
      <c r="E21" s="122">
        <f t="shared" si="4"/>
        <v>231572.92770991288</v>
      </c>
      <c r="F21" s="122">
        <f t="shared" si="4"/>
        <v>242577.72311584488</v>
      </c>
      <c r="G21" s="122">
        <f t="shared" si="4"/>
        <v>246396.18350263202</v>
      </c>
      <c r="H21" s="122">
        <f t="shared" si="4"/>
        <v>250282.15541964129</v>
      </c>
      <c r="I21" s="122">
        <f t="shared" si="4"/>
        <v>254231.08979201043</v>
      </c>
      <c r="J21" s="122">
        <f t="shared" si="4"/>
        <v>258249.7253899941</v>
      </c>
      <c r="K21" s="122">
        <f t="shared" si="4"/>
        <v>262323.30535059498</v>
      </c>
      <c r="L21" s="122">
        <f t="shared" si="4"/>
        <v>267231.75756498537</v>
      </c>
      <c r="M21" s="122">
        <f t="shared" si="4"/>
        <v>272236.43548844161</v>
      </c>
      <c r="N21" s="122">
        <f t="shared" si="4"/>
        <v>277329.45264003042</v>
      </c>
      <c r="O21" s="122">
        <f t="shared" si="4"/>
        <v>282518.75007022487</v>
      </c>
      <c r="P21" s="122">
        <f t="shared" si="4"/>
        <v>287799.19642134284</v>
      </c>
      <c r="Q21" s="122">
        <f t="shared" si="4"/>
        <v>291883.75442505861</v>
      </c>
      <c r="R21" s="122">
        <f t="shared" si="4"/>
        <v>296025.05442530545</v>
      </c>
      <c r="S21" s="122">
        <f t="shared" si="4"/>
        <v>300220.18107966066</v>
      </c>
      <c r="T21" s="122">
        <f t="shared" si="4"/>
        <v>304478.20137617836</v>
      </c>
      <c r="U21" s="122">
        <f t="shared" si="4"/>
        <v>308799.6062680441</v>
      </c>
      <c r="W21" s="476">
        <f>SUM(B21:U21)</f>
        <v>5215509.3933076598</v>
      </c>
      <c r="X21" s="426">
        <f>SUM(Caledonia!W20,'New Albany'!W20,Wheatland!W20,Wilton!W20,Brownsville!W20,Gleason!W20)</f>
        <v>5215509.3933076598</v>
      </c>
      <c r="Y21" s="426">
        <f t="shared" si="3"/>
        <v>0</v>
      </c>
    </row>
    <row r="22" spans="1:25">
      <c r="A22" s="3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W22" s="476"/>
      <c r="X22" s="44"/>
      <c r="Y22" s="44"/>
    </row>
    <row r="23" spans="1:25">
      <c r="A23" s="1" t="s">
        <v>71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W23" s="476"/>
      <c r="X23" s="44"/>
      <c r="Y23" s="44"/>
    </row>
    <row r="24" spans="1:25">
      <c r="A24" s="3" t="s">
        <v>55</v>
      </c>
      <c r="B24" s="122">
        <f>SUM(Caledonia!B23,'New Albany'!B23,Wheatland!B23,Wilton!B23,Brownsville!B23,Gleason!B23)</f>
        <v>9650.9069691714285</v>
      </c>
      <c r="C24" s="122">
        <f>SUM(Caledonia!C23,'New Albany'!C23,Wheatland!C23,Wilton!C23,Brownsville!C23,Gleason!C23)</f>
        <v>9940.4341782465726</v>
      </c>
      <c r="D24" s="122">
        <f>SUM(Caledonia!D23,'New Albany'!D23,Wheatland!D23,Wilton!D23,Brownsville!D23,Gleason!D23)</f>
        <v>10238.64720359397</v>
      </c>
      <c r="E24" s="122">
        <f>SUM(Caledonia!E23,'New Albany'!E23,Wheatland!E23,Wilton!E23,Brownsville!E23,Gleason!E23)</f>
        <v>10545.806619701789</v>
      </c>
      <c r="F24" s="122">
        <f>SUM(Caledonia!F23,'New Albany'!F23,Wheatland!F23,Wilton!F23,Brownsville!F23,Gleason!F23)</f>
        <v>10862.180818292843</v>
      </c>
      <c r="G24" s="122">
        <f>SUM(Caledonia!G23,'New Albany'!G23,Wheatland!G23,Wilton!G23,Brownsville!G23,Gleason!G23)</f>
        <v>11188.046242841629</v>
      </c>
      <c r="H24" s="122">
        <f>SUM(Caledonia!H23,'New Albany'!H23,Wheatland!H23,Wilton!H23,Brownsville!H23,Gleason!H23)</f>
        <v>11523.687630126879</v>
      </c>
      <c r="I24" s="122">
        <f>SUM(Caledonia!I23,'New Albany'!I23,Wheatland!I23,Wilton!I23,Brownsville!I23,Gleason!I23)</f>
        <v>11869.398259030686</v>
      </c>
      <c r="J24" s="122">
        <f>SUM(Caledonia!J23,'New Albany'!J23,Wheatland!J23,Wilton!J23,Brownsville!J23,Gleason!J23)</f>
        <v>12225.480206801605</v>
      </c>
      <c r="K24" s="122">
        <f>SUM(Caledonia!K23,'New Albany'!K23,Wheatland!K23,Wilton!K23,Brownsville!K23,Gleason!K23)</f>
        <v>12592.244613005654</v>
      </c>
      <c r="L24" s="122">
        <f>SUM(Caledonia!L23,'New Albany'!L23,Wheatland!L23,Wilton!L23,Brownsville!L23,Gleason!L23)</f>
        <v>12970.011951395823</v>
      </c>
      <c r="M24" s="122">
        <f>SUM(Caledonia!M23,'New Albany'!M23,Wheatland!M23,Wilton!M23,Brownsville!M23,Gleason!M23)</f>
        <v>13359.1123099377</v>
      </c>
      <c r="N24" s="122">
        <f>SUM(Caledonia!N23,'New Albany'!N23,Wheatland!N23,Wilton!N23,Brownsville!N23,Gleason!N23)</f>
        <v>13759.885679235831</v>
      </c>
      <c r="O24" s="122">
        <f>SUM(Caledonia!O23,'New Albany'!O23,Wheatland!O23,Wilton!O23,Brownsville!O23,Gleason!O23)</f>
        <v>14172.682249612908</v>
      </c>
      <c r="P24" s="122">
        <f>SUM(Caledonia!P23,'New Albany'!P23,Wheatland!P23,Wilton!P23,Brownsville!P23,Gleason!P23)</f>
        <v>14597.862717101296</v>
      </c>
      <c r="Q24" s="122">
        <f>SUM(Caledonia!Q23,'New Albany'!Q23,Wheatland!Q23,Wilton!Q23,Brownsville!Q23,Gleason!Q23)</f>
        <v>15035.798598614334</v>
      </c>
      <c r="R24" s="122">
        <f>SUM(Caledonia!R23,'New Albany'!R23,Wheatland!R23,Wilton!R23,Brownsville!R23,Gleason!R23)</f>
        <v>15486.872556572765</v>
      </c>
      <c r="S24" s="122">
        <f>SUM(Caledonia!S23,'New Albany'!S23,Wheatland!S23,Wilton!S23,Brownsville!S23,Gleason!S23)</f>
        <v>15951.478733269949</v>
      </c>
      <c r="T24" s="122">
        <f>SUM(Caledonia!T23,'New Albany'!T23,Wheatland!T23,Wilton!T23,Brownsville!T23,Gleason!T23)</f>
        <v>16430.023095268047</v>
      </c>
      <c r="U24" s="122">
        <f>SUM(Caledonia!U23,'New Albany'!U23,Wheatland!U23,Wilton!U23,Brownsville!U23,Gleason!U23)</f>
        <v>16922.923788126089</v>
      </c>
      <c r="W24" s="476">
        <f t="shared" ref="W24:W31" si="5">SUM(B24:U24)</f>
        <v>259323.48441994784</v>
      </c>
      <c r="X24" s="426">
        <f>SUM(Caledonia!W23,'New Albany'!W23,Wheatland!W23,Wilton!W23,Brownsville!W23,Gleason!W23)</f>
        <v>259323.48441994775</v>
      </c>
      <c r="Y24" s="426">
        <f t="shared" ref="Y24:Y31" si="6">W24-X24</f>
        <v>0</v>
      </c>
    </row>
    <row r="25" spans="1:25">
      <c r="A25" s="3" t="s">
        <v>56</v>
      </c>
      <c r="B25" s="122">
        <f>SUM(Caledonia!B24,'New Albany'!B24,Wheatland!B24,Wilton!B24,Brownsville!B24,Gleason!B24)</f>
        <v>886.94124000000022</v>
      </c>
      <c r="C25" s="122">
        <f>SUM(Caledonia!C24,'New Albany'!C24,Wheatland!C24,Wilton!C24,Brownsville!C24,Gleason!C24)</f>
        <v>913.54947720000007</v>
      </c>
      <c r="D25" s="122">
        <f>SUM(Caledonia!D24,'New Albany'!D24,Wheatland!D24,Wilton!D24,Brownsville!D24,Gleason!D24)</f>
        <v>940.95596151600012</v>
      </c>
      <c r="E25" s="122">
        <f>SUM(Caledonia!E24,'New Albany'!E24,Wheatland!E24,Wilton!E24,Brownsville!E24,Gleason!E24)</f>
        <v>969.18464036147998</v>
      </c>
      <c r="F25" s="122">
        <f>SUM(Caledonia!F24,'New Albany'!F24,Wheatland!F24,Wilton!F24,Brownsville!F24,Gleason!F24)</f>
        <v>998.26017957232443</v>
      </c>
      <c r="G25" s="122">
        <f>SUM(Caledonia!G24,'New Albany'!G24,Wheatland!G24,Wilton!G24,Brownsville!G24,Gleason!G24)</f>
        <v>1028.2079849594943</v>
      </c>
      <c r="H25" s="122">
        <f>SUM(Caledonia!H24,'New Albany'!H24,Wheatland!H24,Wilton!H24,Brownsville!H24,Gleason!H24)</f>
        <v>1059.054224508279</v>
      </c>
      <c r="I25" s="122">
        <f>SUM(Caledonia!I24,'New Albany'!I24,Wheatland!I24,Wilton!I24,Brownsville!I24,Gleason!I24)</f>
        <v>1090.8258512435273</v>
      </c>
      <c r="J25" s="122">
        <f>SUM(Caledonia!J24,'New Albany'!J24,Wheatland!J24,Wilton!J24,Brownsville!J24,Gleason!J24)</f>
        <v>1123.5506267808332</v>
      </c>
      <c r="K25" s="122">
        <f>SUM(Caledonia!K24,'New Albany'!K24,Wheatland!K24,Wilton!K24,Brownsville!K24,Gleason!K24)</f>
        <v>1157.2571455842581</v>
      </c>
      <c r="L25" s="122">
        <f>SUM(Caledonia!L24,'New Albany'!L24,Wheatland!L24,Wilton!L24,Brownsville!L24,Gleason!L24)</f>
        <v>1191.9748599517859</v>
      </c>
      <c r="M25" s="122">
        <f>SUM(Caledonia!M24,'New Albany'!M24,Wheatland!M24,Wilton!M24,Brownsville!M24,Gleason!M24)</f>
        <v>1227.7341057503395</v>
      </c>
      <c r="N25" s="122">
        <f>SUM(Caledonia!N24,'New Albany'!N24,Wheatland!N24,Wilton!N24,Brownsville!N24,Gleason!N24)</f>
        <v>1264.5661289228494</v>
      </c>
      <c r="O25" s="122">
        <f>SUM(Caledonia!O24,'New Albany'!O24,Wheatland!O24,Wilton!O24,Brownsville!O24,Gleason!O24)</f>
        <v>1302.5031127905349</v>
      </c>
      <c r="P25" s="122">
        <f>SUM(Caledonia!P24,'New Albany'!P24,Wheatland!P24,Wilton!P24,Brownsville!P24,Gleason!P24)</f>
        <v>1341.5782061742511</v>
      </c>
      <c r="Q25" s="122">
        <f>SUM(Caledonia!Q24,'New Albany'!Q24,Wheatland!Q24,Wilton!Q24,Brownsville!Q24,Gleason!Q24)</f>
        <v>1381.8255523594785</v>
      </c>
      <c r="R25" s="122">
        <f>SUM(Caledonia!R24,'New Albany'!R24,Wheatland!R24,Wilton!R24,Brownsville!R24,Gleason!R24)</f>
        <v>1423.2803189302631</v>
      </c>
      <c r="S25" s="122">
        <f>SUM(Caledonia!S24,'New Albany'!S24,Wheatland!S24,Wilton!S24,Brownsville!S24,Gleason!S24)</f>
        <v>1465.9787284981708</v>
      </c>
      <c r="T25" s="122">
        <f>SUM(Caledonia!T24,'New Albany'!T24,Wheatland!T24,Wilton!T24,Brownsville!T24,Gleason!T24)</f>
        <v>1509.9580903531162</v>
      </c>
      <c r="U25" s="122">
        <f>SUM(Caledonia!U24,'New Albany'!U24,Wheatland!U24,Wilton!U24,Brownsville!U24,Gleason!U24)</f>
        <v>1555.2568330637096</v>
      </c>
      <c r="W25" s="476">
        <f t="shared" si="5"/>
        <v>23832.443268520699</v>
      </c>
      <c r="X25" s="426">
        <f>SUM(Caledonia!W24,'New Albany'!W24,Wheatland!W24,Wilton!W24,Brownsville!W24,Gleason!W24)</f>
        <v>23832.443268520696</v>
      </c>
      <c r="Y25" s="426">
        <f t="shared" si="6"/>
        <v>0</v>
      </c>
    </row>
    <row r="26" spans="1:25">
      <c r="A26" s="3" t="s">
        <v>57</v>
      </c>
      <c r="B26" s="122">
        <f>SUM(Caledonia!B25,'New Albany'!B25,Wheatland!B25,Wilton!B25,Brownsville!B25,Gleason!B25)</f>
        <v>2819.625</v>
      </c>
      <c r="C26" s="122">
        <f>SUM(Caledonia!C25,'New Albany'!C25,Wheatland!C25,Wilton!C25,Brownsville!C25,Gleason!C25)</f>
        <v>2904.2137500000003</v>
      </c>
      <c r="D26" s="122">
        <f>SUM(Caledonia!D25,'New Albany'!D25,Wheatland!D25,Wilton!D25,Brownsville!D25,Gleason!D25)</f>
        <v>2991.3401625000001</v>
      </c>
      <c r="E26" s="122">
        <f>SUM(Caledonia!E25,'New Albany'!E25,Wheatland!E25,Wilton!E25,Brownsville!E25,Gleason!E25)</f>
        <v>3081.0803673750002</v>
      </c>
      <c r="F26" s="122">
        <f>SUM(Caledonia!F25,'New Albany'!F25,Wheatland!F25,Wilton!F25,Brownsville!F25,Gleason!F25)</f>
        <v>3173.5127783962503</v>
      </c>
      <c r="G26" s="122">
        <f>SUM(Caledonia!G25,'New Albany'!G25,Wheatland!G25,Wilton!G25,Brownsville!G25,Gleason!G25)</f>
        <v>3268.7181617481383</v>
      </c>
      <c r="H26" s="122">
        <f>SUM(Caledonia!H25,'New Albany'!H25,Wheatland!H25,Wilton!H25,Brownsville!H25,Gleason!H25)</f>
        <v>3366.7797066005828</v>
      </c>
      <c r="I26" s="122">
        <f>SUM(Caledonia!I25,'New Albany'!I25,Wheatland!I25,Wilton!I25,Brownsville!I25,Gleason!I25)</f>
        <v>3467.7830977986005</v>
      </c>
      <c r="J26" s="122">
        <f>SUM(Caledonia!J25,'New Albany'!J25,Wheatland!J25,Wilton!J25,Brownsville!J25,Gleason!J25)</f>
        <v>3571.8165907325583</v>
      </c>
      <c r="K26" s="122">
        <f>SUM(Caledonia!K25,'New Albany'!K25,Wheatland!K25,Wilton!K25,Brownsville!K25,Gleason!K25)</f>
        <v>3678.9710884545352</v>
      </c>
      <c r="L26" s="122">
        <f>SUM(Caledonia!L25,'New Albany'!L25,Wheatland!L25,Wilton!L25,Brownsville!L25,Gleason!L25)</f>
        <v>3789.3402211081711</v>
      </c>
      <c r="M26" s="122">
        <f>SUM(Caledonia!M25,'New Albany'!M25,Wheatland!M25,Wilton!M25,Brownsville!M25,Gleason!M25)</f>
        <v>3903.0204277414155</v>
      </c>
      <c r="N26" s="122">
        <f>SUM(Caledonia!N25,'New Albany'!N25,Wheatland!N25,Wilton!N25,Brownsville!N25,Gleason!N25)</f>
        <v>4020.111040573659</v>
      </c>
      <c r="O26" s="122">
        <f>SUM(Caledonia!O25,'New Albany'!O25,Wheatland!O25,Wilton!O25,Brownsville!O25,Gleason!O25)</f>
        <v>4140.7143717908684</v>
      </c>
      <c r="P26" s="122">
        <f>SUM(Caledonia!P25,'New Albany'!P25,Wheatland!P25,Wilton!P25,Brownsville!P25,Gleason!P25)</f>
        <v>4264.9358029445948</v>
      </c>
      <c r="Q26" s="122">
        <f>SUM(Caledonia!Q25,'New Albany'!Q25,Wheatland!Q25,Wilton!Q25,Brownsville!Q25,Gleason!Q25)</f>
        <v>4392.8838770329321</v>
      </c>
      <c r="R26" s="122">
        <f>SUM(Caledonia!R25,'New Albany'!R25,Wheatland!R25,Wilton!R25,Brownsville!R25,Gleason!R25)</f>
        <v>4524.6703933439203</v>
      </c>
      <c r="S26" s="122">
        <f>SUM(Caledonia!S25,'New Albany'!S25,Wheatland!S25,Wilton!S25,Brownsville!S25,Gleason!S25)</f>
        <v>4660.4105051442384</v>
      </c>
      <c r="T26" s="122">
        <f>SUM(Caledonia!T25,'New Albany'!T25,Wheatland!T25,Wilton!T25,Brownsville!T25,Gleason!T25)</f>
        <v>4800.2228202985652</v>
      </c>
      <c r="U26" s="122">
        <f>SUM(Caledonia!U25,'New Albany'!U25,Wheatland!U25,Wilton!U25,Brownsville!U25,Gleason!U25)</f>
        <v>4944.2295049075228</v>
      </c>
      <c r="W26" s="476">
        <f t="shared" si="5"/>
        <v>75764.379668491558</v>
      </c>
      <c r="X26" s="426">
        <f>SUM(Caledonia!W25,'New Albany'!W25,Wheatland!W25,Wilton!W25,Brownsville!W25,Gleason!W25)</f>
        <v>75764.379668491543</v>
      </c>
      <c r="Y26" s="426">
        <f t="shared" si="6"/>
        <v>0</v>
      </c>
    </row>
    <row r="27" spans="1:25">
      <c r="A27" s="3" t="s">
        <v>124</v>
      </c>
      <c r="B27" s="122">
        <f>SUM(Caledonia!B26,'New Albany'!B26,Wheatland!B26,Wilton!B26,Brownsville!B26,Gleason!B26)</f>
        <v>1699.1172814285715</v>
      </c>
      <c r="C27" s="122">
        <f>SUM(Caledonia!C26,'New Albany'!C26,Wheatland!C26,Wilton!C26,Brownsville!C26,Gleason!C26)</f>
        <v>1750.0907998714288</v>
      </c>
      <c r="D27" s="122">
        <f>SUM(Caledonia!D26,'New Albany'!D26,Wheatland!D26,Wilton!D26,Brownsville!D26,Gleason!D26)</f>
        <v>1802.593523867572</v>
      </c>
      <c r="E27" s="122">
        <f>SUM(Caledonia!E26,'New Albany'!E26,Wheatland!E26,Wilton!E26,Brownsville!E26,Gleason!E26)</f>
        <v>1856.6713295835989</v>
      </c>
      <c r="F27" s="122">
        <f>SUM(Caledonia!F26,'New Albany'!F26,Wheatland!F26,Wilton!F26,Brownsville!F26,Gleason!F26)</f>
        <v>1912.371469471107</v>
      </c>
      <c r="G27" s="122">
        <f>SUM(Caledonia!G26,'New Albany'!G26,Wheatland!G26,Wilton!G26,Brownsville!G26,Gleason!G26)</f>
        <v>1969.74261355524</v>
      </c>
      <c r="H27" s="122">
        <f>SUM(Caledonia!H26,'New Albany'!H26,Wheatland!H26,Wilton!H26,Brownsville!H26,Gleason!H26)</f>
        <v>2028.8348919618975</v>
      </c>
      <c r="I27" s="122">
        <f>SUM(Caledonia!I26,'New Albany'!I26,Wheatland!I26,Wilton!I26,Brownsville!I26,Gleason!I26)</f>
        <v>2089.6999387207543</v>
      </c>
      <c r="J27" s="122">
        <f>SUM(Caledonia!J26,'New Albany'!J26,Wheatland!J26,Wilton!J26,Brownsville!J26,Gleason!J26)</f>
        <v>2152.390936882377</v>
      </c>
      <c r="K27" s="122">
        <f>SUM(Caledonia!K26,'New Albany'!K26,Wheatland!K26,Wilton!K26,Brownsville!K26,Gleason!K26)</f>
        <v>2216.9626649888487</v>
      </c>
      <c r="L27" s="122">
        <f>SUM(Caledonia!L26,'New Albany'!L26,Wheatland!L26,Wilton!L26,Brownsville!L26,Gleason!L26)</f>
        <v>2283.4715449385139</v>
      </c>
      <c r="M27" s="122">
        <f>SUM(Caledonia!M26,'New Albany'!M26,Wheatland!M26,Wilton!M26,Brownsville!M26,Gleason!M26)</f>
        <v>2351.9756912866696</v>
      </c>
      <c r="N27" s="122">
        <f>SUM(Caledonia!N26,'New Albany'!N26,Wheatland!N26,Wilton!N26,Brownsville!N26,Gleason!N26)</f>
        <v>2422.5349620252696</v>
      </c>
      <c r="O27" s="122">
        <f>SUM(Caledonia!O26,'New Albany'!O26,Wheatland!O26,Wilton!O26,Brownsville!O26,Gleason!O26)</f>
        <v>2495.2110108860279</v>
      </c>
      <c r="P27" s="122">
        <f>SUM(Caledonia!P26,'New Albany'!P26,Wheatland!P26,Wilton!P26,Brownsville!P26,Gleason!P26)</f>
        <v>2570.0673412126093</v>
      </c>
      <c r="Q27" s="122">
        <f>SUM(Caledonia!Q26,'New Albany'!Q26,Wheatland!Q26,Wilton!Q26,Brownsville!Q26,Gleason!Q26)</f>
        <v>2647.1693614489873</v>
      </c>
      <c r="R27" s="122">
        <f>SUM(Caledonia!R26,'New Albany'!R26,Wheatland!R26,Wilton!R26,Brownsville!R26,Gleason!R26)</f>
        <v>2726.5844422924574</v>
      </c>
      <c r="S27" s="122">
        <f>SUM(Caledonia!S26,'New Albany'!S26,Wheatland!S26,Wilton!S26,Brownsville!S26,Gleason!S26)</f>
        <v>2808.3819755612308</v>
      </c>
      <c r="T27" s="122">
        <f>SUM(Caledonia!T26,'New Albany'!T26,Wheatland!T26,Wilton!T26,Brownsville!T26,Gleason!T26)</f>
        <v>2892.6334348280679</v>
      </c>
      <c r="U27" s="122">
        <f>SUM(Caledonia!U26,'New Albany'!U26,Wheatland!U26,Wilton!U26,Brownsville!U26,Gleason!U26)</f>
        <v>2979.4124378729102</v>
      </c>
      <c r="W27" s="476">
        <f t="shared" si="5"/>
        <v>45655.917652684133</v>
      </c>
      <c r="X27" s="426">
        <f>SUM(Caledonia!W26,'New Albany'!W26,Wheatland!W26,Wilton!W26,Brownsville!W26,Gleason!W26)</f>
        <v>45655.917652684147</v>
      </c>
      <c r="Y27" s="426">
        <f t="shared" si="6"/>
        <v>0</v>
      </c>
    </row>
    <row r="28" spans="1:25">
      <c r="A28" s="3" t="s">
        <v>125</v>
      </c>
      <c r="B28" s="122">
        <f>SUM(Caledonia!B27,'New Albany'!B27,Wheatland!B27,Wilton!B27,Brownsville!B27,Gleason!B27)</f>
        <v>2301.5906199999999</v>
      </c>
      <c r="C28" s="122">
        <f>SUM(Caledonia!C27,'New Albany'!C27,Wheatland!C27,Wilton!C27,Brownsville!C27,Gleason!C27)</f>
        <v>2370.6383386000002</v>
      </c>
      <c r="D28" s="122">
        <f>SUM(Caledonia!D27,'New Albany'!D27,Wheatland!D27,Wilton!D27,Brownsville!D27,Gleason!D27)</f>
        <v>2441.7574887579999</v>
      </c>
      <c r="E28" s="122">
        <f>SUM(Caledonia!E27,'New Albany'!E27,Wheatland!E27,Wilton!E27,Brownsville!E27,Gleason!E27)</f>
        <v>2515.01021342074</v>
      </c>
      <c r="F28" s="122">
        <f>SUM(Caledonia!F27,'New Albany'!F27,Wheatland!F27,Wilton!F27,Brownsville!F27,Gleason!F27)</f>
        <v>2590.4605198233621</v>
      </c>
      <c r="G28" s="122">
        <f>SUM(Caledonia!G27,'New Albany'!G27,Wheatland!G27,Wilton!G27,Brownsville!G27,Gleason!G27)</f>
        <v>2668.1743354180635</v>
      </c>
      <c r="H28" s="122">
        <f>SUM(Caledonia!H27,'New Albany'!H27,Wheatland!H27,Wilton!H27,Brownsville!H27,Gleason!H27)</f>
        <v>2748.2195654806055</v>
      </c>
      <c r="I28" s="122">
        <f>SUM(Caledonia!I27,'New Albany'!I27,Wheatland!I27,Wilton!I27,Brownsville!I27,Gleason!I27)</f>
        <v>2830.6661524450237</v>
      </c>
      <c r="J28" s="122">
        <f>SUM(Caledonia!J27,'New Albany'!J27,Wheatland!J27,Wilton!J27,Brownsville!J27,Gleason!J27)</f>
        <v>2915.5861370183743</v>
      </c>
      <c r="K28" s="122">
        <f>SUM(Caledonia!K27,'New Albany'!K27,Wheatland!K27,Wilton!K27,Brownsville!K27,Gleason!K27)</f>
        <v>3003.0537211289256</v>
      </c>
      <c r="L28" s="122">
        <f>SUM(Caledonia!L27,'New Albany'!L27,Wheatland!L27,Wilton!L27,Brownsville!L27,Gleason!L27)</f>
        <v>3093.1453327627933</v>
      </c>
      <c r="M28" s="122">
        <f>SUM(Caledonia!M27,'New Albany'!M27,Wheatland!M27,Wilton!M27,Brownsville!M27,Gleason!M27)</f>
        <v>3185.9396927456773</v>
      </c>
      <c r="N28" s="122">
        <f>SUM(Caledonia!N27,'New Albany'!N27,Wheatland!N27,Wilton!N27,Brownsville!N27,Gleason!N27)</f>
        <v>3281.5178835280476</v>
      </c>
      <c r="O28" s="122">
        <f>SUM(Caledonia!O27,'New Albany'!O27,Wheatland!O27,Wilton!O27,Brownsville!O27,Gleason!O27)</f>
        <v>3379.9634200338892</v>
      </c>
      <c r="P28" s="122">
        <f>SUM(Caledonia!P27,'New Albany'!P27,Wheatland!P27,Wilton!P27,Brownsville!P27,Gleason!P27)</f>
        <v>3481.3623226349059</v>
      </c>
      <c r="Q28" s="122">
        <f>SUM(Caledonia!Q27,'New Albany'!Q27,Wheatland!Q27,Wilton!Q27,Brownsville!Q27,Gleason!Q27)</f>
        <v>3585.8031923139529</v>
      </c>
      <c r="R28" s="122">
        <f>SUM(Caledonia!R27,'New Albany'!R27,Wheatland!R27,Wilton!R27,Brownsville!R27,Gleason!R27)</f>
        <v>3693.3772880833722</v>
      </c>
      <c r="S28" s="122">
        <f>SUM(Caledonia!S27,'New Albany'!S27,Wheatland!S27,Wilton!S27,Brownsville!S27,Gleason!S27)</f>
        <v>3804.1786067258731</v>
      </c>
      <c r="T28" s="122">
        <f>SUM(Caledonia!T27,'New Albany'!T27,Wheatland!T27,Wilton!T27,Brownsville!T27,Gleason!T27)</f>
        <v>3918.3039649276493</v>
      </c>
      <c r="U28" s="122">
        <f>SUM(Caledonia!U27,'New Albany'!U27,Wheatland!U27,Wilton!U27,Brownsville!U27,Gleason!U27)</f>
        <v>4035.8530838754791</v>
      </c>
      <c r="W28" s="476">
        <f t="shared" si="5"/>
        <v>61844.601879724731</v>
      </c>
      <c r="X28" s="426">
        <f>SUM(Caledonia!W27,'New Albany'!W27,Wheatland!W27,Wilton!W27,Brownsville!W27,Gleason!W27)</f>
        <v>61844.601879724731</v>
      </c>
      <c r="Y28" s="426">
        <f t="shared" si="6"/>
        <v>0</v>
      </c>
    </row>
    <row r="29" spans="1:25" ht="14.25" customHeight="1">
      <c r="A29" s="3" t="s">
        <v>232</v>
      </c>
      <c r="B29" s="122">
        <f>SUM(Caledonia!B28,'New Albany'!B28,Wheatland!B28,Wilton!B28,Brownsville!B28,Gleason!B28)</f>
        <v>2138.7599999999998</v>
      </c>
      <c r="C29" s="122">
        <f>SUM(Caledonia!C28,'New Albany'!C28,Wheatland!C28,Wilton!C28,Brownsville!C28,Gleason!C28)</f>
        <v>2485.4070000000002</v>
      </c>
      <c r="D29" s="122">
        <f>SUM(Caledonia!D28,'New Albany'!D28,Wheatland!D28,Wilton!D28,Brownsville!D28,Gleason!D28)</f>
        <v>2675.4930000000004</v>
      </c>
      <c r="E29" s="122">
        <f>SUM(Caledonia!E28,'New Albany'!E28,Wheatland!E28,Wilton!E28,Brownsville!E28,Gleason!E28)</f>
        <v>2752.7350000000001</v>
      </c>
      <c r="F29" s="122">
        <f>SUM(Caledonia!F28,'New Albany'!F28,Wheatland!F28,Wilton!F28,Brownsville!F28,Gleason!F28)</f>
        <v>2800.4010000000003</v>
      </c>
      <c r="G29" s="122">
        <f>SUM(Caledonia!G28,'New Albany'!G28,Wheatland!G28,Wilton!G28,Brownsville!G28,Gleason!G28)</f>
        <v>3000.837</v>
      </c>
      <c r="H29" s="122">
        <f>SUM(Caledonia!H28,'New Albany'!H28,Wheatland!H28,Wilton!H28,Brownsville!H28,Gleason!H28)</f>
        <v>3133.239</v>
      </c>
      <c r="I29" s="122">
        <f>SUM(Caledonia!I28,'New Albany'!I28,Wheatland!I28,Wilton!I28,Brownsville!I28,Gleason!I28)</f>
        <v>3204.1120000000001</v>
      </c>
      <c r="J29" s="122">
        <f>SUM(Caledonia!J28,'New Albany'!J28,Wheatland!J28,Wilton!J28,Brownsville!J28,Gleason!J28)</f>
        <v>3150.1800000000003</v>
      </c>
      <c r="K29" s="122">
        <f>SUM(Caledonia!K28,'New Albany'!K28,Wheatland!K28,Wilton!K28,Brownsville!K28,Gleason!K28)</f>
        <v>3985.1379999999999</v>
      </c>
      <c r="L29" s="122">
        <f>SUM(Caledonia!L28,'New Albany'!L28,Wheatland!L28,Wilton!L28,Brownsville!L28,Gleason!L28)</f>
        <v>3774.3130000000001</v>
      </c>
      <c r="M29" s="122">
        <f>SUM(Caledonia!M28,'New Albany'!M28,Wheatland!M28,Wilton!M28,Brownsville!M28,Gleason!M28)</f>
        <v>3371.88</v>
      </c>
      <c r="N29" s="122">
        <f>SUM(Caledonia!N28,'New Albany'!N28,Wheatland!N28,Wilton!N28,Brownsville!N28,Gleason!N28)</f>
        <v>3464.7</v>
      </c>
      <c r="O29" s="122">
        <f>SUM(Caledonia!O28,'New Albany'!O28,Wheatland!O28,Wilton!O28,Brownsville!O28,Gleason!O28)</f>
        <v>3464.7</v>
      </c>
      <c r="P29" s="122">
        <f>SUM(Caledonia!P28,'New Albany'!P28,Wheatland!P28,Wilton!P28,Brownsville!P28,Gleason!P28)</f>
        <v>3953.498301179623</v>
      </c>
      <c r="Q29" s="122">
        <f>SUM(Caledonia!Q28,'New Albany'!Q28,Wheatland!Q28,Wilton!Q28,Brownsville!Q28,Gleason!Q28)</f>
        <v>3397.5323122032155</v>
      </c>
      <c r="R29" s="122">
        <f>SUM(Caledonia!R28,'New Albany'!R28,Wheatland!R28,Wilton!R28,Brownsville!R28,Gleason!R28)</f>
        <v>3421.1349584472796</v>
      </c>
      <c r="S29" s="122">
        <f>SUM(Caledonia!S28,'New Albany'!S28,Wheatland!S28,Wilton!S28,Brownsville!S28,Gleason!S28)</f>
        <v>3445.2096576162253</v>
      </c>
      <c r="T29" s="122">
        <f>SUM(Caledonia!T28,'New Albany'!T28,Wheatland!T28,Wilton!T28,Brownsville!T28,Gleason!T28)</f>
        <v>3469.7658507685501</v>
      </c>
      <c r="U29" s="122">
        <f>SUM(Caledonia!U28,'New Albany'!U28,Wheatland!U28,Wilton!U28,Brownsville!U28,Gleason!U28)</f>
        <v>3485.5551622965972</v>
      </c>
      <c r="W29" s="476">
        <f t="shared" si="5"/>
        <v>64574.591242511466</v>
      </c>
      <c r="X29" s="426">
        <f>SUM(Caledonia!W28,'New Albany'!W28,Wheatland!W28,Wilton!W28,Brownsville!W28,Gleason!W28)</f>
        <v>64574.591242511488</v>
      </c>
      <c r="Y29" s="426">
        <f t="shared" si="6"/>
        <v>0</v>
      </c>
    </row>
    <row r="30" spans="1:25">
      <c r="A30" s="3" t="s">
        <v>272</v>
      </c>
      <c r="B30" s="146">
        <f>SUM(Caledonia!B29,'New Albany'!B29,Wheatland!B29,Wilton!B29,Brownsville!B29,Gleason!B29)</f>
        <v>2183.1183173913378</v>
      </c>
      <c r="C30" s="146">
        <f>SUM(Caledonia!C29,'New Albany'!C29,Wheatland!C29,Wilton!C29,Brownsville!C29,Gleason!C29)</f>
        <v>2057.0701771790946</v>
      </c>
      <c r="D30" s="146">
        <f>SUM(Caledonia!D29,'New Albany'!D29,Wheatland!D29,Wilton!D29,Brownsville!D29,Gleason!D29)</f>
        <v>2005.8962565356426</v>
      </c>
      <c r="E30" s="146">
        <f>SUM(Caledonia!E29,'New Albany'!E29,Wheatland!E29,Wilton!E29,Brownsville!E29,Gleason!E29)</f>
        <v>1920.7137844695017</v>
      </c>
      <c r="F30" s="146">
        <f>SUM(Caledonia!F29,'New Albany'!F29,Wheatland!F29,Wilton!F29,Brownsville!F29,Gleason!F29)</f>
        <v>1834.3193412248761</v>
      </c>
      <c r="G30" s="146">
        <f>SUM(Caledonia!G29,'New Albany'!G29,Wheatland!G29,Wilton!G29,Brownsville!G29,Gleason!G29)</f>
        <v>1751.7414479313898</v>
      </c>
      <c r="H30" s="146">
        <f>SUM(Caledonia!H29,'New Albany'!H29,Wheatland!H29,Wilton!H29,Brownsville!H29,Gleason!H29)</f>
        <v>1677.8494452253353</v>
      </c>
      <c r="I30" s="146">
        <f>SUM(Caledonia!I29,'New Albany'!I29,Wheatland!I29,Wilton!I29,Brownsville!I29,Gleason!I29)</f>
        <v>1604.4025779607116</v>
      </c>
      <c r="J30" s="146">
        <f>SUM(Caledonia!J29,'New Albany'!J29,Wheatland!J29,Wilton!J29,Brownsville!J29,Gleason!J29)</f>
        <v>1531.4876948367032</v>
      </c>
      <c r="K30" s="146">
        <f>SUM(Caledonia!K29,'New Albany'!K29,Wheatland!K29,Wilton!K29,Brownsville!K29,Gleason!K29)</f>
        <v>1456.8350160426733</v>
      </c>
      <c r="L30" s="146">
        <f>SUM(Caledonia!L29,'New Albany'!L29,Wheatland!L29,Wilton!L29,Brownsville!L29,Gleason!L29)</f>
        <v>1385.084891408432</v>
      </c>
      <c r="M30" s="146">
        <f>SUM(Caledonia!M29,'New Albany'!M29,Wheatland!M29,Wilton!M29,Brownsville!M29,Gleason!M29)</f>
        <v>1313.1029661909004</v>
      </c>
      <c r="N30" s="146">
        <f>SUM(Caledonia!N29,'New Albany'!N29,Wheatland!N29,Wilton!N29,Brownsville!N29,Gleason!N29)</f>
        <v>1240.5087676995411</v>
      </c>
      <c r="O30" s="146">
        <f>SUM(Caledonia!O29,'New Albany'!O29,Wheatland!O29,Wilton!O29,Brownsville!O29,Gleason!O29)</f>
        <v>1167.19587616022</v>
      </c>
      <c r="P30" s="146">
        <f>SUM(Caledonia!P29,'New Albany'!P29,Wheatland!P29,Wilton!P29,Brownsville!P29,Gleason!P29)</f>
        <v>1093.7603521709066</v>
      </c>
      <c r="Q30" s="146">
        <f>SUM(Caledonia!Q29,'New Albany'!Q29,Wheatland!Q29,Wilton!Q29,Brownsville!Q29,Gleason!Q29)</f>
        <v>1030.4808230164376</v>
      </c>
      <c r="R30" s="146">
        <f>SUM(Caledonia!R29,'New Albany'!R29,Wheatland!R29,Wilton!R29,Brownsville!R29,Gleason!R29)</f>
        <v>977.22942757197029</v>
      </c>
      <c r="S30" s="146">
        <f>SUM(Caledonia!S29,'New Albany'!S29,Wheatland!S29,Wilton!S29,Brownsville!S29,Gleason!S29)</f>
        <v>923.95647329561405</v>
      </c>
      <c r="T30" s="146">
        <f>SUM(Caledonia!T29,'New Albany'!T29,Wheatland!T29,Wilton!T29,Brownsville!T29,Gleason!T29)</f>
        <v>870.66443034104964</v>
      </c>
      <c r="U30" s="146">
        <f>SUM(Caledonia!U29,'New Albany'!U29,Wheatland!U29,Wilton!U29,Brownsville!U29,Gleason!U29)</f>
        <v>817.35657757792205</v>
      </c>
      <c r="V30" s="91"/>
      <c r="W30" s="476">
        <f t="shared" si="5"/>
        <v>28842.77464423026</v>
      </c>
      <c r="X30" s="426">
        <f>SUM(Caledonia!W29,'New Albany'!W29,Wheatland!W29,Wilton!W29,Brownsville!W29,Gleason!W29)</f>
        <v>28842.774644230263</v>
      </c>
      <c r="Y30" s="426">
        <f t="shared" si="6"/>
        <v>0</v>
      </c>
    </row>
    <row r="31" spans="1:25">
      <c r="A31" s="3" t="s">
        <v>72</v>
      </c>
      <c r="B31" s="122">
        <f t="shared" ref="B31:U31" si="7">SUM(B24:B30)</f>
        <v>21680.059427991335</v>
      </c>
      <c r="C31" s="122">
        <f t="shared" si="7"/>
        <v>22421.403721097096</v>
      </c>
      <c r="D31" s="122">
        <f t="shared" si="7"/>
        <v>23096.683596771181</v>
      </c>
      <c r="E31" s="122">
        <f t="shared" si="7"/>
        <v>23641.201954912111</v>
      </c>
      <c r="F31" s="122">
        <f t="shared" si="7"/>
        <v>24171.506106780766</v>
      </c>
      <c r="G31" s="122">
        <f t="shared" si="7"/>
        <v>24875.467786453955</v>
      </c>
      <c r="H31" s="122">
        <f t="shared" si="7"/>
        <v>25537.66446390358</v>
      </c>
      <c r="I31" s="122">
        <f t="shared" si="7"/>
        <v>26156.887877199304</v>
      </c>
      <c r="J31" s="122">
        <f t="shared" si="7"/>
        <v>26670.492193052451</v>
      </c>
      <c r="K31" s="122">
        <f t="shared" si="7"/>
        <v>28090.462249204895</v>
      </c>
      <c r="L31" s="122">
        <f t="shared" si="7"/>
        <v>28487.341801565522</v>
      </c>
      <c r="M31" s="122">
        <f t="shared" si="7"/>
        <v>28712.765193652704</v>
      </c>
      <c r="N31" s="122">
        <f t="shared" si="7"/>
        <v>29453.824461985205</v>
      </c>
      <c r="O31" s="122">
        <f t="shared" si="7"/>
        <v>30122.97004127445</v>
      </c>
      <c r="P31" s="122">
        <f t="shared" si="7"/>
        <v>31303.065043418184</v>
      </c>
      <c r="Q31" s="122">
        <f t="shared" si="7"/>
        <v>31471.493716989342</v>
      </c>
      <c r="R31" s="122">
        <f t="shared" si="7"/>
        <v>32253.149385242028</v>
      </c>
      <c r="S31" s="122">
        <f t="shared" si="7"/>
        <v>33059.594680111302</v>
      </c>
      <c r="T31" s="122">
        <f t="shared" si="7"/>
        <v>33891.57168678505</v>
      </c>
      <c r="U31" s="122">
        <f t="shared" si="7"/>
        <v>34740.587387720225</v>
      </c>
      <c r="W31" s="476">
        <f t="shared" si="5"/>
        <v>559838.19277611072</v>
      </c>
      <c r="X31" s="426">
        <f>SUM(Caledonia!W30,'New Albany'!W30,Wheatland!W30,Wilton!W30,Brownsville!W30,Gleason!W30)</f>
        <v>559838.19277611072</v>
      </c>
      <c r="Y31" s="426">
        <f t="shared" si="6"/>
        <v>0</v>
      </c>
    </row>
    <row r="32" spans="1:25">
      <c r="A32" s="519"/>
      <c r="B32" s="393"/>
      <c r="C32" s="393"/>
      <c r="D32" s="393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393"/>
      <c r="T32" s="393"/>
      <c r="U32" s="393"/>
      <c r="W32" s="476"/>
      <c r="X32" s="44"/>
      <c r="Y32" s="44"/>
    </row>
    <row r="33" spans="1:25">
      <c r="A33" s="5"/>
      <c r="B33" s="394"/>
      <c r="C33" s="394"/>
      <c r="D33" s="394"/>
      <c r="E33" s="394"/>
      <c r="F33" s="394"/>
      <c r="G33" s="394"/>
      <c r="H33" s="394"/>
      <c r="I33" s="394"/>
      <c r="J33" s="394"/>
      <c r="K33" s="394"/>
      <c r="L33" s="394"/>
      <c r="M33" s="394"/>
      <c r="N33" s="394"/>
      <c r="O33" s="394"/>
      <c r="P33" s="394"/>
      <c r="Q33" s="394"/>
      <c r="R33" s="394"/>
      <c r="S33" s="394"/>
      <c r="T33" s="394"/>
      <c r="U33" s="394"/>
      <c r="W33" s="476"/>
      <c r="X33" s="44"/>
      <c r="Y33" s="44"/>
    </row>
    <row r="34" spans="1:25">
      <c r="A34" s="1" t="s">
        <v>73</v>
      </c>
      <c r="B34" s="200">
        <f t="shared" ref="B34:U34" si="8">B21-B31</f>
        <v>171999.85037748344</v>
      </c>
      <c r="C34" s="200">
        <f t="shared" si="8"/>
        <v>171361.82623025382</v>
      </c>
      <c r="D34" s="200">
        <f t="shared" si="8"/>
        <v>170794.06991416006</v>
      </c>
      <c r="E34" s="200">
        <f t="shared" si="8"/>
        <v>207931.72575500078</v>
      </c>
      <c r="F34" s="200">
        <f t="shared" si="8"/>
        <v>218406.21700906413</v>
      </c>
      <c r="G34" s="200">
        <f t="shared" si="8"/>
        <v>221520.71571617806</v>
      </c>
      <c r="H34" s="200">
        <f t="shared" si="8"/>
        <v>224744.49095573771</v>
      </c>
      <c r="I34" s="200">
        <f t="shared" si="8"/>
        <v>228074.20191481113</v>
      </c>
      <c r="J34" s="200">
        <f t="shared" si="8"/>
        <v>231579.23319694164</v>
      </c>
      <c r="K34" s="200">
        <f t="shared" si="8"/>
        <v>234232.84310139008</v>
      </c>
      <c r="L34" s="200">
        <f t="shared" si="8"/>
        <v>238744.41576341985</v>
      </c>
      <c r="M34" s="200">
        <f t="shared" si="8"/>
        <v>243523.6702947889</v>
      </c>
      <c r="N34" s="200">
        <f t="shared" si="8"/>
        <v>247875.62817804521</v>
      </c>
      <c r="O34" s="200">
        <f t="shared" si="8"/>
        <v>252395.78002895042</v>
      </c>
      <c r="P34" s="200">
        <f t="shared" si="8"/>
        <v>256496.13137792467</v>
      </c>
      <c r="Q34" s="200">
        <f t="shared" si="8"/>
        <v>260412.26070806925</v>
      </c>
      <c r="R34" s="200">
        <f t="shared" si="8"/>
        <v>263771.90504006343</v>
      </c>
      <c r="S34" s="200">
        <f t="shared" si="8"/>
        <v>267160.58639954939</v>
      </c>
      <c r="T34" s="200">
        <f t="shared" si="8"/>
        <v>270586.62968939333</v>
      </c>
      <c r="U34" s="200">
        <f t="shared" si="8"/>
        <v>274059.01888032386</v>
      </c>
      <c r="W34" s="476">
        <f>SUM(B34:U34)</f>
        <v>4655671.2005315498</v>
      </c>
      <c r="X34" s="426">
        <f>SUM(Caledonia!W33,'New Albany'!W33,Wheatland!W33,Wilton!W33,Brownsville!W33,Gleason!W33)</f>
        <v>4655671.2005315488</v>
      </c>
      <c r="Y34" s="426">
        <f>W34-X34</f>
        <v>0</v>
      </c>
    </row>
    <row r="35" spans="1:25">
      <c r="A35" s="1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/>
      <c r="S35" s="393"/>
      <c r="T35" s="393"/>
      <c r="U35" s="393"/>
      <c r="W35" s="476"/>
      <c r="X35" s="44"/>
      <c r="Y35" s="44"/>
    </row>
    <row r="36" spans="1:25">
      <c r="A36" s="3" t="s">
        <v>74</v>
      </c>
      <c r="B36" s="122">
        <f>Depreciation!C58</f>
        <v>43536.034116422612</v>
      </c>
      <c r="C36" s="122">
        <f>Depreciation!D58</f>
        <v>43536.034116422612</v>
      </c>
      <c r="D36" s="122">
        <f>Depreciation!E58</f>
        <v>43536.034116422612</v>
      </c>
      <c r="E36" s="122">
        <f>Depreciation!F58</f>
        <v>43536.034116422612</v>
      </c>
      <c r="F36" s="122">
        <f>Depreciation!G58</f>
        <v>43536.034116422612</v>
      </c>
      <c r="G36" s="122">
        <f>Depreciation!H58</f>
        <v>43536.034116422612</v>
      </c>
      <c r="H36" s="122">
        <f>Depreciation!I58</f>
        <v>43536.034116422612</v>
      </c>
      <c r="I36" s="122">
        <f>Depreciation!J58</f>
        <v>43536.034116422612</v>
      </c>
      <c r="J36" s="122">
        <f>Depreciation!K58</f>
        <v>43536.034116422612</v>
      </c>
      <c r="K36" s="122">
        <f>Depreciation!L58</f>
        <v>43536.034116422612</v>
      </c>
      <c r="L36" s="122">
        <f>Depreciation!M58</f>
        <v>43536.034116422612</v>
      </c>
      <c r="M36" s="122">
        <f>Depreciation!N58</f>
        <v>43536.034116422612</v>
      </c>
      <c r="N36" s="122">
        <f>Depreciation!O58</f>
        <v>43536.034116422612</v>
      </c>
      <c r="O36" s="122">
        <f>Depreciation!P58</f>
        <v>43536.034116422612</v>
      </c>
      <c r="P36" s="122">
        <f>Depreciation!Q58</f>
        <v>43536.034116422612</v>
      </c>
      <c r="Q36" s="122">
        <f>Depreciation!R58</f>
        <v>43536.034116422612</v>
      </c>
      <c r="R36" s="122">
        <f>Depreciation!S58</f>
        <v>43536.034116422612</v>
      </c>
      <c r="S36" s="122">
        <f>Depreciation!T58</f>
        <v>43536.034116422612</v>
      </c>
      <c r="T36" s="122">
        <f>Depreciation!U58</f>
        <v>43536.034116422612</v>
      </c>
      <c r="U36" s="122">
        <f>Depreciation!V58</f>
        <v>43536.034116422612</v>
      </c>
      <c r="W36" s="476">
        <f>SUM(B36:U36)</f>
        <v>870720.68232845259</v>
      </c>
      <c r="X36" s="426">
        <f>SUM(Caledonia!W35,'New Albany'!W35,Wheatland!W35,Wilton!W35,Brownsville!W35,Gleason!W35)</f>
        <v>870720.68232845236</v>
      </c>
      <c r="Y36" s="426">
        <f>W36-X36</f>
        <v>0</v>
      </c>
    </row>
    <row r="37" spans="1:25">
      <c r="A37" s="3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W37" s="476"/>
      <c r="X37" s="44"/>
      <c r="Y37" s="44"/>
    </row>
    <row r="38" spans="1:25">
      <c r="A38" s="1" t="s">
        <v>75</v>
      </c>
      <c r="B38" s="200">
        <f t="shared" ref="B38:U38" si="9">B34-B36</f>
        <v>128463.81626106083</v>
      </c>
      <c r="C38" s="200">
        <f t="shared" si="9"/>
        <v>127825.79211383121</v>
      </c>
      <c r="D38" s="200">
        <f t="shared" si="9"/>
        <v>127258.03579773745</v>
      </c>
      <c r="E38" s="200">
        <f t="shared" si="9"/>
        <v>164395.69163857817</v>
      </c>
      <c r="F38" s="200">
        <f t="shared" si="9"/>
        <v>174870.18289264152</v>
      </c>
      <c r="G38" s="200">
        <f t="shared" si="9"/>
        <v>177984.68159975545</v>
      </c>
      <c r="H38" s="200">
        <f t="shared" si="9"/>
        <v>181208.4568393151</v>
      </c>
      <c r="I38" s="200">
        <f t="shared" si="9"/>
        <v>184538.16779838852</v>
      </c>
      <c r="J38" s="200">
        <f t="shared" si="9"/>
        <v>188043.19908051903</v>
      </c>
      <c r="K38" s="200">
        <f t="shared" si="9"/>
        <v>190696.80898496747</v>
      </c>
      <c r="L38" s="200">
        <f t="shared" si="9"/>
        <v>195208.38164699724</v>
      </c>
      <c r="M38" s="200">
        <f t="shared" si="9"/>
        <v>199987.63617836629</v>
      </c>
      <c r="N38" s="200">
        <f t="shared" si="9"/>
        <v>204339.5940616226</v>
      </c>
      <c r="O38" s="200">
        <f t="shared" si="9"/>
        <v>208859.74591252781</v>
      </c>
      <c r="P38" s="200">
        <f t="shared" si="9"/>
        <v>212960.09726150206</v>
      </c>
      <c r="Q38" s="200">
        <f t="shared" si="9"/>
        <v>216876.22659164664</v>
      </c>
      <c r="R38" s="200">
        <f t="shared" si="9"/>
        <v>220235.87092364082</v>
      </c>
      <c r="S38" s="200">
        <f t="shared" si="9"/>
        <v>223624.55228312677</v>
      </c>
      <c r="T38" s="200">
        <f t="shared" si="9"/>
        <v>227050.59557297072</v>
      </c>
      <c r="U38" s="200">
        <f t="shared" si="9"/>
        <v>230522.98476390124</v>
      </c>
      <c r="W38" s="476">
        <f>SUM(B38:U38)</f>
        <v>3784950.5182030965</v>
      </c>
      <c r="X38" s="426">
        <f>SUM(Caledonia!W37,'New Albany'!W37,Wheatland!W37,Wilton!W37,Brownsville!W37,Gleason!W37)</f>
        <v>3784950.5182030969</v>
      </c>
      <c r="Y38" s="426">
        <f>W38-X38</f>
        <v>0</v>
      </c>
    </row>
    <row r="39" spans="1:25">
      <c r="A39" s="1"/>
      <c r="B39" s="200"/>
      <c r="C39" s="200"/>
      <c r="D39" s="200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W39" s="476"/>
      <c r="X39" s="44"/>
      <c r="Y39" s="44"/>
    </row>
    <row r="40" spans="1:25">
      <c r="A40" s="3" t="s">
        <v>76</v>
      </c>
      <c r="B40" s="122">
        <f>Debt!B91</f>
        <v>74814.677891854895</v>
      </c>
      <c r="C40" s="122">
        <f>Debt!C91</f>
        <v>73169.513826146489</v>
      </c>
      <c r="D40" s="122">
        <f>Debt!D91</f>
        <v>70963.03276865161</v>
      </c>
      <c r="E40" s="122">
        <f>Debt!E91</f>
        <v>69380.876112251892</v>
      </c>
      <c r="F40" s="122">
        <f>Debt!F91</f>
        <v>67399.895277207397</v>
      </c>
      <c r="G40" s="122">
        <f>Debt!G91</f>
        <v>65071.607118412052</v>
      </c>
      <c r="H40" s="122">
        <f>Debt!H91</f>
        <v>62454.924709103354</v>
      </c>
      <c r="I40" s="122">
        <f>Debt!I91</f>
        <v>59734.004106776185</v>
      </c>
      <c r="J40" s="122">
        <f>Debt!J91</f>
        <v>56316.954825462017</v>
      </c>
      <c r="K40" s="122">
        <f>Debt!K91</f>
        <v>52549.014373716636</v>
      </c>
      <c r="L40" s="122">
        <f>Debt!L91</f>
        <v>48340.533880903487</v>
      </c>
      <c r="M40" s="122">
        <f>Debt!M91</f>
        <v>43426.102669404514</v>
      </c>
      <c r="N40" s="122">
        <f>Debt!N91</f>
        <v>38267.433264887062</v>
      </c>
      <c r="O40" s="122">
        <f>Debt!O91</f>
        <v>33230.88295687885</v>
      </c>
      <c r="P40" s="122">
        <f>Debt!P91</f>
        <v>28130.858316221766</v>
      </c>
      <c r="Q40" s="122">
        <f>Debt!Q91</f>
        <v>22845.240246406574</v>
      </c>
      <c r="R40" s="122">
        <f>Debt!R91</f>
        <v>17238.800821355238</v>
      </c>
      <c r="S40" s="122">
        <f>Debt!S91</f>
        <v>11952.492813141684</v>
      </c>
      <c r="T40" s="122">
        <f>Debt!T91</f>
        <v>7419.597535934292</v>
      </c>
      <c r="U40" s="122">
        <f>Debt!U91</f>
        <v>2897.7412731006161</v>
      </c>
      <c r="W40" s="476">
        <f>SUM(B40:U40)</f>
        <v>905604.18478781648</v>
      </c>
      <c r="X40" s="426">
        <f>SUM(Caledonia!W39,'New Albany'!W39,Wheatland!W39,Wilton!W39,Brownsville!W39,Gleason!W39)</f>
        <v>905604.1847878166</v>
      </c>
      <c r="Y40" s="426">
        <f>W40-X40</f>
        <v>0</v>
      </c>
    </row>
    <row r="41" spans="1:25">
      <c r="A41" s="6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W41" s="476"/>
      <c r="X41" s="44"/>
      <c r="Y41" s="44"/>
    </row>
    <row r="42" spans="1:25">
      <c r="A42" s="1" t="s">
        <v>77</v>
      </c>
      <c r="B42" s="200">
        <f t="shared" ref="B42:U42" si="10">B38-B40</f>
        <v>53649.138369205932</v>
      </c>
      <c r="C42" s="200">
        <f t="shared" si="10"/>
        <v>54656.27828768472</v>
      </c>
      <c r="D42" s="200">
        <f t="shared" si="10"/>
        <v>56295.003029085841</v>
      </c>
      <c r="E42" s="200">
        <f t="shared" si="10"/>
        <v>95014.815526326274</v>
      </c>
      <c r="F42" s="200">
        <f t="shared" si="10"/>
        <v>107470.28761543412</v>
      </c>
      <c r="G42" s="200">
        <f t="shared" si="10"/>
        <v>112913.0744813434</v>
      </c>
      <c r="H42" s="200">
        <f t="shared" si="10"/>
        <v>118753.53213021174</v>
      </c>
      <c r="I42" s="200">
        <f t="shared" si="10"/>
        <v>124804.16369161234</v>
      </c>
      <c r="J42" s="200">
        <f t="shared" si="10"/>
        <v>131726.24425505701</v>
      </c>
      <c r="K42" s="200">
        <f t="shared" si="10"/>
        <v>138147.79461125084</v>
      </c>
      <c r="L42" s="200">
        <f t="shared" si="10"/>
        <v>146867.84776609374</v>
      </c>
      <c r="M42" s="200">
        <f t="shared" si="10"/>
        <v>156561.53350896179</v>
      </c>
      <c r="N42" s="200">
        <f t="shared" si="10"/>
        <v>166072.16079673555</v>
      </c>
      <c r="O42" s="200">
        <f t="shared" si="10"/>
        <v>175628.86295564898</v>
      </c>
      <c r="P42" s="200">
        <f t="shared" si="10"/>
        <v>184829.23894528029</v>
      </c>
      <c r="Q42" s="200">
        <f t="shared" si="10"/>
        <v>194030.98634524006</v>
      </c>
      <c r="R42" s="200">
        <f t="shared" si="10"/>
        <v>202997.07010228559</v>
      </c>
      <c r="S42" s="200">
        <f t="shared" si="10"/>
        <v>211672.05946998508</v>
      </c>
      <c r="T42" s="200">
        <f t="shared" si="10"/>
        <v>219630.99803703642</v>
      </c>
      <c r="U42" s="200">
        <f t="shared" si="10"/>
        <v>227625.24349080064</v>
      </c>
      <c r="W42" s="476">
        <f>SUM(B42:U42)</f>
        <v>2879346.3334152806</v>
      </c>
      <c r="X42" s="426">
        <f>SUM(Caledonia!W41,'New Albany'!W41,Wheatland!W41,Wilton!W41,Brownsville!W41,Gleason!W41)</f>
        <v>2879346.3334152801</v>
      </c>
      <c r="Y42" s="426">
        <f>W42-X42</f>
        <v>0</v>
      </c>
    </row>
    <row r="43" spans="1:25">
      <c r="A43" s="1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W43" s="476"/>
      <c r="X43" s="44"/>
      <c r="Y43" s="44"/>
    </row>
    <row r="44" spans="1:25">
      <c r="A44" s="3" t="s">
        <v>78</v>
      </c>
      <c r="B44" s="122">
        <f>Wheatland!B43+'New Albany'!B43+Wilton!B43+Caledonia!B43+Brownsville!B43+Gleason!B43</f>
        <v>-3046.7302507398194</v>
      </c>
      <c r="C44" s="122">
        <f>Wheatland!C43+'New Albany'!C43+Wilton!C43+Caledonia!C43+Brownsville!C43+Gleason!C43</f>
        <v>-3106.7079393526392</v>
      </c>
      <c r="D44" s="122">
        <f>Wheatland!D43+'New Albany'!D43+Wilton!D43+Caledonia!D43+Brownsville!D43+Gleason!D43</f>
        <v>-3201.9507802934677</v>
      </c>
      <c r="E44" s="122">
        <f>Wheatland!E43+'New Albany'!E43+Wilton!E43+Caledonia!E43+Brownsville!E43+Gleason!E43</f>
        <v>-5418.6250680925459</v>
      </c>
      <c r="F44" s="122">
        <f>Wheatland!F43+'New Albany'!F43+Wilton!F43+Caledonia!F43+Brownsville!F43+Gleason!F43</f>
        <v>-6132.8683796743626</v>
      </c>
      <c r="G44" s="122">
        <f>Wheatland!G43+'New Albany'!G43+Wilton!G43+Caledonia!G43+Brownsville!G43+Gleason!G43</f>
        <v>-6447.4166559219329</v>
      </c>
      <c r="H44" s="122">
        <f>Wheatland!H43+'New Albany'!H43+Wilton!H43+Caledonia!H43+Brownsville!H43+Gleason!H43</f>
        <v>-6785.8030975286674</v>
      </c>
      <c r="I44" s="122">
        <f>Wheatland!I43+'New Albany'!I43+Wilton!I43+Caledonia!I43+Brownsville!I43+Gleason!I43</f>
        <v>-7135.5522483550603</v>
      </c>
      <c r="J44" s="122">
        <f>Wheatland!J43+'New Albany'!J43+Wilton!J43+Caledonia!J43+Brownsville!J43+Gleason!J43</f>
        <v>-7533.8939910449653</v>
      </c>
      <c r="K44" s="122">
        <f>Wheatland!K43+'New Albany'!K43+Wilton!K43+Caledonia!K43+Brownsville!K43+Gleason!K43</f>
        <v>-7909.7826913842982</v>
      </c>
      <c r="L44" s="122">
        <f>Wheatland!L43+'New Albany'!L43+Wilton!L43+Caledonia!L43+Brownsville!L43+Gleason!L43</f>
        <v>-8410.8015930174952</v>
      </c>
      <c r="M44" s="122">
        <f>Wheatland!M43+'New Albany'!M43+Wilton!M43+Caledonia!M43+Brownsville!M43+Gleason!M43</f>
        <v>-8965.506497867671</v>
      </c>
      <c r="N44" s="122">
        <f>Wheatland!N43+'New Albany'!N43+Wilton!N43+Caledonia!N43+Brownsville!N43+Gleason!N43</f>
        <v>-9509.9292674931094</v>
      </c>
      <c r="O44" s="122">
        <f>Wheatland!O43+'New Albany'!O43+Wilton!O43+Caledonia!O43+Brownsville!O43+Gleason!O43</f>
        <v>-10059.934169743225</v>
      </c>
      <c r="P44" s="122">
        <f>Wheatland!P43+'New Albany'!P43+Wilton!P43+Caledonia!P43+Brownsville!P43+Gleason!P43</f>
        <v>-10588.289652181978</v>
      </c>
      <c r="Q44" s="122">
        <f>Wheatland!Q43+'New Albany'!Q43+Wilton!Q43+Caledonia!Q43+Brownsville!Q43+Gleason!Q43</f>
        <v>-11120.243758132305</v>
      </c>
      <c r="R44" s="122">
        <f>Wheatland!R43+'New Albany'!R43+Wilton!R43+Caledonia!R43+Brownsville!R43+Gleason!R43</f>
        <v>-11637.290197709195</v>
      </c>
      <c r="S44" s="122">
        <f>Wheatland!S43+'New Albany'!S43+Wilton!S43+Caledonia!S43+Brownsville!S43+Gleason!S43</f>
        <v>-12137.750055947616</v>
      </c>
      <c r="T44" s="122">
        <f>Wheatland!T43+'New Albany'!T43+Wilton!T43+Caledonia!T43+Brownsville!T43+Gleason!T43</f>
        <v>-12597.254109581387</v>
      </c>
      <c r="U44" s="122">
        <f>Wheatland!U43+'New Albany'!U43+Wilton!U43+Caledonia!U43+Brownsville!U43+Gleason!U43</f>
        <v>-13058.922896414733</v>
      </c>
      <c r="W44" s="476">
        <f>SUM(B44:U44)</f>
        <v>-164805.25330047644</v>
      </c>
      <c r="X44" s="426">
        <f>SUM(Caledonia!W43,'New Albany'!W43,Wheatland!W43,Wilton!W43,Brownsville!W43,Gleason!W43)</f>
        <v>-164805.2533004765</v>
      </c>
      <c r="Y44" s="426">
        <f>W44-X44</f>
        <v>0</v>
      </c>
    </row>
    <row r="45" spans="1:25">
      <c r="A45" s="3" t="s">
        <v>79</v>
      </c>
      <c r="B45" s="122">
        <f>Wheatland!B44+'New Albany'!B44+Wilton!B44+Caledonia!B44+Brownsville!B44+Gleason!B44</f>
        <v>-17710.842841463142</v>
      </c>
      <c r="C45" s="122">
        <f>Wheatland!C44+'New Albany'!C44+Wilton!C44+Caledonia!C44+Brownsville!C44+Gleason!C44</f>
        <v>-18042.349621916237</v>
      </c>
      <c r="D45" s="122">
        <f>Wheatland!D44+'New Albany'!D44+Wilton!D44+Caledonia!D44+Brownsville!D44+Gleason!D44</f>
        <v>-18582.56828707732</v>
      </c>
      <c r="E45" s="122">
        <f>Wheatland!E44+'New Albany'!E44+Wilton!E44+Caledonia!E44+Brownsville!E44+Gleason!E44</f>
        <v>-31358.666660381808</v>
      </c>
      <c r="F45" s="122">
        <f>Wheatland!F44+'New Albany'!F44+Wilton!F44+Caledonia!F44+Brownsville!F44+Gleason!F44</f>
        <v>-35468.096732515914</v>
      </c>
      <c r="G45" s="122">
        <f>Wheatland!G44+'New Albany'!G44+Wilton!G44+Caledonia!G44+Brownsville!G44+Gleason!G44</f>
        <v>-37262.980238897493</v>
      </c>
      <c r="H45" s="122">
        <f>Wheatland!H44+'New Albany'!H44+Wilton!H44+Caledonia!H44+Brownsville!H44+Gleason!H44</f>
        <v>-39188.70516143908</v>
      </c>
      <c r="I45" s="122">
        <f>Wheatland!I44+'New Albany'!I44+Wilton!I44+Caledonia!I44+Brownsville!I44+Gleason!I44</f>
        <v>-41184.014005140038</v>
      </c>
      <c r="J45" s="122">
        <f>Wheatland!J44+'New Albany'!J44+Wilton!J44+Caledonia!J44+Brownsville!J44+Gleason!J44</f>
        <v>-43467.322592404213</v>
      </c>
      <c r="K45" s="122">
        <f>Wheatland!K44+'New Albany'!K44+Wilton!K44+Caledonia!K44+Brownsville!K44+Gleason!K44</f>
        <v>-45583.304171953278</v>
      </c>
      <c r="L45" s="122">
        <f>Wheatland!L44+'New Albany'!L44+Wilton!L44+Caledonia!L44+Brownsville!L44+Gleason!L44</f>
        <v>-48459.966160576681</v>
      </c>
      <c r="M45" s="122">
        <f>Wheatland!M44+'New Albany'!M44+Wilton!M44+Caledonia!M44+Brownsville!M44+Gleason!M44</f>
        <v>-51658.609453882949</v>
      </c>
      <c r="N45" s="122">
        <f>Wheatland!N44+'New Albany'!N44+Wilton!N44+Caledonia!N44+Brownsville!N44+Gleason!N44</f>
        <v>-54796.781035234824</v>
      </c>
      <c r="O45" s="122">
        <f>Wheatland!O44+'New Albany'!O44+Wilton!O44+Caledonia!O44+Brownsville!O44+Gleason!O44</f>
        <v>-57949.125075067001</v>
      </c>
      <c r="P45" s="122">
        <f>Wheatland!P44+'New Albany'!P44+Wilton!P44+Caledonia!P44+Brownsville!P44+Gleason!P44</f>
        <v>-60984.332252584412</v>
      </c>
      <c r="Q45" s="122">
        <f>Wheatland!Q44+'New Albany'!Q44+Wilton!Q44+Caledonia!Q44+Brownsville!Q44+Gleason!Q44</f>
        <v>-64018.759905487699</v>
      </c>
      <c r="R45" s="122">
        <f>Wheatland!R44+'New Albany'!R44+Wilton!R44+Caledonia!R44+Brownsville!R44+Gleason!R44</f>
        <v>-66975.922966601735</v>
      </c>
      <c r="S45" s="122">
        <f>Wheatland!S44+'New Albany'!S44+Wilton!S44+Caledonia!S44+Brownsville!S44+Gleason!S44</f>
        <v>-69837.008294913088</v>
      </c>
      <c r="T45" s="122">
        <f>Wheatland!T44+'New Albany'!T44+Wilton!T44+Caledonia!T44+Brownsville!T44+Gleason!T44</f>
        <v>-72461.810374609282</v>
      </c>
      <c r="U45" s="122">
        <f>Wheatland!U44+'New Albany'!U44+Wilton!U44+Caledonia!U44+Brownsville!U44+Gleason!U44</f>
        <v>-75098.212208035038</v>
      </c>
      <c r="W45" s="476">
        <f>SUM(B45:U45)</f>
        <v>-950089.37804018136</v>
      </c>
      <c r="X45" s="426">
        <f>SUM(Caledonia!W44,'New Albany'!W44,Wheatland!W44,Wilton!W44,Brownsville!W44,Gleason!W44)</f>
        <v>-950089.37804018136</v>
      </c>
      <c r="Y45" s="426">
        <f>W45-X45</f>
        <v>0</v>
      </c>
    </row>
    <row r="46" spans="1:25">
      <c r="A46" s="6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W46" s="476"/>
      <c r="X46" s="44"/>
      <c r="Y46" s="44"/>
    </row>
    <row r="47" spans="1:25" ht="15.75">
      <c r="A47" s="45" t="s">
        <v>80</v>
      </c>
      <c r="B47" s="395">
        <f>B42+B44+B45</f>
        <v>32891.56527700297</v>
      </c>
      <c r="C47" s="395">
        <f>C42+C44+C45</f>
        <v>33507.22072641585</v>
      </c>
      <c r="D47" s="395">
        <f t="shared" ref="D47:U47" si="11">D42+D44+D45</f>
        <v>34510.483961715057</v>
      </c>
      <c r="E47" s="395">
        <f t="shared" si="11"/>
        <v>58237.523797851922</v>
      </c>
      <c r="F47" s="395">
        <f t="shared" si="11"/>
        <v>65869.322503243849</v>
      </c>
      <c r="G47" s="395">
        <f t="shared" si="11"/>
        <v>69202.677586523976</v>
      </c>
      <c r="H47" s="395">
        <f t="shared" si="11"/>
        <v>72779.02387124399</v>
      </c>
      <c r="I47" s="395">
        <f t="shared" si="11"/>
        <v>76484.597438117242</v>
      </c>
      <c r="J47" s="395">
        <f t="shared" si="11"/>
        <v>80725.027671607822</v>
      </c>
      <c r="K47" s="395">
        <f t="shared" si="11"/>
        <v>84654.707747913257</v>
      </c>
      <c r="L47" s="395">
        <f t="shared" si="11"/>
        <v>89997.080012499559</v>
      </c>
      <c r="M47" s="395">
        <f t="shared" si="11"/>
        <v>95937.417557211171</v>
      </c>
      <c r="N47" s="395">
        <f t="shared" si="11"/>
        <v>101765.45049400761</v>
      </c>
      <c r="O47" s="395">
        <f t="shared" si="11"/>
        <v>107619.80371083877</v>
      </c>
      <c r="P47" s="395">
        <f t="shared" si="11"/>
        <v>113256.61704051388</v>
      </c>
      <c r="Q47" s="395">
        <f t="shared" si="11"/>
        <v>118891.98268162005</v>
      </c>
      <c r="R47" s="395">
        <f t="shared" si="11"/>
        <v>124383.85693797466</v>
      </c>
      <c r="S47" s="395">
        <f t="shared" si="11"/>
        <v>129697.30111912439</v>
      </c>
      <c r="T47" s="395">
        <f t="shared" si="11"/>
        <v>134571.93355284576</v>
      </c>
      <c r="U47" s="395">
        <f t="shared" si="11"/>
        <v>139468.10838635085</v>
      </c>
      <c r="W47" s="476">
        <f>SUM(B47:U47)</f>
        <v>1764451.7020746225</v>
      </c>
      <c r="X47" s="426">
        <f>SUM(Caledonia!W46,'New Albany'!W46,Wheatland!W46,Wilton!W46,Brownsville!W46,Gleason!W46)</f>
        <v>1764451.7020746223</v>
      </c>
      <c r="Y47" s="426">
        <f>W47-X47</f>
        <v>0</v>
      </c>
    </row>
    <row r="49" spans="2:21"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</row>
    <row r="50" spans="2:21"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</row>
  </sheetData>
  <pageMargins left="0.18" right="0.17" top="0.37" bottom="0.4" header="0.17" footer="0.21"/>
  <pageSetup scale="48" orientation="landscape" r:id="rId1"/>
  <headerFooter alignWithMargins="0">
    <oddHeader>&amp;L&amp;12Enron's Generation</oddHeader>
    <oddFooter>&amp;L&amp;T, &amp;D&amp;C&amp;F&amp;RPage &amp;P</oddFooter>
  </headerFooter>
  <colBreaks count="1" manualBreakCount="1">
    <brk id="11" min="1" max="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D113"/>
  <sheetViews>
    <sheetView zoomScale="75" zoomScaleNormal="75" workbookViewId="0"/>
  </sheetViews>
  <sheetFormatPr defaultRowHeight="12.75"/>
  <cols>
    <col min="1" max="1" width="36.28515625" style="16" bestFit="1" customWidth="1"/>
    <col min="2" max="24" width="14.5703125" style="16" customWidth="1"/>
    <col min="25" max="29" width="14.42578125" style="16" customWidth="1"/>
    <col min="30" max="16384" width="9.140625" style="16"/>
  </cols>
  <sheetData>
    <row r="1" spans="1:27">
      <c r="A1" s="35"/>
      <c r="C1" s="54"/>
      <c r="D1" s="48"/>
      <c r="E1" s="48"/>
      <c r="F1" s="162"/>
      <c r="G1" s="6"/>
      <c r="H1" s="6"/>
      <c r="I1" s="2"/>
      <c r="J1" s="2"/>
      <c r="K1" s="2"/>
      <c r="L1" s="162"/>
      <c r="M1" s="6"/>
      <c r="N1" s="6"/>
      <c r="O1" s="2"/>
      <c r="P1" s="2"/>
      <c r="Q1" s="2"/>
      <c r="R1" s="162"/>
      <c r="S1" s="6"/>
      <c r="T1" s="6"/>
      <c r="U1" s="6"/>
    </row>
    <row r="2" spans="1:27" ht="18.75">
      <c r="A2" s="52" t="s">
        <v>135</v>
      </c>
      <c r="B2" s="356"/>
      <c r="C2" s="54"/>
      <c r="D2" s="48"/>
      <c r="E2" s="48"/>
      <c r="F2" s="162"/>
      <c r="I2" s="54"/>
      <c r="J2" s="54"/>
      <c r="K2" s="54"/>
      <c r="L2" s="162"/>
      <c r="O2" s="54"/>
      <c r="P2" s="54"/>
      <c r="Q2" s="54"/>
      <c r="R2" s="162"/>
      <c r="AA2" s="19"/>
    </row>
    <row r="3" spans="1:27" s="17" customFormat="1">
      <c r="P3" s="250"/>
      <c r="Q3" s="250"/>
      <c r="R3" s="250"/>
      <c r="S3" s="250"/>
      <c r="T3" s="250"/>
      <c r="U3" s="250"/>
    </row>
    <row r="4" spans="1:27" s="251" customFormat="1" ht="13.5">
      <c r="A4" s="37"/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</row>
    <row r="5" spans="1:27" ht="13.5" thickBot="1">
      <c r="A5" s="197" t="s">
        <v>65</v>
      </c>
      <c r="B5" s="325">
        <v>2001</v>
      </c>
      <c r="C5" s="325">
        <f>B5+1</f>
        <v>2002</v>
      </c>
      <c r="D5" s="325">
        <f t="shared" ref="D5:U5" si="0">C5+1</f>
        <v>2003</v>
      </c>
      <c r="E5" s="325">
        <f t="shared" si="0"/>
        <v>2004</v>
      </c>
      <c r="F5" s="325">
        <f t="shared" si="0"/>
        <v>2005</v>
      </c>
      <c r="G5" s="325">
        <f t="shared" si="0"/>
        <v>2006</v>
      </c>
      <c r="H5" s="325">
        <f t="shared" si="0"/>
        <v>2007</v>
      </c>
      <c r="I5" s="325">
        <f t="shared" si="0"/>
        <v>2008</v>
      </c>
      <c r="J5" s="325">
        <f t="shared" si="0"/>
        <v>2009</v>
      </c>
      <c r="K5" s="325">
        <f t="shared" si="0"/>
        <v>2010</v>
      </c>
      <c r="L5" s="325">
        <f t="shared" si="0"/>
        <v>2011</v>
      </c>
      <c r="M5" s="325">
        <f t="shared" si="0"/>
        <v>2012</v>
      </c>
      <c r="N5" s="325">
        <f t="shared" si="0"/>
        <v>2013</v>
      </c>
      <c r="O5" s="325">
        <f t="shared" si="0"/>
        <v>2014</v>
      </c>
      <c r="P5" s="325">
        <f t="shared" si="0"/>
        <v>2015</v>
      </c>
      <c r="Q5" s="325">
        <f t="shared" si="0"/>
        <v>2016</v>
      </c>
      <c r="R5" s="325">
        <f t="shared" si="0"/>
        <v>2017</v>
      </c>
      <c r="S5" s="325">
        <f t="shared" si="0"/>
        <v>2018</v>
      </c>
      <c r="T5" s="325">
        <f t="shared" si="0"/>
        <v>2019</v>
      </c>
      <c r="U5" s="325">
        <f t="shared" si="0"/>
        <v>2020</v>
      </c>
    </row>
    <row r="6" spans="1:27" s="42" customFormat="1">
      <c r="A6" s="326"/>
      <c r="B6" s="327">
        <v>37256</v>
      </c>
      <c r="C6" s="327">
        <v>37621</v>
      </c>
      <c r="D6" s="327">
        <v>37986</v>
      </c>
      <c r="E6" s="327">
        <v>38352</v>
      </c>
      <c r="F6" s="327">
        <v>38717</v>
      </c>
      <c r="G6" s="327">
        <v>39082</v>
      </c>
      <c r="H6" s="327">
        <v>39447</v>
      </c>
      <c r="I6" s="327">
        <v>39813</v>
      </c>
      <c r="J6" s="327">
        <v>40178</v>
      </c>
      <c r="K6" s="327">
        <v>40543</v>
      </c>
      <c r="L6" s="327">
        <v>40908</v>
      </c>
      <c r="M6" s="327">
        <v>41274</v>
      </c>
      <c r="N6" s="327">
        <v>41639</v>
      </c>
      <c r="O6" s="327">
        <v>42004</v>
      </c>
      <c r="P6" s="327">
        <v>42369</v>
      </c>
      <c r="Q6" s="327">
        <v>42735</v>
      </c>
      <c r="R6" s="327">
        <v>43100</v>
      </c>
      <c r="S6" s="327">
        <v>43465</v>
      </c>
      <c r="T6" s="327">
        <v>43830</v>
      </c>
      <c r="U6" s="327">
        <v>44196</v>
      </c>
    </row>
    <row r="7" spans="1:27">
      <c r="R7" s="17"/>
      <c r="S7" s="17"/>
      <c r="T7" s="17"/>
      <c r="U7" s="17"/>
    </row>
    <row r="8" spans="1:27">
      <c r="A8" s="15" t="s">
        <v>293</v>
      </c>
      <c r="B8" s="122">
        <f>IS!B34-IS!B13</f>
        <v>121915.63814715878</v>
      </c>
      <c r="C8" s="122">
        <f>IS!C34-IS!C13</f>
        <v>121277.61399992916</v>
      </c>
      <c r="D8" s="122">
        <f>IS!D34-IS!D13</f>
        <v>120709.85768383541</v>
      </c>
      <c r="E8" s="122">
        <f>IS!E34</f>
        <v>207931.72575500078</v>
      </c>
      <c r="F8" s="122">
        <f>IS!F34</f>
        <v>218406.21700906413</v>
      </c>
      <c r="G8" s="122">
        <f>IS!G34</f>
        <v>221520.71571617806</v>
      </c>
      <c r="H8" s="122">
        <f>IS!H34</f>
        <v>224744.49095573771</v>
      </c>
      <c r="I8" s="122">
        <f>IS!I34</f>
        <v>228074.20191481113</v>
      </c>
      <c r="J8" s="122">
        <f>IS!J34</f>
        <v>231579.23319694164</v>
      </c>
      <c r="K8" s="122">
        <f>IS!K34</f>
        <v>234232.84310139008</v>
      </c>
      <c r="L8" s="122">
        <f>IS!L34</f>
        <v>238744.41576341985</v>
      </c>
      <c r="M8" s="122">
        <f>IS!M34</f>
        <v>243523.6702947889</v>
      </c>
      <c r="N8" s="122">
        <f>IS!N34</f>
        <v>247875.62817804521</v>
      </c>
      <c r="O8" s="122">
        <f>IS!O34</f>
        <v>252395.78002895042</v>
      </c>
      <c r="P8" s="122">
        <f>IS!P34</f>
        <v>256496.13137792467</v>
      </c>
      <c r="Q8" s="122">
        <f>IS!Q34</f>
        <v>260412.26070806925</v>
      </c>
      <c r="R8" s="122">
        <f>IS!R34</f>
        <v>263771.90504006343</v>
      </c>
      <c r="S8" s="122">
        <f>IS!S34</f>
        <v>267160.58639954939</v>
      </c>
      <c r="T8" s="122">
        <f>IS!T34</f>
        <v>270586.62968939333</v>
      </c>
      <c r="U8" s="122">
        <f>IS!U34</f>
        <v>274059.01888032386</v>
      </c>
    </row>
    <row r="9" spans="1:27">
      <c r="B9" s="6"/>
      <c r="C9" s="34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7">
      <c r="A10" s="39" t="s">
        <v>20</v>
      </c>
      <c r="B10" s="6"/>
      <c r="C10" s="34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7" ht="13.5">
      <c r="B11" s="330">
        <f>'Summary Output'!$B$20</f>
        <v>36892</v>
      </c>
      <c r="C11" s="330">
        <v>37257</v>
      </c>
      <c r="D11" s="330">
        <v>37622</v>
      </c>
      <c r="E11" s="330">
        <v>37987</v>
      </c>
      <c r="F11" s="330">
        <v>38353</v>
      </c>
      <c r="G11" s="330">
        <v>38718</v>
      </c>
      <c r="H11" s="330">
        <v>39083</v>
      </c>
      <c r="I11" s="330">
        <v>39448</v>
      </c>
      <c r="J11" s="330">
        <v>39814</v>
      </c>
      <c r="K11" s="330">
        <v>40179</v>
      </c>
      <c r="L11" s="330">
        <v>40544</v>
      </c>
      <c r="M11" s="330">
        <v>40909</v>
      </c>
      <c r="N11" s="330">
        <v>41275</v>
      </c>
      <c r="O11" s="330">
        <v>41640</v>
      </c>
      <c r="P11" s="330">
        <v>42005</v>
      </c>
      <c r="Q11" s="330">
        <v>42370</v>
      </c>
      <c r="R11" s="330">
        <v>42736</v>
      </c>
      <c r="S11" s="330">
        <v>43101</v>
      </c>
      <c r="T11" s="330">
        <v>43466</v>
      </c>
      <c r="U11" s="330">
        <v>43831</v>
      </c>
      <c r="W11" s="418" t="s">
        <v>182</v>
      </c>
      <c r="X11" s="418" t="s">
        <v>181</v>
      </c>
    </row>
    <row r="12" spans="1:27">
      <c r="A12" s="40" t="s">
        <v>87</v>
      </c>
      <c r="B12" s="56">
        <v>0</v>
      </c>
      <c r="C12" s="56">
        <f t="shared" ref="C12:U12" si="1">B28</f>
        <v>44850</v>
      </c>
      <c r="D12" s="56">
        <f t="shared" si="1"/>
        <v>23237.5</v>
      </c>
      <c r="E12" s="56">
        <f t="shared" si="1"/>
        <v>0</v>
      </c>
      <c r="F12" s="56">
        <f t="shared" si="1"/>
        <v>0</v>
      </c>
      <c r="G12" s="56">
        <f t="shared" si="1"/>
        <v>0</v>
      </c>
      <c r="H12" s="56">
        <f t="shared" si="1"/>
        <v>0</v>
      </c>
      <c r="I12" s="56">
        <f t="shared" si="1"/>
        <v>0</v>
      </c>
      <c r="J12" s="56">
        <f t="shared" si="1"/>
        <v>0</v>
      </c>
      <c r="K12" s="56">
        <f t="shared" si="1"/>
        <v>0</v>
      </c>
      <c r="L12" s="56">
        <f t="shared" si="1"/>
        <v>0</v>
      </c>
      <c r="M12" s="56">
        <f t="shared" si="1"/>
        <v>0</v>
      </c>
      <c r="N12" s="56">
        <f t="shared" si="1"/>
        <v>0</v>
      </c>
      <c r="O12" s="56">
        <f t="shared" si="1"/>
        <v>0</v>
      </c>
      <c r="P12" s="56">
        <f t="shared" si="1"/>
        <v>0</v>
      </c>
      <c r="Q12" s="56">
        <f t="shared" si="1"/>
        <v>0</v>
      </c>
      <c r="R12" s="56">
        <f t="shared" si="1"/>
        <v>0</v>
      </c>
      <c r="S12" s="56">
        <f t="shared" si="1"/>
        <v>0</v>
      </c>
      <c r="T12" s="56">
        <f t="shared" si="1"/>
        <v>0</v>
      </c>
      <c r="U12" s="56">
        <f t="shared" si="1"/>
        <v>0</v>
      </c>
      <c r="W12" s="419"/>
      <c r="X12" s="419"/>
    </row>
    <row r="13" spans="1:27">
      <c r="A13" s="40" t="s">
        <v>89</v>
      </c>
      <c r="B13" s="362">
        <v>0</v>
      </c>
      <c r="C13" s="152">
        <f t="shared" ref="C13:U13" si="2">C12*$E$97*(C11-B23)/365.25</f>
        <v>11.112731006160164</v>
      </c>
      <c r="D13" s="152">
        <f t="shared" si="2"/>
        <v>5.7576830937713899</v>
      </c>
      <c r="E13" s="152">
        <f t="shared" si="2"/>
        <v>0</v>
      </c>
      <c r="F13" s="152">
        <f t="shared" si="2"/>
        <v>0</v>
      </c>
      <c r="G13" s="152">
        <f t="shared" si="2"/>
        <v>0</v>
      </c>
      <c r="H13" s="152">
        <f t="shared" si="2"/>
        <v>0</v>
      </c>
      <c r="I13" s="152">
        <f t="shared" si="2"/>
        <v>0</v>
      </c>
      <c r="J13" s="152">
        <f t="shared" si="2"/>
        <v>0</v>
      </c>
      <c r="K13" s="152">
        <f t="shared" si="2"/>
        <v>0</v>
      </c>
      <c r="L13" s="152">
        <f t="shared" si="2"/>
        <v>0</v>
      </c>
      <c r="M13" s="152">
        <f t="shared" si="2"/>
        <v>0</v>
      </c>
      <c r="N13" s="152">
        <f t="shared" si="2"/>
        <v>0</v>
      </c>
      <c r="O13" s="152">
        <f t="shared" si="2"/>
        <v>0</v>
      </c>
      <c r="P13" s="152">
        <f t="shared" si="2"/>
        <v>0</v>
      </c>
      <c r="Q13" s="152">
        <f t="shared" si="2"/>
        <v>0</v>
      </c>
      <c r="R13" s="152">
        <f t="shared" si="2"/>
        <v>0</v>
      </c>
      <c r="S13" s="152">
        <f t="shared" si="2"/>
        <v>0</v>
      </c>
      <c r="T13" s="152">
        <f t="shared" si="2"/>
        <v>0</v>
      </c>
      <c r="U13" s="152">
        <f t="shared" si="2"/>
        <v>0</v>
      </c>
      <c r="W13" s="419"/>
      <c r="X13" s="419"/>
    </row>
    <row r="14" spans="1:27" ht="13.5">
      <c r="A14" s="40" t="s">
        <v>90</v>
      </c>
      <c r="B14" s="120">
        <f>'Summary Output'!B21</f>
        <v>65000</v>
      </c>
      <c r="C14" s="59">
        <f>C12</f>
        <v>44850</v>
      </c>
      <c r="D14" s="59">
        <f>D12</f>
        <v>23237.5</v>
      </c>
      <c r="E14" s="59">
        <f>E12</f>
        <v>0</v>
      </c>
      <c r="F14" s="59">
        <f>F12</f>
        <v>0</v>
      </c>
      <c r="G14" s="59">
        <f>G12</f>
        <v>0</v>
      </c>
      <c r="H14" s="59">
        <f t="shared" ref="H14:U14" si="3">H12</f>
        <v>0</v>
      </c>
      <c r="I14" s="59">
        <f t="shared" si="3"/>
        <v>0</v>
      </c>
      <c r="J14" s="59">
        <f t="shared" si="3"/>
        <v>0</v>
      </c>
      <c r="K14" s="59">
        <f t="shared" si="3"/>
        <v>0</v>
      </c>
      <c r="L14" s="59">
        <f t="shared" si="3"/>
        <v>0</v>
      </c>
      <c r="M14" s="59">
        <f t="shared" si="3"/>
        <v>0</v>
      </c>
      <c r="N14" s="59">
        <f t="shared" si="3"/>
        <v>0</v>
      </c>
      <c r="O14" s="59">
        <f t="shared" si="3"/>
        <v>0</v>
      </c>
      <c r="P14" s="59">
        <f t="shared" si="3"/>
        <v>0</v>
      </c>
      <c r="Q14" s="59">
        <f t="shared" si="3"/>
        <v>0</v>
      </c>
      <c r="R14" s="59">
        <f t="shared" si="3"/>
        <v>0</v>
      </c>
      <c r="S14" s="59">
        <f t="shared" si="3"/>
        <v>0</v>
      </c>
      <c r="T14" s="59">
        <f t="shared" si="3"/>
        <v>0</v>
      </c>
      <c r="U14" s="59">
        <f t="shared" si="3"/>
        <v>0</v>
      </c>
      <c r="W14" s="420">
        <f>SUM(B19:U19,B26:U26)</f>
        <v>65000</v>
      </c>
      <c r="X14" s="421">
        <f>B14-W14</f>
        <v>0</v>
      </c>
    </row>
    <row r="15" spans="1:27">
      <c r="B15" s="351"/>
      <c r="C15" s="34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W15" s="419"/>
      <c r="X15" s="419"/>
    </row>
    <row r="16" spans="1:27">
      <c r="A16" s="44"/>
      <c r="B16" s="330">
        <v>37072</v>
      </c>
      <c r="C16" s="330">
        <v>37437</v>
      </c>
      <c r="D16" s="330">
        <v>37802</v>
      </c>
      <c r="E16" s="330">
        <v>38168</v>
      </c>
      <c r="F16" s="330">
        <v>38533</v>
      </c>
      <c r="G16" s="330">
        <v>38898</v>
      </c>
      <c r="H16" s="330">
        <v>39263</v>
      </c>
      <c r="I16" s="330">
        <v>39629</v>
      </c>
      <c r="J16" s="330">
        <v>39994</v>
      </c>
      <c r="K16" s="330">
        <v>40359</v>
      </c>
      <c r="L16" s="330">
        <v>40724</v>
      </c>
      <c r="M16" s="330">
        <v>41090</v>
      </c>
      <c r="N16" s="330">
        <v>41455</v>
      </c>
      <c r="O16" s="330">
        <v>41820</v>
      </c>
      <c r="P16" s="330">
        <v>42185</v>
      </c>
      <c r="Q16" s="330">
        <v>42551</v>
      </c>
      <c r="R16" s="330">
        <v>42916</v>
      </c>
      <c r="S16" s="330">
        <v>43281</v>
      </c>
      <c r="T16" s="330">
        <v>43646</v>
      </c>
      <c r="U16" s="330">
        <v>44012</v>
      </c>
      <c r="W16" s="419"/>
      <c r="X16" s="419"/>
    </row>
    <row r="17" spans="1:25">
      <c r="A17" s="40" t="s">
        <v>87</v>
      </c>
      <c r="B17" s="56">
        <f t="shared" ref="B17:G17" si="4">B14</f>
        <v>65000</v>
      </c>
      <c r="C17" s="56">
        <f t="shared" si="4"/>
        <v>44850</v>
      </c>
      <c r="D17" s="56">
        <f t="shared" si="4"/>
        <v>23237.5</v>
      </c>
      <c r="E17" s="56">
        <f t="shared" si="4"/>
        <v>0</v>
      </c>
      <c r="F17" s="56">
        <f t="shared" si="4"/>
        <v>0</v>
      </c>
      <c r="G17" s="56">
        <f t="shared" si="4"/>
        <v>0</v>
      </c>
      <c r="H17" s="56">
        <f t="shared" ref="H17:U17" si="5">H14</f>
        <v>0</v>
      </c>
      <c r="I17" s="56">
        <f t="shared" si="5"/>
        <v>0</v>
      </c>
      <c r="J17" s="56">
        <f t="shared" si="5"/>
        <v>0</v>
      </c>
      <c r="K17" s="56">
        <f t="shared" si="5"/>
        <v>0</v>
      </c>
      <c r="L17" s="56">
        <f t="shared" si="5"/>
        <v>0</v>
      </c>
      <c r="M17" s="56">
        <f t="shared" si="5"/>
        <v>0</v>
      </c>
      <c r="N17" s="56">
        <f t="shared" si="5"/>
        <v>0</v>
      </c>
      <c r="O17" s="56">
        <f t="shared" si="5"/>
        <v>0</v>
      </c>
      <c r="P17" s="56">
        <f t="shared" si="5"/>
        <v>0</v>
      </c>
      <c r="Q17" s="56">
        <f t="shared" si="5"/>
        <v>0</v>
      </c>
      <c r="R17" s="56">
        <f t="shared" si="5"/>
        <v>0</v>
      </c>
      <c r="S17" s="56">
        <f t="shared" si="5"/>
        <v>0</v>
      </c>
      <c r="T17" s="56">
        <f t="shared" si="5"/>
        <v>0</v>
      </c>
      <c r="U17" s="56">
        <f t="shared" si="5"/>
        <v>0</v>
      </c>
      <c r="W17" s="419"/>
      <c r="X17" s="419"/>
    </row>
    <row r="18" spans="1:25">
      <c r="A18" s="40" t="s">
        <v>279</v>
      </c>
      <c r="B18" s="531">
        <v>0.155</v>
      </c>
      <c r="C18" s="531">
        <v>0.16500000000000001</v>
      </c>
      <c r="D18" s="531">
        <v>0.25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W18" s="419"/>
      <c r="X18" s="419"/>
    </row>
    <row r="19" spans="1:25">
      <c r="A19" s="40" t="s">
        <v>88</v>
      </c>
      <c r="B19" s="56">
        <f>$B$14*B18</f>
        <v>10075</v>
      </c>
      <c r="C19" s="56">
        <f>$B$14*C18</f>
        <v>10725</v>
      </c>
      <c r="D19" s="56">
        <f>$B$14*D18</f>
        <v>16250</v>
      </c>
      <c r="E19" s="56">
        <f t="shared" ref="E19:U19" si="6">$B$14*E18</f>
        <v>0</v>
      </c>
      <c r="F19" s="56">
        <f t="shared" si="6"/>
        <v>0</v>
      </c>
      <c r="G19" s="56">
        <f t="shared" si="6"/>
        <v>0</v>
      </c>
      <c r="H19" s="56">
        <f t="shared" si="6"/>
        <v>0</v>
      </c>
      <c r="I19" s="56">
        <f t="shared" si="6"/>
        <v>0</v>
      </c>
      <c r="J19" s="56">
        <f t="shared" si="6"/>
        <v>0</v>
      </c>
      <c r="K19" s="56">
        <f t="shared" si="6"/>
        <v>0</v>
      </c>
      <c r="L19" s="56">
        <f t="shared" si="6"/>
        <v>0</v>
      </c>
      <c r="M19" s="56">
        <f t="shared" si="6"/>
        <v>0</v>
      </c>
      <c r="N19" s="56">
        <f t="shared" si="6"/>
        <v>0</v>
      </c>
      <c r="O19" s="56">
        <f t="shared" si="6"/>
        <v>0</v>
      </c>
      <c r="P19" s="56">
        <f t="shared" si="6"/>
        <v>0</v>
      </c>
      <c r="Q19" s="56">
        <f t="shared" si="6"/>
        <v>0</v>
      </c>
      <c r="R19" s="56">
        <f t="shared" si="6"/>
        <v>0</v>
      </c>
      <c r="S19" s="56">
        <f t="shared" si="6"/>
        <v>0</v>
      </c>
      <c r="T19" s="56">
        <f t="shared" si="6"/>
        <v>0</v>
      </c>
      <c r="U19" s="56">
        <f t="shared" si="6"/>
        <v>0</v>
      </c>
      <c r="V19" s="6"/>
      <c r="W19" s="422"/>
      <c r="X19" s="422"/>
      <c r="Y19" s="6"/>
    </row>
    <row r="20" spans="1:25">
      <c r="A20" s="40" t="s">
        <v>89</v>
      </c>
      <c r="B20" s="152">
        <f t="shared" ref="B20:G20" si="7">B17*$E$97*(B16-B11)/365.25</f>
        <v>2898.9733059548253</v>
      </c>
      <c r="C20" s="152">
        <f t="shared" si="7"/>
        <v>2000.2915811088296</v>
      </c>
      <c r="D20" s="152">
        <f t="shared" si="7"/>
        <v>1036.3829568788501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ref="H20:U20" si="8">H17*$E$97*(H16-H11)/365.25</f>
        <v>0</v>
      </c>
      <c r="I20" s="152">
        <f t="shared" si="8"/>
        <v>0</v>
      </c>
      <c r="J20" s="152">
        <f t="shared" si="8"/>
        <v>0</v>
      </c>
      <c r="K20" s="152">
        <f t="shared" si="8"/>
        <v>0</v>
      </c>
      <c r="L20" s="152">
        <f t="shared" si="8"/>
        <v>0</v>
      </c>
      <c r="M20" s="152">
        <f t="shared" si="8"/>
        <v>0</v>
      </c>
      <c r="N20" s="152">
        <f t="shared" si="8"/>
        <v>0</v>
      </c>
      <c r="O20" s="152">
        <f t="shared" si="8"/>
        <v>0</v>
      </c>
      <c r="P20" s="152">
        <f t="shared" si="8"/>
        <v>0</v>
      </c>
      <c r="Q20" s="152">
        <f t="shared" si="8"/>
        <v>0</v>
      </c>
      <c r="R20" s="152">
        <f t="shared" si="8"/>
        <v>0</v>
      </c>
      <c r="S20" s="152">
        <f t="shared" si="8"/>
        <v>0</v>
      </c>
      <c r="T20" s="152">
        <f t="shared" si="8"/>
        <v>0</v>
      </c>
      <c r="U20" s="152">
        <f t="shared" si="8"/>
        <v>0</v>
      </c>
      <c r="V20" s="6"/>
      <c r="W20" s="422"/>
      <c r="X20" s="422"/>
      <c r="Y20" s="6"/>
    </row>
    <row r="21" spans="1:25">
      <c r="A21" s="40" t="s">
        <v>90</v>
      </c>
      <c r="B21" s="59">
        <f>B17-B19</f>
        <v>54925</v>
      </c>
      <c r="C21" s="59">
        <f t="shared" ref="C21:U21" si="9">C17-C19</f>
        <v>34125</v>
      </c>
      <c r="D21" s="59">
        <f t="shared" si="9"/>
        <v>6987.5</v>
      </c>
      <c r="E21" s="59">
        <f t="shared" si="9"/>
        <v>0</v>
      </c>
      <c r="F21" s="59">
        <f t="shared" si="9"/>
        <v>0</v>
      </c>
      <c r="G21" s="59">
        <f t="shared" si="9"/>
        <v>0</v>
      </c>
      <c r="H21" s="59">
        <f t="shared" si="9"/>
        <v>0</v>
      </c>
      <c r="I21" s="59">
        <f t="shared" si="9"/>
        <v>0</v>
      </c>
      <c r="J21" s="59">
        <f t="shared" si="9"/>
        <v>0</v>
      </c>
      <c r="K21" s="59">
        <f t="shared" si="9"/>
        <v>0</v>
      </c>
      <c r="L21" s="59">
        <f t="shared" si="9"/>
        <v>0</v>
      </c>
      <c r="M21" s="59">
        <f t="shared" si="9"/>
        <v>0</v>
      </c>
      <c r="N21" s="59">
        <f t="shared" si="9"/>
        <v>0</v>
      </c>
      <c r="O21" s="59">
        <f t="shared" si="9"/>
        <v>0</v>
      </c>
      <c r="P21" s="59">
        <f t="shared" si="9"/>
        <v>0</v>
      </c>
      <c r="Q21" s="59">
        <f t="shared" si="9"/>
        <v>0</v>
      </c>
      <c r="R21" s="59">
        <f t="shared" si="9"/>
        <v>0</v>
      </c>
      <c r="S21" s="59">
        <f t="shared" si="9"/>
        <v>0</v>
      </c>
      <c r="T21" s="59">
        <f t="shared" si="9"/>
        <v>0</v>
      </c>
      <c r="U21" s="59">
        <f t="shared" si="9"/>
        <v>0</v>
      </c>
      <c r="V21" s="6"/>
      <c r="W21" s="422"/>
      <c r="X21" s="422"/>
      <c r="Y21" s="6"/>
    </row>
    <row r="22" spans="1:25">
      <c r="A22" s="40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6"/>
      <c r="W22" s="422"/>
      <c r="X22" s="422"/>
      <c r="Y22" s="6"/>
    </row>
    <row r="23" spans="1:25">
      <c r="A23" s="44"/>
      <c r="B23" s="330">
        <v>37256</v>
      </c>
      <c r="C23" s="330">
        <v>37621</v>
      </c>
      <c r="D23" s="330">
        <v>37986</v>
      </c>
      <c r="E23" s="330">
        <v>38352</v>
      </c>
      <c r="F23" s="330">
        <v>38717</v>
      </c>
      <c r="G23" s="330">
        <v>39082</v>
      </c>
      <c r="H23" s="330">
        <v>39447</v>
      </c>
      <c r="I23" s="330">
        <v>39813</v>
      </c>
      <c r="J23" s="330">
        <v>40178</v>
      </c>
      <c r="K23" s="330">
        <v>40543</v>
      </c>
      <c r="L23" s="330">
        <v>40908</v>
      </c>
      <c r="M23" s="330">
        <v>41274</v>
      </c>
      <c r="N23" s="330">
        <v>41639</v>
      </c>
      <c r="O23" s="330">
        <v>42004</v>
      </c>
      <c r="P23" s="330">
        <v>42369</v>
      </c>
      <c r="Q23" s="330">
        <v>42735</v>
      </c>
      <c r="R23" s="330">
        <v>43100</v>
      </c>
      <c r="S23" s="330">
        <v>43465</v>
      </c>
      <c r="T23" s="330">
        <v>43830</v>
      </c>
      <c r="U23" s="330">
        <v>44196</v>
      </c>
      <c r="V23" s="6"/>
      <c r="W23" s="422"/>
      <c r="X23" s="422"/>
      <c r="Y23" s="6"/>
    </row>
    <row r="24" spans="1:25">
      <c r="A24" s="40" t="s">
        <v>87</v>
      </c>
      <c r="B24" s="56">
        <f t="shared" ref="B24:G24" si="10">B21</f>
        <v>54925</v>
      </c>
      <c r="C24" s="56">
        <f t="shared" si="10"/>
        <v>34125</v>
      </c>
      <c r="D24" s="56">
        <f t="shared" si="10"/>
        <v>6987.5</v>
      </c>
      <c r="E24" s="56">
        <f t="shared" si="10"/>
        <v>0</v>
      </c>
      <c r="F24" s="56">
        <f t="shared" si="10"/>
        <v>0</v>
      </c>
      <c r="G24" s="56">
        <f t="shared" si="10"/>
        <v>0</v>
      </c>
      <c r="H24" s="56">
        <f t="shared" ref="H24:U24" si="11">H21</f>
        <v>0</v>
      </c>
      <c r="I24" s="56">
        <f t="shared" si="11"/>
        <v>0</v>
      </c>
      <c r="J24" s="56">
        <f t="shared" si="11"/>
        <v>0</v>
      </c>
      <c r="K24" s="56">
        <f t="shared" si="11"/>
        <v>0</v>
      </c>
      <c r="L24" s="56">
        <f t="shared" si="11"/>
        <v>0</v>
      </c>
      <c r="M24" s="56">
        <f t="shared" si="11"/>
        <v>0</v>
      </c>
      <c r="N24" s="56">
        <f t="shared" si="11"/>
        <v>0</v>
      </c>
      <c r="O24" s="56">
        <f t="shared" si="11"/>
        <v>0</v>
      </c>
      <c r="P24" s="56">
        <f t="shared" si="11"/>
        <v>0</v>
      </c>
      <c r="Q24" s="56">
        <f t="shared" si="11"/>
        <v>0</v>
      </c>
      <c r="R24" s="56">
        <f t="shared" si="11"/>
        <v>0</v>
      </c>
      <c r="S24" s="56">
        <f t="shared" si="11"/>
        <v>0</v>
      </c>
      <c r="T24" s="56">
        <f t="shared" si="11"/>
        <v>0</v>
      </c>
      <c r="U24" s="56">
        <f t="shared" si="11"/>
        <v>0</v>
      </c>
      <c r="V24" s="6"/>
      <c r="W24" s="422"/>
      <c r="X24" s="422"/>
      <c r="Y24" s="6"/>
    </row>
    <row r="25" spans="1:25">
      <c r="A25" s="40" t="s">
        <v>279</v>
      </c>
      <c r="B25" s="531">
        <v>0.155</v>
      </c>
      <c r="C25" s="531">
        <v>0.16750000000000001</v>
      </c>
      <c r="D25" s="531">
        <v>0.1075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6"/>
      <c r="W25" s="422"/>
      <c r="X25" s="422"/>
      <c r="Y25" s="6"/>
    </row>
    <row r="26" spans="1:25">
      <c r="A26" s="40" t="s">
        <v>88</v>
      </c>
      <c r="B26" s="56">
        <f>B25*$B$14</f>
        <v>10075</v>
      </c>
      <c r="C26" s="56">
        <f t="shared" ref="C26:U26" si="12">C25*$B$14</f>
        <v>10887.5</v>
      </c>
      <c r="D26" s="56">
        <f t="shared" si="12"/>
        <v>6987.5</v>
      </c>
      <c r="E26" s="56">
        <f t="shared" si="12"/>
        <v>0</v>
      </c>
      <c r="F26" s="56">
        <f t="shared" si="12"/>
        <v>0</v>
      </c>
      <c r="G26" s="56">
        <f t="shared" si="12"/>
        <v>0</v>
      </c>
      <c r="H26" s="56">
        <f t="shared" si="12"/>
        <v>0</v>
      </c>
      <c r="I26" s="56">
        <f t="shared" si="12"/>
        <v>0</v>
      </c>
      <c r="J26" s="56">
        <f t="shared" si="12"/>
        <v>0</v>
      </c>
      <c r="K26" s="56">
        <f t="shared" si="12"/>
        <v>0</v>
      </c>
      <c r="L26" s="56">
        <f t="shared" si="12"/>
        <v>0</v>
      </c>
      <c r="M26" s="56">
        <f t="shared" si="12"/>
        <v>0</v>
      </c>
      <c r="N26" s="56">
        <f t="shared" si="12"/>
        <v>0</v>
      </c>
      <c r="O26" s="56">
        <f t="shared" si="12"/>
        <v>0</v>
      </c>
      <c r="P26" s="56">
        <f t="shared" si="12"/>
        <v>0</v>
      </c>
      <c r="Q26" s="56">
        <f t="shared" si="12"/>
        <v>0</v>
      </c>
      <c r="R26" s="56">
        <f t="shared" si="12"/>
        <v>0</v>
      </c>
      <c r="S26" s="56">
        <f t="shared" si="12"/>
        <v>0</v>
      </c>
      <c r="T26" s="56">
        <f t="shared" si="12"/>
        <v>0</v>
      </c>
      <c r="U26" s="56">
        <f t="shared" si="12"/>
        <v>0</v>
      </c>
      <c r="V26" s="6"/>
      <c r="W26" s="422"/>
      <c r="X26" s="422"/>
      <c r="Y26" s="6"/>
    </row>
    <row r="27" spans="1:25">
      <c r="A27" s="40" t="s">
        <v>89</v>
      </c>
      <c r="B27" s="152">
        <f t="shared" ref="B27:G27" si="13">B24*$E$97*(B23-B16)/365.25</f>
        <v>2504.0687200547568</v>
      </c>
      <c r="C27" s="152">
        <f t="shared" si="13"/>
        <v>1555.7823408624231</v>
      </c>
      <c r="D27" s="152">
        <f t="shared" si="13"/>
        <v>318.56495550992469</v>
      </c>
      <c r="E27" s="152">
        <f t="shared" si="13"/>
        <v>0</v>
      </c>
      <c r="F27" s="152">
        <f t="shared" si="13"/>
        <v>0</v>
      </c>
      <c r="G27" s="152">
        <f t="shared" si="13"/>
        <v>0</v>
      </c>
      <c r="H27" s="152">
        <f t="shared" ref="H27:U27" si="14">H24*$E$97*(H23-H16)/365.25</f>
        <v>0</v>
      </c>
      <c r="I27" s="152">
        <f t="shared" si="14"/>
        <v>0</v>
      </c>
      <c r="J27" s="152">
        <f t="shared" si="14"/>
        <v>0</v>
      </c>
      <c r="K27" s="152">
        <f t="shared" si="14"/>
        <v>0</v>
      </c>
      <c r="L27" s="152">
        <f t="shared" si="14"/>
        <v>0</v>
      </c>
      <c r="M27" s="152">
        <f t="shared" si="14"/>
        <v>0</v>
      </c>
      <c r="N27" s="152">
        <f t="shared" si="14"/>
        <v>0</v>
      </c>
      <c r="O27" s="152">
        <f t="shared" si="14"/>
        <v>0</v>
      </c>
      <c r="P27" s="152">
        <f t="shared" si="14"/>
        <v>0</v>
      </c>
      <c r="Q27" s="152">
        <f t="shared" si="14"/>
        <v>0</v>
      </c>
      <c r="R27" s="152">
        <f t="shared" si="14"/>
        <v>0</v>
      </c>
      <c r="S27" s="152">
        <f t="shared" si="14"/>
        <v>0</v>
      </c>
      <c r="T27" s="152">
        <f t="shared" si="14"/>
        <v>0</v>
      </c>
      <c r="U27" s="152">
        <f t="shared" si="14"/>
        <v>0</v>
      </c>
      <c r="V27" s="6"/>
      <c r="W27" s="422"/>
      <c r="X27" s="422"/>
      <c r="Y27" s="6"/>
    </row>
    <row r="28" spans="1:25">
      <c r="A28" s="40" t="s">
        <v>90</v>
      </c>
      <c r="B28" s="59">
        <f>B24-B26</f>
        <v>44850</v>
      </c>
      <c r="C28" s="59">
        <f t="shared" ref="C28:U28" si="15">C24-C26</f>
        <v>23237.5</v>
      </c>
      <c r="D28" s="59">
        <f t="shared" si="15"/>
        <v>0</v>
      </c>
      <c r="E28" s="59">
        <f t="shared" si="15"/>
        <v>0</v>
      </c>
      <c r="F28" s="59">
        <f t="shared" si="15"/>
        <v>0</v>
      </c>
      <c r="G28" s="59">
        <f t="shared" si="15"/>
        <v>0</v>
      </c>
      <c r="H28" s="59">
        <f t="shared" si="15"/>
        <v>0</v>
      </c>
      <c r="I28" s="59">
        <f t="shared" si="15"/>
        <v>0</v>
      </c>
      <c r="J28" s="59">
        <f t="shared" si="15"/>
        <v>0</v>
      </c>
      <c r="K28" s="59">
        <f t="shared" si="15"/>
        <v>0</v>
      </c>
      <c r="L28" s="59">
        <f t="shared" si="15"/>
        <v>0</v>
      </c>
      <c r="M28" s="59">
        <f t="shared" si="15"/>
        <v>0</v>
      </c>
      <c r="N28" s="59">
        <f t="shared" si="15"/>
        <v>0</v>
      </c>
      <c r="O28" s="59">
        <f t="shared" si="15"/>
        <v>0</v>
      </c>
      <c r="P28" s="59">
        <f t="shared" si="15"/>
        <v>0</v>
      </c>
      <c r="Q28" s="59">
        <f t="shared" si="15"/>
        <v>0</v>
      </c>
      <c r="R28" s="59">
        <f t="shared" si="15"/>
        <v>0</v>
      </c>
      <c r="S28" s="59">
        <f t="shared" si="15"/>
        <v>0</v>
      </c>
      <c r="T28" s="59">
        <f t="shared" si="15"/>
        <v>0</v>
      </c>
      <c r="U28" s="59">
        <f t="shared" si="15"/>
        <v>0</v>
      </c>
      <c r="W28" s="419"/>
      <c r="X28" s="419"/>
    </row>
    <row r="29" spans="1:25">
      <c r="A29" s="40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W29" s="419"/>
      <c r="X29" s="419"/>
    </row>
    <row r="30" spans="1:25">
      <c r="A30" s="39" t="s">
        <v>21</v>
      </c>
      <c r="B30" s="6"/>
      <c r="C30" s="34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419"/>
      <c r="X30" s="419"/>
    </row>
    <row r="31" spans="1:25">
      <c r="B31" s="330">
        <f>'Summary Output'!$B$20</f>
        <v>36892</v>
      </c>
      <c r="C31" s="330">
        <v>37257</v>
      </c>
      <c r="D31" s="330">
        <v>37622</v>
      </c>
      <c r="E31" s="330">
        <v>37987</v>
      </c>
      <c r="F31" s="330">
        <v>38353</v>
      </c>
      <c r="G31" s="330">
        <v>38718</v>
      </c>
      <c r="H31" s="330">
        <v>39083</v>
      </c>
      <c r="I31" s="330">
        <v>39448</v>
      </c>
      <c r="J31" s="330">
        <v>39814</v>
      </c>
      <c r="K31" s="330">
        <v>40179</v>
      </c>
      <c r="L31" s="330">
        <v>40544</v>
      </c>
      <c r="M31" s="330">
        <v>40909</v>
      </c>
      <c r="N31" s="330">
        <v>41275</v>
      </c>
      <c r="O31" s="330">
        <v>41640</v>
      </c>
      <c r="P31" s="330">
        <v>42005</v>
      </c>
      <c r="Q31" s="330">
        <v>42370</v>
      </c>
      <c r="R31" s="330">
        <v>42736</v>
      </c>
      <c r="S31" s="330">
        <v>43101</v>
      </c>
      <c r="T31" s="330">
        <v>43466</v>
      </c>
      <c r="U31" s="330">
        <v>43831</v>
      </c>
      <c r="W31" s="419"/>
      <c r="X31" s="419"/>
    </row>
    <row r="32" spans="1:25">
      <c r="A32" s="40" t="s">
        <v>87</v>
      </c>
      <c r="B32" s="56">
        <v>0</v>
      </c>
      <c r="C32" s="56">
        <f t="shared" ref="C32:U32" si="16">B48</f>
        <v>175000</v>
      </c>
      <c r="D32" s="56">
        <f t="shared" si="16"/>
        <v>175000</v>
      </c>
      <c r="E32" s="56">
        <f t="shared" si="16"/>
        <v>175000</v>
      </c>
      <c r="F32" s="56">
        <f t="shared" si="16"/>
        <v>160125</v>
      </c>
      <c r="G32" s="56">
        <f t="shared" si="16"/>
        <v>139650</v>
      </c>
      <c r="H32" s="56">
        <f t="shared" si="16"/>
        <v>116375</v>
      </c>
      <c r="I32" s="56">
        <f t="shared" si="16"/>
        <v>91000</v>
      </c>
      <c r="J32" s="56">
        <f t="shared" si="16"/>
        <v>62125</v>
      </c>
      <c r="K32" s="56">
        <f t="shared" si="16"/>
        <v>30450</v>
      </c>
      <c r="L32" s="56">
        <f t="shared" si="16"/>
        <v>0</v>
      </c>
      <c r="M32" s="56">
        <f t="shared" si="16"/>
        <v>0</v>
      </c>
      <c r="N32" s="56">
        <f t="shared" si="16"/>
        <v>0</v>
      </c>
      <c r="O32" s="56">
        <f t="shared" si="16"/>
        <v>0</v>
      </c>
      <c r="P32" s="56">
        <f t="shared" si="16"/>
        <v>0</v>
      </c>
      <c r="Q32" s="56">
        <f t="shared" si="16"/>
        <v>0</v>
      </c>
      <c r="R32" s="56">
        <f t="shared" si="16"/>
        <v>0</v>
      </c>
      <c r="S32" s="56">
        <f t="shared" si="16"/>
        <v>0</v>
      </c>
      <c r="T32" s="56">
        <f t="shared" si="16"/>
        <v>0</v>
      </c>
      <c r="U32" s="56">
        <f t="shared" si="16"/>
        <v>0</v>
      </c>
      <c r="W32" s="419"/>
      <c r="X32" s="419"/>
    </row>
    <row r="33" spans="1:25">
      <c r="A33" s="40" t="s">
        <v>89</v>
      </c>
      <c r="B33" s="362">
        <v>0</v>
      </c>
      <c r="C33" s="152">
        <f t="shared" ref="C33:K33" si="17">C32*$J$97*(C31-B43)/365.25</f>
        <v>52.703627652292951</v>
      </c>
      <c r="D33" s="152">
        <f t="shared" si="17"/>
        <v>52.703627652292951</v>
      </c>
      <c r="E33" s="152">
        <f t="shared" si="17"/>
        <v>52.703627652292951</v>
      </c>
      <c r="F33" s="152">
        <f t="shared" si="17"/>
        <v>48.223819301848046</v>
      </c>
      <c r="G33" s="152">
        <f t="shared" si="17"/>
        <v>42.057494866529773</v>
      </c>
      <c r="H33" s="152">
        <f t="shared" si="17"/>
        <v>35.047912388774812</v>
      </c>
      <c r="I33" s="152">
        <f t="shared" si="17"/>
        <v>27.405886379192335</v>
      </c>
      <c r="J33" s="152">
        <f t="shared" si="17"/>
        <v>18.709787816563999</v>
      </c>
      <c r="K33" s="152">
        <f t="shared" si="17"/>
        <v>9.1704312114989737</v>
      </c>
      <c r="L33" s="152">
        <f t="shared" ref="L33:U33" si="18">L32*$J$97*(L31-K43)/365.25</f>
        <v>0</v>
      </c>
      <c r="M33" s="152">
        <f t="shared" si="18"/>
        <v>0</v>
      </c>
      <c r="N33" s="152">
        <f t="shared" si="18"/>
        <v>0</v>
      </c>
      <c r="O33" s="152">
        <f t="shared" si="18"/>
        <v>0</v>
      </c>
      <c r="P33" s="152">
        <f t="shared" si="18"/>
        <v>0</v>
      </c>
      <c r="Q33" s="152">
        <f t="shared" si="18"/>
        <v>0</v>
      </c>
      <c r="R33" s="152">
        <f t="shared" si="18"/>
        <v>0</v>
      </c>
      <c r="S33" s="152">
        <f t="shared" si="18"/>
        <v>0</v>
      </c>
      <c r="T33" s="152">
        <f t="shared" si="18"/>
        <v>0</v>
      </c>
      <c r="U33" s="152">
        <f t="shared" si="18"/>
        <v>0</v>
      </c>
      <c r="V33" s="6"/>
      <c r="W33" s="422"/>
      <c r="X33" s="422"/>
      <c r="Y33" s="6"/>
    </row>
    <row r="34" spans="1:25" ht="13.5">
      <c r="A34" s="40" t="s">
        <v>90</v>
      </c>
      <c r="B34" s="120">
        <f>'Summary Output'!C21</f>
        <v>175000</v>
      </c>
      <c r="C34" s="59">
        <f t="shared" ref="C34:K34" si="19">C32</f>
        <v>175000</v>
      </c>
      <c r="D34" s="59">
        <f t="shared" si="19"/>
        <v>175000</v>
      </c>
      <c r="E34" s="59">
        <f t="shared" si="19"/>
        <v>175000</v>
      </c>
      <c r="F34" s="59">
        <f t="shared" si="19"/>
        <v>160125</v>
      </c>
      <c r="G34" s="59">
        <f t="shared" si="19"/>
        <v>139650</v>
      </c>
      <c r="H34" s="59">
        <f t="shared" si="19"/>
        <v>116375</v>
      </c>
      <c r="I34" s="59">
        <f t="shared" si="19"/>
        <v>91000</v>
      </c>
      <c r="J34" s="59">
        <f t="shared" si="19"/>
        <v>62125</v>
      </c>
      <c r="K34" s="59">
        <f t="shared" si="19"/>
        <v>30450</v>
      </c>
      <c r="L34" s="59">
        <f t="shared" ref="L34:U34" si="20">L32</f>
        <v>0</v>
      </c>
      <c r="M34" s="59">
        <f t="shared" si="20"/>
        <v>0</v>
      </c>
      <c r="N34" s="59">
        <f t="shared" si="20"/>
        <v>0</v>
      </c>
      <c r="O34" s="59">
        <f t="shared" si="20"/>
        <v>0</v>
      </c>
      <c r="P34" s="59">
        <f t="shared" si="20"/>
        <v>0</v>
      </c>
      <c r="Q34" s="59">
        <f t="shared" si="20"/>
        <v>0</v>
      </c>
      <c r="R34" s="59">
        <f t="shared" si="20"/>
        <v>0</v>
      </c>
      <c r="S34" s="59">
        <f t="shared" si="20"/>
        <v>0</v>
      </c>
      <c r="T34" s="59">
        <f t="shared" si="20"/>
        <v>0</v>
      </c>
      <c r="U34" s="59">
        <f t="shared" si="20"/>
        <v>0</v>
      </c>
      <c r="V34" s="6"/>
      <c r="W34" s="420">
        <f>SUM(B39:U39,B46:U46)</f>
        <v>175000</v>
      </c>
      <c r="X34" s="421">
        <f>B34-W34</f>
        <v>0</v>
      </c>
      <c r="Y34" s="6"/>
    </row>
    <row r="35" spans="1:25">
      <c r="B35" s="351"/>
      <c r="C35" s="34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422"/>
      <c r="X35" s="422"/>
      <c r="Y35" s="6"/>
    </row>
    <row r="36" spans="1:25">
      <c r="A36" s="44"/>
      <c r="B36" s="330">
        <v>37072</v>
      </c>
      <c r="C36" s="330">
        <v>37437</v>
      </c>
      <c r="D36" s="330">
        <v>37802</v>
      </c>
      <c r="E36" s="330">
        <v>38168</v>
      </c>
      <c r="F36" s="330">
        <v>38533</v>
      </c>
      <c r="G36" s="330">
        <v>38898</v>
      </c>
      <c r="H36" s="330">
        <v>39263</v>
      </c>
      <c r="I36" s="330">
        <v>39629</v>
      </c>
      <c r="J36" s="330">
        <v>39994</v>
      </c>
      <c r="K36" s="330">
        <v>40359</v>
      </c>
      <c r="L36" s="330">
        <v>40724</v>
      </c>
      <c r="M36" s="330">
        <v>41090</v>
      </c>
      <c r="N36" s="330">
        <v>41455</v>
      </c>
      <c r="O36" s="330">
        <v>41820</v>
      </c>
      <c r="P36" s="330">
        <v>42185</v>
      </c>
      <c r="Q36" s="330">
        <v>42551</v>
      </c>
      <c r="R36" s="330">
        <v>42916</v>
      </c>
      <c r="S36" s="330">
        <v>43281</v>
      </c>
      <c r="T36" s="330">
        <v>43646</v>
      </c>
      <c r="U36" s="330">
        <v>44012</v>
      </c>
      <c r="V36" s="6"/>
      <c r="W36" s="422"/>
      <c r="X36" s="422"/>
      <c r="Y36" s="6"/>
    </row>
    <row r="37" spans="1:25">
      <c r="A37" s="40" t="s">
        <v>87</v>
      </c>
      <c r="B37" s="56">
        <f t="shared" ref="B37:K37" si="21">B34</f>
        <v>175000</v>
      </c>
      <c r="C37" s="56">
        <f t="shared" si="21"/>
        <v>175000</v>
      </c>
      <c r="D37" s="56">
        <f t="shared" si="21"/>
        <v>175000</v>
      </c>
      <c r="E37" s="56">
        <f t="shared" si="21"/>
        <v>175000</v>
      </c>
      <c r="F37" s="56">
        <f t="shared" si="21"/>
        <v>160125</v>
      </c>
      <c r="G37" s="56">
        <f t="shared" si="21"/>
        <v>139650</v>
      </c>
      <c r="H37" s="56">
        <f t="shared" si="21"/>
        <v>116375</v>
      </c>
      <c r="I37" s="56">
        <f t="shared" si="21"/>
        <v>91000</v>
      </c>
      <c r="J37" s="56">
        <f t="shared" si="21"/>
        <v>62125</v>
      </c>
      <c r="K37" s="56">
        <f t="shared" si="21"/>
        <v>30450</v>
      </c>
      <c r="L37" s="56">
        <f t="shared" ref="L37:U37" si="22">L34</f>
        <v>0</v>
      </c>
      <c r="M37" s="56">
        <f t="shared" si="22"/>
        <v>0</v>
      </c>
      <c r="N37" s="56">
        <f t="shared" si="22"/>
        <v>0</v>
      </c>
      <c r="O37" s="56">
        <f t="shared" si="22"/>
        <v>0</v>
      </c>
      <c r="P37" s="56">
        <f t="shared" si="22"/>
        <v>0</v>
      </c>
      <c r="Q37" s="56">
        <f t="shared" si="22"/>
        <v>0</v>
      </c>
      <c r="R37" s="56">
        <f t="shared" si="22"/>
        <v>0</v>
      </c>
      <c r="S37" s="56">
        <f t="shared" si="22"/>
        <v>0</v>
      </c>
      <c r="T37" s="56">
        <f t="shared" si="22"/>
        <v>0</v>
      </c>
      <c r="U37" s="56">
        <f t="shared" si="22"/>
        <v>0</v>
      </c>
      <c r="V37" s="6"/>
      <c r="W37" s="422"/>
      <c r="X37" s="422"/>
      <c r="Y37" s="6"/>
    </row>
    <row r="38" spans="1:25">
      <c r="A38" s="40" t="s">
        <v>279</v>
      </c>
      <c r="B38" s="531">
        <v>0</v>
      </c>
      <c r="C38" s="531">
        <v>0</v>
      </c>
      <c r="D38" s="531">
        <v>0</v>
      </c>
      <c r="E38" s="531">
        <v>4.2500000000000003E-2</v>
      </c>
      <c r="F38" s="531">
        <v>5.8500000000000003E-2</v>
      </c>
      <c r="G38" s="531">
        <v>6.6500000000000004E-2</v>
      </c>
      <c r="H38" s="531">
        <v>7.2499999999999995E-2</v>
      </c>
      <c r="I38" s="531">
        <v>8.2500000000000004E-2</v>
      </c>
      <c r="J38" s="531">
        <v>9.0499999999999997E-2</v>
      </c>
      <c r="K38" s="531">
        <v>0.12</v>
      </c>
      <c r="L38" s="56"/>
      <c r="M38" s="56"/>
      <c r="N38" s="56"/>
      <c r="O38" s="56"/>
      <c r="P38" s="56"/>
      <c r="Q38" s="56"/>
      <c r="R38" s="56"/>
      <c r="S38" s="56"/>
      <c r="T38" s="56"/>
      <c r="U38" s="56"/>
      <c r="W38" s="419"/>
      <c r="X38" s="419"/>
    </row>
    <row r="39" spans="1:25">
      <c r="A39" s="40" t="s">
        <v>88</v>
      </c>
      <c r="B39" s="56">
        <f>B38*$B$34</f>
        <v>0</v>
      </c>
      <c r="C39" s="56">
        <f t="shared" ref="C39:U39" si="23">C38*$B$34</f>
        <v>0</v>
      </c>
      <c r="D39" s="56">
        <f t="shared" si="23"/>
        <v>0</v>
      </c>
      <c r="E39" s="56">
        <f t="shared" si="23"/>
        <v>7437.5000000000009</v>
      </c>
      <c r="F39" s="56">
        <f t="shared" si="23"/>
        <v>10237.5</v>
      </c>
      <c r="G39" s="56">
        <f t="shared" si="23"/>
        <v>11637.5</v>
      </c>
      <c r="H39" s="56">
        <f t="shared" si="23"/>
        <v>12687.5</v>
      </c>
      <c r="I39" s="56">
        <f t="shared" si="23"/>
        <v>14437.5</v>
      </c>
      <c r="J39" s="56">
        <f t="shared" si="23"/>
        <v>15837.5</v>
      </c>
      <c r="K39" s="56">
        <f t="shared" si="23"/>
        <v>21000</v>
      </c>
      <c r="L39" s="56">
        <f t="shared" si="23"/>
        <v>0</v>
      </c>
      <c r="M39" s="56">
        <f t="shared" si="23"/>
        <v>0</v>
      </c>
      <c r="N39" s="56">
        <f t="shared" si="23"/>
        <v>0</v>
      </c>
      <c r="O39" s="56">
        <f t="shared" si="23"/>
        <v>0</v>
      </c>
      <c r="P39" s="56">
        <f t="shared" si="23"/>
        <v>0</v>
      </c>
      <c r="Q39" s="56">
        <f t="shared" si="23"/>
        <v>0</v>
      </c>
      <c r="R39" s="56">
        <f t="shared" si="23"/>
        <v>0</v>
      </c>
      <c r="S39" s="56">
        <f t="shared" si="23"/>
        <v>0</v>
      </c>
      <c r="T39" s="56">
        <f t="shared" si="23"/>
        <v>0</v>
      </c>
      <c r="U39" s="56">
        <f t="shared" si="23"/>
        <v>0</v>
      </c>
      <c r="V39" s="6"/>
      <c r="W39" s="422"/>
      <c r="X39" s="422"/>
      <c r="Y39" s="6"/>
    </row>
    <row r="40" spans="1:25">
      <c r="A40" s="40" t="s">
        <v>89</v>
      </c>
      <c r="B40" s="152">
        <f t="shared" ref="B40:K40" si="24">B37*$J$97*(B36-B31)/365.25</f>
        <v>9486.6529774127303</v>
      </c>
      <c r="C40" s="152">
        <f t="shared" si="24"/>
        <v>9486.6529774127303</v>
      </c>
      <c r="D40" s="152">
        <f t="shared" si="24"/>
        <v>9486.6529774127303</v>
      </c>
      <c r="E40" s="152">
        <f t="shared" si="24"/>
        <v>9539.3566050650243</v>
      </c>
      <c r="F40" s="152">
        <f t="shared" si="24"/>
        <v>8680.2874743326483</v>
      </c>
      <c r="G40" s="152">
        <f t="shared" si="24"/>
        <v>7570.3490759753595</v>
      </c>
      <c r="H40" s="152">
        <f t="shared" si="24"/>
        <v>6308.6242299794658</v>
      </c>
      <c r="I40" s="152">
        <f t="shared" si="24"/>
        <v>4960.465434633812</v>
      </c>
      <c r="J40" s="152">
        <f t="shared" si="24"/>
        <v>3367.7618069815194</v>
      </c>
      <c r="K40" s="152">
        <f t="shared" si="24"/>
        <v>1650.6776180698153</v>
      </c>
      <c r="L40" s="152">
        <f t="shared" ref="L40:U40" si="25">L37*$J$97*(L36-L31)/365.25</f>
        <v>0</v>
      </c>
      <c r="M40" s="152">
        <f t="shared" si="25"/>
        <v>0</v>
      </c>
      <c r="N40" s="152">
        <f t="shared" si="25"/>
        <v>0</v>
      </c>
      <c r="O40" s="152">
        <f t="shared" si="25"/>
        <v>0</v>
      </c>
      <c r="P40" s="152">
        <f t="shared" si="25"/>
        <v>0</v>
      </c>
      <c r="Q40" s="152">
        <f t="shared" si="25"/>
        <v>0</v>
      </c>
      <c r="R40" s="152">
        <f t="shared" si="25"/>
        <v>0</v>
      </c>
      <c r="S40" s="152">
        <f t="shared" si="25"/>
        <v>0</v>
      </c>
      <c r="T40" s="152">
        <f t="shared" si="25"/>
        <v>0</v>
      </c>
      <c r="U40" s="152">
        <f t="shared" si="25"/>
        <v>0</v>
      </c>
      <c r="V40" s="6"/>
      <c r="W40" s="422"/>
      <c r="X40" s="422"/>
      <c r="Y40" s="6"/>
    </row>
    <row r="41" spans="1:25">
      <c r="A41" s="40" t="s">
        <v>90</v>
      </c>
      <c r="B41" s="59">
        <f>B37-B39</f>
        <v>175000</v>
      </c>
      <c r="C41" s="59">
        <f t="shared" ref="C41:U41" si="26">C37-C39</f>
        <v>175000</v>
      </c>
      <c r="D41" s="59">
        <f t="shared" si="26"/>
        <v>175000</v>
      </c>
      <c r="E41" s="59">
        <f t="shared" si="26"/>
        <v>167562.5</v>
      </c>
      <c r="F41" s="59">
        <f t="shared" si="26"/>
        <v>149887.5</v>
      </c>
      <c r="G41" s="59">
        <f t="shared" si="26"/>
        <v>128012.5</v>
      </c>
      <c r="H41" s="59">
        <f t="shared" si="26"/>
        <v>103687.5</v>
      </c>
      <c r="I41" s="59">
        <f t="shared" si="26"/>
        <v>76562.5</v>
      </c>
      <c r="J41" s="59">
        <f t="shared" si="26"/>
        <v>46287.5</v>
      </c>
      <c r="K41" s="59">
        <f t="shared" si="26"/>
        <v>9450</v>
      </c>
      <c r="L41" s="59">
        <f t="shared" si="26"/>
        <v>0</v>
      </c>
      <c r="M41" s="59">
        <f t="shared" si="26"/>
        <v>0</v>
      </c>
      <c r="N41" s="59">
        <f t="shared" si="26"/>
        <v>0</v>
      </c>
      <c r="O41" s="59">
        <f t="shared" si="26"/>
        <v>0</v>
      </c>
      <c r="P41" s="59">
        <f t="shared" si="26"/>
        <v>0</v>
      </c>
      <c r="Q41" s="59">
        <f t="shared" si="26"/>
        <v>0</v>
      </c>
      <c r="R41" s="59">
        <f t="shared" si="26"/>
        <v>0</v>
      </c>
      <c r="S41" s="59">
        <f t="shared" si="26"/>
        <v>0</v>
      </c>
      <c r="T41" s="59">
        <f t="shared" si="26"/>
        <v>0</v>
      </c>
      <c r="U41" s="59">
        <f t="shared" si="26"/>
        <v>0</v>
      </c>
      <c r="V41" s="6"/>
      <c r="W41" s="422"/>
      <c r="X41" s="422"/>
      <c r="Y41" s="6"/>
    </row>
    <row r="42" spans="1:25">
      <c r="A42" s="40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W42" s="419"/>
      <c r="X42" s="419"/>
    </row>
    <row r="43" spans="1:25">
      <c r="A43" s="44"/>
      <c r="B43" s="330">
        <v>37256</v>
      </c>
      <c r="C43" s="330">
        <v>37621</v>
      </c>
      <c r="D43" s="330">
        <v>37986</v>
      </c>
      <c r="E43" s="330">
        <v>38352</v>
      </c>
      <c r="F43" s="330">
        <v>38717</v>
      </c>
      <c r="G43" s="330">
        <v>39082</v>
      </c>
      <c r="H43" s="330">
        <v>39447</v>
      </c>
      <c r="I43" s="330">
        <v>39813</v>
      </c>
      <c r="J43" s="330">
        <v>40178</v>
      </c>
      <c r="K43" s="330">
        <v>40543</v>
      </c>
      <c r="L43" s="330">
        <v>40908</v>
      </c>
      <c r="M43" s="330">
        <v>41274</v>
      </c>
      <c r="N43" s="330">
        <v>41639</v>
      </c>
      <c r="O43" s="330">
        <v>42004</v>
      </c>
      <c r="P43" s="330">
        <v>42369</v>
      </c>
      <c r="Q43" s="330">
        <v>42735</v>
      </c>
      <c r="R43" s="330">
        <v>43100</v>
      </c>
      <c r="S43" s="330">
        <v>43465</v>
      </c>
      <c r="T43" s="330">
        <v>43830</v>
      </c>
      <c r="U43" s="330">
        <v>44196</v>
      </c>
      <c r="W43" s="419"/>
      <c r="X43" s="419"/>
    </row>
    <row r="44" spans="1:25">
      <c r="A44" s="40" t="s">
        <v>87</v>
      </c>
      <c r="B44" s="56">
        <f>B41</f>
        <v>175000</v>
      </c>
      <c r="C44" s="56">
        <f t="shared" ref="C44:K44" si="27">C41</f>
        <v>175000</v>
      </c>
      <c r="D44" s="56">
        <f t="shared" si="27"/>
        <v>175000</v>
      </c>
      <c r="E44" s="56">
        <f t="shared" si="27"/>
        <v>167562.5</v>
      </c>
      <c r="F44" s="56">
        <f t="shared" si="27"/>
        <v>149887.5</v>
      </c>
      <c r="G44" s="56">
        <f t="shared" si="27"/>
        <v>128012.5</v>
      </c>
      <c r="H44" s="56">
        <f t="shared" si="27"/>
        <v>103687.5</v>
      </c>
      <c r="I44" s="56">
        <f t="shared" si="27"/>
        <v>76562.5</v>
      </c>
      <c r="J44" s="56">
        <f t="shared" si="27"/>
        <v>46287.5</v>
      </c>
      <c r="K44" s="56">
        <f t="shared" si="27"/>
        <v>9450</v>
      </c>
      <c r="L44" s="56">
        <f t="shared" ref="L44:U44" si="28">L41</f>
        <v>0</v>
      </c>
      <c r="M44" s="56">
        <f t="shared" si="28"/>
        <v>0</v>
      </c>
      <c r="N44" s="56">
        <f t="shared" si="28"/>
        <v>0</v>
      </c>
      <c r="O44" s="56">
        <f t="shared" si="28"/>
        <v>0</v>
      </c>
      <c r="P44" s="56">
        <f t="shared" si="28"/>
        <v>0</v>
      </c>
      <c r="Q44" s="56">
        <f t="shared" si="28"/>
        <v>0</v>
      </c>
      <c r="R44" s="56">
        <f t="shared" si="28"/>
        <v>0</v>
      </c>
      <c r="S44" s="56">
        <f t="shared" si="28"/>
        <v>0</v>
      </c>
      <c r="T44" s="56">
        <f t="shared" si="28"/>
        <v>0</v>
      </c>
      <c r="U44" s="56">
        <f t="shared" si="28"/>
        <v>0</v>
      </c>
      <c r="W44" s="419"/>
      <c r="X44" s="419"/>
    </row>
    <row r="45" spans="1:25">
      <c r="A45" s="40" t="s">
        <v>279</v>
      </c>
      <c r="B45" s="531">
        <v>0</v>
      </c>
      <c r="C45" s="531">
        <v>0</v>
      </c>
      <c r="D45" s="531">
        <v>0</v>
      </c>
      <c r="E45" s="531">
        <v>4.2500000000000003E-2</v>
      </c>
      <c r="F45" s="531">
        <v>5.8500000000000003E-2</v>
      </c>
      <c r="G45" s="531">
        <v>6.6500000000000004E-2</v>
      </c>
      <c r="H45" s="531">
        <v>7.2499999999999995E-2</v>
      </c>
      <c r="I45" s="531">
        <v>8.2500000000000004E-2</v>
      </c>
      <c r="J45" s="531">
        <v>9.0499999999999997E-2</v>
      </c>
      <c r="K45" s="531">
        <v>5.3999999999999937E-2</v>
      </c>
      <c r="L45" s="56"/>
      <c r="M45" s="56"/>
      <c r="N45" s="56"/>
      <c r="O45" s="56"/>
      <c r="P45" s="56"/>
      <c r="Q45" s="56"/>
      <c r="R45" s="56"/>
      <c r="S45" s="56"/>
      <c r="T45" s="56"/>
      <c r="U45" s="56"/>
      <c r="W45" s="419"/>
      <c r="X45" s="419"/>
    </row>
    <row r="46" spans="1:25">
      <c r="A46" s="40" t="s">
        <v>88</v>
      </c>
      <c r="B46" s="56">
        <f t="shared" ref="B46:U46" si="29">B45*$B$34</f>
        <v>0</v>
      </c>
      <c r="C46" s="56">
        <f t="shared" si="29"/>
        <v>0</v>
      </c>
      <c r="D46" s="56">
        <f t="shared" si="29"/>
        <v>0</v>
      </c>
      <c r="E46" s="56">
        <f t="shared" si="29"/>
        <v>7437.5000000000009</v>
      </c>
      <c r="F46" s="56">
        <f t="shared" si="29"/>
        <v>10237.5</v>
      </c>
      <c r="G46" s="56">
        <f t="shared" si="29"/>
        <v>11637.5</v>
      </c>
      <c r="H46" s="56">
        <f t="shared" si="29"/>
        <v>12687.5</v>
      </c>
      <c r="I46" s="56">
        <f t="shared" si="29"/>
        <v>14437.5</v>
      </c>
      <c r="J46" s="56">
        <f t="shared" si="29"/>
        <v>15837.5</v>
      </c>
      <c r="K46" s="56">
        <f t="shared" si="29"/>
        <v>9449.9999999999891</v>
      </c>
      <c r="L46" s="56">
        <f t="shared" si="29"/>
        <v>0</v>
      </c>
      <c r="M46" s="56">
        <f t="shared" si="29"/>
        <v>0</v>
      </c>
      <c r="N46" s="56">
        <f t="shared" si="29"/>
        <v>0</v>
      </c>
      <c r="O46" s="56">
        <f t="shared" si="29"/>
        <v>0</v>
      </c>
      <c r="P46" s="56">
        <f t="shared" si="29"/>
        <v>0</v>
      </c>
      <c r="Q46" s="56">
        <f t="shared" si="29"/>
        <v>0</v>
      </c>
      <c r="R46" s="56">
        <f t="shared" si="29"/>
        <v>0</v>
      </c>
      <c r="S46" s="56">
        <f t="shared" si="29"/>
        <v>0</v>
      </c>
      <c r="T46" s="56">
        <f t="shared" si="29"/>
        <v>0</v>
      </c>
      <c r="U46" s="56">
        <f t="shared" si="29"/>
        <v>0</v>
      </c>
      <c r="W46" s="419"/>
      <c r="X46" s="419"/>
    </row>
    <row r="47" spans="1:25">
      <c r="A47" s="40" t="s">
        <v>89</v>
      </c>
      <c r="B47" s="152">
        <f>B44*$J$97*(B43-B36)/365.25</f>
        <v>9697.4674880219027</v>
      </c>
      <c r="C47" s="152">
        <f t="shared" ref="C47:K47" si="30">C44*$J$97*(C43-C36)/365.25</f>
        <v>9697.4674880219027</v>
      </c>
      <c r="D47" s="152">
        <f t="shared" si="30"/>
        <v>9697.4674880219027</v>
      </c>
      <c r="E47" s="152">
        <f t="shared" si="30"/>
        <v>9285.3251197809714</v>
      </c>
      <c r="F47" s="152">
        <f t="shared" si="30"/>
        <v>8305.880903490759</v>
      </c>
      <c r="G47" s="152">
        <f t="shared" si="30"/>
        <v>7093.6974674880221</v>
      </c>
      <c r="H47" s="152">
        <f t="shared" si="30"/>
        <v>5745.7494866529778</v>
      </c>
      <c r="I47" s="152">
        <f t="shared" si="30"/>
        <v>4242.6420260095829</v>
      </c>
      <c r="J47" s="152">
        <f t="shared" si="30"/>
        <v>2564.9801505817932</v>
      </c>
      <c r="K47" s="152">
        <f t="shared" si="30"/>
        <v>523.66324435318279</v>
      </c>
      <c r="L47" s="152">
        <f t="shared" ref="L47:U47" si="31">L44*$J$97*(L43-L36)/365.25</f>
        <v>0</v>
      </c>
      <c r="M47" s="152">
        <f t="shared" si="31"/>
        <v>0</v>
      </c>
      <c r="N47" s="152">
        <f t="shared" si="31"/>
        <v>0</v>
      </c>
      <c r="O47" s="152">
        <f t="shared" si="31"/>
        <v>0</v>
      </c>
      <c r="P47" s="152">
        <f t="shared" si="31"/>
        <v>0</v>
      </c>
      <c r="Q47" s="152">
        <f t="shared" si="31"/>
        <v>0</v>
      </c>
      <c r="R47" s="152">
        <f t="shared" si="31"/>
        <v>0</v>
      </c>
      <c r="S47" s="152">
        <f t="shared" si="31"/>
        <v>0</v>
      </c>
      <c r="T47" s="152">
        <f t="shared" si="31"/>
        <v>0</v>
      </c>
      <c r="U47" s="152">
        <f t="shared" si="31"/>
        <v>0</v>
      </c>
      <c r="W47" s="419"/>
      <c r="X47" s="419"/>
    </row>
    <row r="48" spans="1:25">
      <c r="A48" s="40" t="s">
        <v>90</v>
      </c>
      <c r="B48" s="59">
        <f>B44-B46</f>
        <v>175000</v>
      </c>
      <c r="C48" s="59">
        <f t="shared" ref="C48:U48" si="32">C44-C46</f>
        <v>175000</v>
      </c>
      <c r="D48" s="59">
        <f t="shared" si="32"/>
        <v>175000</v>
      </c>
      <c r="E48" s="59">
        <f t="shared" si="32"/>
        <v>160125</v>
      </c>
      <c r="F48" s="59">
        <f t="shared" si="32"/>
        <v>139650</v>
      </c>
      <c r="G48" s="59">
        <f t="shared" si="32"/>
        <v>116375</v>
      </c>
      <c r="H48" s="59">
        <f t="shared" si="32"/>
        <v>91000</v>
      </c>
      <c r="I48" s="59">
        <f t="shared" si="32"/>
        <v>62125</v>
      </c>
      <c r="J48" s="59">
        <f t="shared" si="32"/>
        <v>30450</v>
      </c>
      <c r="K48" s="59">
        <f t="shared" si="32"/>
        <v>0</v>
      </c>
      <c r="L48" s="59">
        <f t="shared" si="32"/>
        <v>0</v>
      </c>
      <c r="M48" s="59">
        <f t="shared" si="32"/>
        <v>0</v>
      </c>
      <c r="N48" s="59">
        <f t="shared" si="32"/>
        <v>0</v>
      </c>
      <c r="O48" s="59">
        <f t="shared" si="32"/>
        <v>0</v>
      </c>
      <c r="P48" s="59">
        <f t="shared" si="32"/>
        <v>0</v>
      </c>
      <c r="Q48" s="59">
        <f t="shared" si="32"/>
        <v>0</v>
      </c>
      <c r="R48" s="59">
        <f t="shared" si="32"/>
        <v>0</v>
      </c>
      <c r="S48" s="59">
        <f t="shared" si="32"/>
        <v>0</v>
      </c>
      <c r="T48" s="59">
        <f t="shared" si="32"/>
        <v>0</v>
      </c>
      <c r="U48" s="59">
        <f t="shared" si="32"/>
        <v>0</v>
      </c>
      <c r="W48" s="419"/>
      <c r="X48" s="419"/>
    </row>
    <row r="49" spans="1:24">
      <c r="A49" s="40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W49" s="419"/>
      <c r="X49" s="419"/>
    </row>
    <row r="50" spans="1:24">
      <c r="A50" s="39" t="s">
        <v>22</v>
      </c>
      <c r="B50" s="6"/>
      <c r="C50" s="34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W50" s="419"/>
      <c r="X50" s="419"/>
    </row>
    <row r="51" spans="1:24">
      <c r="B51" s="330">
        <f>'Summary Output'!$B$20</f>
        <v>36892</v>
      </c>
      <c r="C51" s="330">
        <v>37257</v>
      </c>
      <c r="D51" s="330">
        <v>37622</v>
      </c>
      <c r="E51" s="330">
        <v>37987</v>
      </c>
      <c r="F51" s="330">
        <v>38353</v>
      </c>
      <c r="G51" s="330">
        <v>38718</v>
      </c>
      <c r="H51" s="330">
        <v>39083</v>
      </c>
      <c r="I51" s="330">
        <v>39448</v>
      </c>
      <c r="J51" s="330">
        <v>39814</v>
      </c>
      <c r="K51" s="330">
        <v>40179</v>
      </c>
      <c r="L51" s="330">
        <v>40544</v>
      </c>
      <c r="M51" s="330">
        <v>40909</v>
      </c>
      <c r="N51" s="330">
        <v>41275</v>
      </c>
      <c r="O51" s="330">
        <v>41640</v>
      </c>
      <c r="P51" s="330">
        <v>42005</v>
      </c>
      <c r="Q51" s="330">
        <v>42370</v>
      </c>
      <c r="R51" s="330">
        <v>42736</v>
      </c>
      <c r="S51" s="330">
        <v>43101</v>
      </c>
      <c r="T51" s="330">
        <v>43466</v>
      </c>
      <c r="U51" s="330">
        <v>43831</v>
      </c>
      <c r="W51" s="419"/>
      <c r="X51" s="419"/>
    </row>
    <row r="52" spans="1:24">
      <c r="A52" s="40" t="s">
        <v>87</v>
      </c>
      <c r="B52" s="56">
        <v>0</v>
      </c>
      <c r="C52" s="56">
        <f>B68</f>
        <v>450000</v>
      </c>
      <c r="D52" s="56">
        <f t="shared" ref="D52:U52" si="33">C68</f>
        <v>450000</v>
      </c>
      <c r="E52" s="56">
        <f t="shared" si="33"/>
        <v>450000</v>
      </c>
      <c r="F52" s="56">
        <f t="shared" si="33"/>
        <v>450000</v>
      </c>
      <c r="G52" s="56">
        <f t="shared" si="33"/>
        <v>450000</v>
      </c>
      <c r="H52" s="56">
        <f t="shared" si="33"/>
        <v>450000</v>
      </c>
      <c r="I52" s="56">
        <f t="shared" si="33"/>
        <v>450000</v>
      </c>
      <c r="J52" s="56">
        <f t="shared" si="33"/>
        <v>450000</v>
      </c>
      <c r="K52" s="56">
        <f t="shared" si="33"/>
        <v>450000</v>
      </c>
      <c r="L52" s="56">
        <f t="shared" si="33"/>
        <v>443250</v>
      </c>
      <c r="M52" s="56">
        <f t="shared" si="33"/>
        <v>398250</v>
      </c>
      <c r="N52" s="56">
        <f t="shared" si="33"/>
        <v>353250</v>
      </c>
      <c r="O52" s="56">
        <f t="shared" si="33"/>
        <v>308250</v>
      </c>
      <c r="P52" s="56">
        <f t="shared" si="33"/>
        <v>263250</v>
      </c>
      <c r="Q52" s="56">
        <f t="shared" si="33"/>
        <v>216000</v>
      </c>
      <c r="R52" s="56">
        <f t="shared" si="33"/>
        <v>166500</v>
      </c>
      <c r="S52" s="56">
        <f t="shared" si="33"/>
        <v>117000</v>
      </c>
      <c r="T52" s="56">
        <f t="shared" si="33"/>
        <v>76500</v>
      </c>
      <c r="U52" s="56">
        <f t="shared" si="33"/>
        <v>36000</v>
      </c>
      <c r="W52" s="419"/>
      <c r="X52" s="419"/>
    </row>
    <row r="53" spans="1:24">
      <c r="A53" s="278" t="s">
        <v>89</v>
      </c>
      <c r="B53" s="362">
        <v>0</v>
      </c>
      <c r="C53" s="152">
        <f t="shared" ref="C53:U53" si="34">C52*$O$97*(C51-B63)/365.25</f>
        <v>137.9876796714579</v>
      </c>
      <c r="D53" s="152">
        <f t="shared" si="34"/>
        <v>137.9876796714579</v>
      </c>
      <c r="E53" s="152">
        <f t="shared" si="34"/>
        <v>137.9876796714579</v>
      </c>
      <c r="F53" s="152">
        <f t="shared" si="34"/>
        <v>137.9876796714579</v>
      </c>
      <c r="G53" s="152">
        <f t="shared" si="34"/>
        <v>137.9876796714579</v>
      </c>
      <c r="H53" s="152">
        <f t="shared" si="34"/>
        <v>137.9876796714579</v>
      </c>
      <c r="I53" s="152">
        <f t="shared" si="34"/>
        <v>137.9876796714579</v>
      </c>
      <c r="J53" s="152">
        <f t="shared" si="34"/>
        <v>137.9876796714579</v>
      </c>
      <c r="K53" s="152">
        <f t="shared" si="34"/>
        <v>137.9876796714579</v>
      </c>
      <c r="L53" s="152">
        <f t="shared" si="34"/>
        <v>135.91786447638603</v>
      </c>
      <c r="M53" s="152">
        <f t="shared" si="34"/>
        <v>122.11909650924025</v>
      </c>
      <c r="N53" s="152">
        <f t="shared" si="34"/>
        <v>108.32032854209446</v>
      </c>
      <c r="O53" s="152">
        <f t="shared" si="34"/>
        <v>94.521560574948666</v>
      </c>
      <c r="P53" s="152">
        <f t="shared" si="34"/>
        <v>80.722792607802873</v>
      </c>
      <c r="Q53" s="152">
        <f t="shared" si="34"/>
        <v>66.234086242299796</v>
      </c>
      <c r="R53" s="152">
        <f t="shared" si="34"/>
        <v>51.055441478439427</v>
      </c>
      <c r="S53" s="152">
        <f t="shared" si="34"/>
        <v>35.876796714579058</v>
      </c>
      <c r="T53" s="152">
        <f t="shared" si="34"/>
        <v>23.457905544147845</v>
      </c>
      <c r="U53" s="152">
        <f t="shared" si="34"/>
        <v>11.039014373716633</v>
      </c>
      <c r="W53" s="419"/>
      <c r="X53" s="419"/>
    </row>
    <row r="54" spans="1:24" ht="13.5">
      <c r="A54" s="278" t="s">
        <v>90</v>
      </c>
      <c r="B54" s="120">
        <f>'Summary Output'!D21</f>
        <v>450000</v>
      </c>
      <c r="C54" s="59">
        <f>C52</f>
        <v>450000</v>
      </c>
      <c r="D54" s="59">
        <f t="shared" ref="D54:U54" si="35">D52</f>
        <v>450000</v>
      </c>
      <c r="E54" s="59">
        <f t="shared" si="35"/>
        <v>450000</v>
      </c>
      <c r="F54" s="59">
        <f t="shared" si="35"/>
        <v>450000</v>
      </c>
      <c r="G54" s="59">
        <f t="shared" si="35"/>
        <v>450000</v>
      </c>
      <c r="H54" s="59">
        <f t="shared" si="35"/>
        <v>450000</v>
      </c>
      <c r="I54" s="59">
        <f t="shared" si="35"/>
        <v>450000</v>
      </c>
      <c r="J54" s="59">
        <f t="shared" si="35"/>
        <v>450000</v>
      </c>
      <c r="K54" s="59">
        <f t="shared" si="35"/>
        <v>450000</v>
      </c>
      <c r="L54" s="59">
        <f t="shared" si="35"/>
        <v>443250</v>
      </c>
      <c r="M54" s="59">
        <f t="shared" si="35"/>
        <v>398250</v>
      </c>
      <c r="N54" s="59">
        <f t="shared" si="35"/>
        <v>353250</v>
      </c>
      <c r="O54" s="59">
        <f t="shared" si="35"/>
        <v>308250</v>
      </c>
      <c r="P54" s="59">
        <f t="shared" si="35"/>
        <v>263250</v>
      </c>
      <c r="Q54" s="59">
        <f t="shared" si="35"/>
        <v>216000</v>
      </c>
      <c r="R54" s="59">
        <f t="shared" si="35"/>
        <v>166500</v>
      </c>
      <c r="S54" s="59">
        <f t="shared" si="35"/>
        <v>117000</v>
      </c>
      <c r="T54" s="59">
        <f t="shared" si="35"/>
        <v>76500</v>
      </c>
      <c r="U54" s="59">
        <f t="shared" si="35"/>
        <v>36000</v>
      </c>
      <c r="W54" s="420">
        <f>SUM(B59:U59,B66:U66)</f>
        <v>450000.00000000006</v>
      </c>
      <c r="X54" s="421">
        <f>B54-W54</f>
        <v>0</v>
      </c>
    </row>
    <row r="55" spans="1:24">
      <c r="B55" s="351"/>
      <c r="C55" s="34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W55" s="419"/>
      <c r="X55" s="419"/>
    </row>
    <row r="56" spans="1:24">
      <c r="A56" s="349"/>
      <c r="B56" s="330">
        <v>37072</v>
      </c>
      <c r="C56" s="330">
        <v>37437</v>
      </c>
      <c r="D56" s="330">
        <v>37802</v>
      </c>
      <c r="E56" s="330">
        <v>38168</v>
      </c>
      <c r="F56" s="330">
        <v>38533</v>
      </c>
      <c r="G56" s="330">
        <v>38898</v>
      </c>
      <c r="H56" s="330">
        <v>39263</v>
      </c>
      <c r="I56" s="330">
        <v>39629</v>
      </c>
      <c r="J56" s="330">
        <v>39994</v>
      </c>
      <c r="K56" s="330">
        <v>40359</v>
      </c>
      <c r="L56" s="330">
        <v>40724</v>
      </c>
      <c r="M56" s="330">
        <v>41090</v>
      </c>
      <c r="N56" s="330">
        <v>41455</v>
      </c>
      <c r="O56" s="330">
        <v>41820</v>
      </c>
      <c r="P56" s="330">
        <v>42185</v>
      </c>
      <c r="Q56" s="330">
        <v>42551</v>
      </c>
      <c r="R56" s="330">
        <v>42916</v>
      </c>
      <c r="S56" s="330">
        <v>43281</v>
      </c>
      <c r="T56" s="330">
        <v>43646</v>
      </c>
      <c r="U56" s="330">
        <v>44012</v>
      </c>
      <c r="W56" s="419"/>
      <c r="X56" s="419"/>
    </row>
    <row r="57" spans="1:24">
      <c r="A57" s="278" t="s">
        <v>87</v>
      </c>
      <c r="B57" s="56">
        <f>B54</f>
        <v>450000</v>
      </c>
      <c r="C57" s="56">
        <f>C54</f>
        <v>450000</v>
      </c>
      <c r="D57" s="56">
        <f t="shared" ref="D57:U57" si="36">D54</f>
        <v>450000</v>
      </c>
      <c r="E57" s="56">
        <f t="shared" si="36"/>
        <v>450000</v>
      </c>
      <c r="F57" s="56">
        <f t="shared" si="36"/>
        <v>450000</v>
      </c>
      <c r="G57" s="56">
        <f t="shared" si="36"/>
        <v>450000</v>
      </c>
      <c r="H57" s="56">
        <f t="shared" si="36"/>
        <v>450000</v>
      </c>
      <c r="I57" s="56">
        <f t="shared" si="36"/>
        <v>450000</v>
      </c>
      <c r="J57" s="56">
        <f t="shared" si="36"/>
        <v>450000</v>
      </c>
      <c r="K57" s="56">
        <f t="shared" si="36"/>
        <v>450000</v>
      </c>
      <c r="L57" s="56">
        <f t="shared" si="36"/>
        <v>443250</v>
      </c>
      <c r="M57" s="56">
        <f t="shared" si="36"/>
        <v>398250</v>
      </c>
      <c r="N57" s="56">
        <f t="shared" si="36"/>
        <v>353250</v>
      </c>
      <c r="O57" s="56">
        <f t="shared" si="36"/>
        <v>308250</v>
      </c>
      <c r="P57" s="56">
        <f t="shared" si="36"/>
        <v>263250</v>
      </c>
      <c r="Q57" s="56">
        <f t="shared" si="36"/>
        <v>216000</v>
      </c>
      <c r="R57" s="56">
        <f t="shared" si="36"/>
        <v>166500</v>
      </c>
      <c r="S57" s="56">
        <f t="shared" si="36"/>
        <v>117000</v>
      </c>
      <c r="T57" s="56">
        <f t="shared" si="36"/>
        <v>76500</v>
      </c>
      <c r="U57" s="56">
        <f t="shared" si="36"/>
        <v>36000</v>
      </c>
      <c r="W57" s="419"/>
      <c r="X57" s="419"/>
    </row>
    <row r="58" spans="1:24">
      <c r="A58" s="40" t="s">
        <v>279</v>
      </c>
      <c r="B58" s="531">
        <v>0</v>
      </c>
      <c r="C58" s="531">
        <v>0</v>
      </c>
      <c r="D58" s="531">
        <v>0</v>
      </c>
      <c r="E58" s="531">
        <v>0</v>
      </c>
      <c r="F58" s="531">
        <v>0</v>
      </c>
      <c r="G58" s="531">
        <v>0</v>
      </c>
      <c r="H58" s="531">
        <v>0</v>
      </c>
      <c r="I58" s="531">
        <v>0</v>
      </c>
      <c r="J58" s="531">
        <v>0</v>
      </c>
      <c r="K58" s="531">
        <v>0</v>
      </c>
      <c r="L58" s="531">
        <v>0.05</v>
      </c>
      <c r="M58" s="531">
        <v>0.05</v>
      </c>
      <c r="N58" s="531">
        <v>0.05</v>
      </c>
      <c r="O58" s="531">
        <v>0.05</v>
      </c>
      <c r="P58" s="531">
        <v>5.2499999999999998E-2</v>
      </c>
      <c r="Q58" s="531">
        <v>5.5E-2</v>
      </c>
      <c r="R58" s="531">
        <v>5.5E-2</v>
      </c>
      <c r="S58" s="531">
        <v>4.4999999999999998E-2</v>
      </c>
      <c r="T58" s="531">
        <v>4.4999999999999998E-2</v>
      </c>
      <c r="U58" s="531">
        <v>4.4999999999999998E-2</v>
      </c>
      <c r="W58" s="419"/>
      <c r="X58" s="419"/>
    </row>
    <row r="59" spans="1:24">
      <c r="A59" s="278" t="s">
        <v>88</v>
      </c>
      <c r="B59" s="56">
        <f>$B$54*B58</f>
        <v>0</v>
      </c>
      <c r="C59" s="56">
        <f t="shared" ref="C59:U59" si="37">$B$54*C58</f>
        <v>0</v>
      </c>
      <c r="D59" s="56">
        <f t="shared" si="37"/>
        <v>0</v>
      </c>
      <c r="E59" s="56">
        <f t="shared" si="37"/>
        <v>0</v>
      </c>
      <c r="F59" s="56">
        <f t="shared" si="37"/>
        <v>0</v>
      </c>
      <c r="G59" s="56">
        <f t="shared" si="37"/>
        <v>0</v>
      </c>
      <c r="H59" s="56">
        <f t="shared" si="37"/>
        <v>0</v>
      </c>
      <c r="I59" s="56">
        <f t="shared" si="37"/>
        <v>0</v>
      </c>
      <c r="J59" s="56">
        <f t="shared" si="37"/>
        <v>0</v>
      </c>
      <c r="K59" s="56">
        <f t="shared" si="37"/>
        <v>0</v>
      </c>
      <c r="L59" s="56">
        <f t="shared" si="37"/>
        <v>22500</v>
      </c>
      <c r="M59" s="56">
        <f t="shared" si="37"/>
        <v>22500</v>
      </c>
      <c r="N59" s="56">
        <f t="shared" si="37"/>
        <v>22500</v>
      </c>
      <c r="O59" s="56">
        <f t="shared" si="37"/>
        <v>22500</v>
      </c>
      <c r="P59" s="56">
        <f t="shared" si="37"/>
        <v>23625</v>
      </c>
      <c r="Q59" s="56">
        <f t="shared" si="37"/>
        <v>24750</v>
      </c>
      <c r="R59" s="56">
        <f t="shared" si="37"/>
        <v>24750</v>
      </c>
      <c r="S59" s="56">
        <f t="shared" si="37"/>
        <v>20250</v>
      </c>
      <c r="T59" s="56">
        <f t="shared" si="37"/>
        <v>20250</v>
      </c>
      <c r="U59" s="56">
        <f t="shared" si="37"/>
        <v>20250</v>
      </c>
      <c r="W59" s="38"/>
      <c r="X59" s="38"/>
    </row>
    <row r="60" spans="1:24">
      <c r="A60" s="40" t="s">
        <v>89</v>
      </c>
      <c r="B60" s="152">
        <f t="shared" ref="B60:U60" si="38">B57*$O$97*(B56-B51)/365.25</f>
        <v>24837.782340862424</v>
      </c>
      <c r="C60" s="152">
        <f t="shared" si="38"/>
        <v>24837.782340862424</v>
      </c>
      <c r="D60" s="152">
        <f t="shared" si="38"/>
        <v>24837.782340862424</v>
      </c>
      <c r="E60" s="152">
        <f t="shared" si="38"/>
        <v>24975.770020533881</v>
      </c>
      <c r="F60" s="152">
        <f t="shared" si="38"/>
        <v>24837.782340862424</v>
      </c>
      <c r="G60" s="152">
        <f t="shared" si="38"/>
        <v>24837.782340862424</v>
      </c>
      <c r="H60" s="152">
        <f t="shared" si="38"/>
        <v>24837.782340862424</v>
      </c>
      <c r="I60" s="152">
        <f t="shared" si="38"/>
        <v>24975.770020533881</v>
      </c>
      <c r="J60" s="152">
        <f t="shared" si="38"/>
        <v>24837.782340862424</v>
      </c>
      <c r="K60" s="152">
        <f t="shared" si="38"/>
        <v>24837.782340862424</v>
      </c>
      <c r="L60" s="152">
        <f t="shared" si="38"/>
        <v>24465.215605749487</v>
      </c>
      <c r="M60" s="152">
        <f t="shared" si="38"/>
        <v>22103.556468172486</v>
      </c>
      <c r="N60" s="152">
        <f t="shared" si="38"/>
        <v>19497.659137577</v>
      </c>
      <c r="O60" s="152">
        <f t="shared" si="38"/>
        <v>17013.880903490761</v>
      </c>
      <c r="P60" s="152">
        <f t="shared" si="38"/>
        <v>14530.102669404518</v>
      </c>
      <c r="Q60" s="152">
        <f t="shared" si="38"/>
        <v>11988.369609856263</v>
      </c>
      <c r="R60" s="152">
        <f t="shared" si="38"/>
        <v>9189.9794661190972</v>
      </c>
      <c r="S60" s="152">
        <f t="shared" si="38"/>
        <v>6457.8234086242301</v>
      </c>
      <c r="T60" s="152">
        <f t="shared" si="38"/>
        <v>4222.4229979466118</v>
      </c>
      <c r="U60" s="152">
        <f t="shared" si="38"/>
        <v>1998.0616016427105</v>
      </c>
      <c r="W60" s="38"/>
      <c r="X60" s="38"/>
    </row>
    <row r="61" spans="1:24">
      <c r="A61" s="40" t="s">
        <v>90</v>
      </c>
      <c r="B61" s="59">
        <f>B57-B59</f>
        <v>450000</v>
      </c>
      <c r="C61" s="59">
        <f t="shared" ref="C61:U61" si="39">C57-C59</f>
        <v>450000</v>
      </c>
      <c r="D61" s="59">
        <f t="shared" si="39"/>
        <v>450000</v>
      </c>
      <c r="E61" s="59">
        <f t="shared" si="39"/>
        <v>450000</v>
      </c>
      <c r="F61" s="59">
        <f t="shared" si="39"/>
        <v>450000</v>
      </c>
      <c r="G61" s="59">
        <f t="shared" si="39"/>
        <v>450000</v>
      </c>
      <c r="H61" s="59">
        <f t="shared" si="39"/>
        <v>450000</v>
      </c>
      <c r="I61" s="59">
        <f t="shared" si="39"/>
        <v>450000</v>
      </c>
      <c r="J61" s="59">
        <f t="shared" si="39"/>
        <v>450000</v>
      </c>
      <c r="K61" s="59">
        <f t="shared" si="39"/>
        <v>450000</v>
      </c>
      <c r="L61" s="59">
        <f t="shared" si="39"/>
        <v>420750</v>
      </c>
      <c r="M61" s="59">
        <f t="shared" si="39"/>
        <v>375750</v>
      </c>
      <c r="N61" s="59">
        <f t="shared" si="39"/>
        <v>330750</v>
      </c>
      <c r="O61" s="59">
        <f t="shared" si="39"/>
        <v>285750</v>
      </c>
      <c r="P61" s="59">
        <f t="shared" si="39"/>
        <v>239625</v>
      </c>
      <c r="Q61" s="59">
        <f t="shared" si="39"/>
        <v>191250</v>
      </c>
      <c r="R61" s="59">
        <f t="shared" si="39"/>
        <v>141750</v>
      </c>
      <c r="S61" s="59">
        <f t="shared" si="39"/>
        <v>96750</v>
      </c>
      <c r="T61" s="59">
        <f t="shared" si="39"/>
        <v>56250</v>
      </c>
      <c r="U61" s="59">
        <f t="shared" si="39"/>
        <v>15750</v>
      </c>
      <c r="W61" s="38"/>
      <c r="X61" s="38"/>
    </row>
    <row r="62" spans="1:24">
      <c r="A62" s="40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W62" s="38"/>
      <c r="X62" s="38"/>
    </row>
    <row r="63" spans="1:24">
      <c r="A63" s="44"/>
      <c r="B63" s="330">
        <v>37256</v>
      </c>
      <c r="C63" s="330">
        <v>37621</v>
      </c>
      <c r="D63" s="330">
        <v>37986</v>
      </c>
      <c r="E63" s="330">
        <v>38352</v>
      </c>
      <c r="F63" s="330">
        <v>38717</v>
      </c>
      <c r="G63" s="330">
        <v>39082</v>
      </c>
      <c r="H63" s="330">
        <v>39447</v>
      </c>
      <c r="I63" s="330">
        <v>39813</v>
      </c>
      <c r="J63" s="330">
        <v>40178</v>
      </c>
      <c r="K63" s="330">
        <v>40543</v>
      </c>
      <c r="L63" s="330">
        <v>40908</v>
      </c>
      <c r="M63" s="330">
        <v>41274</v>
      </c>
      <c r="N63" s="330">
        <v>41639</v>
      </c>
      <c r="O63" s="330">
        <v>42004</v>
      </c>
      <c r="P63" s="330">
        <v>42369</v>
      </c>
      <c r="Q63" s="330">
        <v>42735</v>
      </c>
      <c r="R63" s="330">
        <v>43100</v>
      </c>
      <c r="S63" s="330">
        <v>43465</v>
      </c>
      <c r="T63" s="330">
        <v>43830</v>
      </c>
      <c r="U63" s="330">
        <v>44196</v>
      </c>
      <c r="W63" s="38"/>
      <c r="X63" s="38"/>
    </row>
    <row r="64" spans="1:24">
      <c r="A64" s="40" t="s">
        <v>87</v>
      </c>
      <c r="B64" s="56">
        <f>B61</f>
        <v>450000</v>
      </c>
      <c r="C64" s="56">
        <f t="shared" ref="C64:U64" si="40">C61</f>
        <v>450000</v>
      </c>
      <c r="D64" s="56">
        <f t="shared" si="40"/>
        <v>450000</v>
      </c>
      <c r="E64" s="56">
        <f t="shared" si="40"/>
        <v>450000</v>
      </c>
      <c r="F64" s="56">
        <f t="shared" si="40"/>
        <v>450000</v>
      </c>
      <c r="G64" s="56">
        <f t="shared" si="40"/>
        <v>450000</v>
      </c>
      <c r="H64" s="56">
        <f t="shared" si="40"/>
        <v>450000</v>
      </c>
      <c r="I64" s="56">
        <f t="shared" si="40"/>
        <v>450000</v>
      </c>
      <c r="J64" s="56">
        <f t="shared" si="40"/>
        <v>450000</v>
      </c>
      <c r="K64" s="56">
        <f t="shared" si="40"/>
        <v>450000</v>
      </c>
      <c r="L64" s="56">
        <f t="shared" si="40"/>
        <v>420750</v>
      </c>
      <c r="M64" s="56">
        <f t="shared" si="40"/>
        <v>375750</v>
      </c>
      <c r="N64" s="56">
        <f t="shared" si="40"/>
        <v>330750</v>
      </c>
      <c r="O64" s="56">
        <f t="shared" si="40"/>
        <v>285750</v>
      </c>
      <c r="P64" s="56">
        <f t="shared" si="40"/>
        <v>239625</v>
      </c>
      <c r="Q64" s="56">
        <f t="shared" si="40"/>
        <v>191250</v>
      </c>
      <c r="R64" s="56">
        <f t="shared" si="40"/>
        <v>141750</v>
      </c>
      <c r="S64" s="56">
        <f t="shared" si="40"/>
        <v>96750</v>
      </c>
      <c r="T64" s="56">
        <f t="shared" si="40"/>
        <v>56250</v>
      </c>
      <c r="U64" s="56">
        <f t="shared" si="40"/>
        <v>15750</v>
      </c>
      <c r="W64" s="38"/>
      <c r="X64" s="38"/>
    </row>
    <row r="65" spans="1:26">
      <c r="A65" s="40" t="s">
        <v>279</v>
      </c>
      <c r="B65" s="531">
        <v>0</v>
      </c>
      <c r="C65" s="531">
        <v>0</v>
      </c>
      <c r="D65" s="531">
        <v>0</v>
      </c>
      <c r="E65" s="531">
        <v>0</v>
      </c>
      <c r="F65" s="531">
        <v>0</v>
      </c>
      <c r="G65" s="531">
        <v>0</v>
      </c>
      <c r="H65" s="531">
        <v>0</v>
      </c>
      <c r="I65" s="531">
        <v>0</v>
      </c>
      <c r="J65" s="531">
        <v>0</v>
      </c>
      <c r="K65" s="531">
        <v>1.4999999999999999E-2</v>
      </c>
      <c r="L65" s="531">
        <v>0.05</v>
      </c>
      <c r="M65" s="531">
        <v>0.05</v>
      </c>
      <c r="N65" s="531">
        <v>0.05</v>
      </c>
      <c r="O65" s="531">
        <v>0.05</v>
      </c>
      <c r="P65" s="531">
        <v>5.2499999999999998E-2</v>
      </c>
      <c r="Q65" s="531">
        <v>5.5E-2</v>
      </c>
      <c r="R65" s="531">
        <v>5.5E-2</v>
      </c>
      <c r="S65" s="531">
        <v>4.4999999999999998E-2</v>
      </c>
      <c r="T65" s="531">
        <v>4.4999999999999998E-2</v>
      </c>
      <c r="U65" s="531">
        <v>3.5000000000000087E-2</v>
      </c>
      <c r="W65" s="419"/>
      <c r="X65" s="419"/>
    </row>
    <row r="66" spans="1:26">
      <c r="A66" s="278" t="s">
        <v>88</v>
      </c>
      <c r="B66" s="56">
        <f>B65*$B$54</f>
        <v>0</v>
      </c>
      <c r="C66" s="56">
        <f t="shared" ref="C66:U66" si="41">C65*$B$54</f>
        <v>0</v>
      </c>
      <c r="D66" s="56">
        <f t="shared" si="41"/>
        <v>0</v>
      </c>
      <c r="E66" s="56">
        <f t="shared" si="41"/>
        <v>0</v>
      </c>
      <c r="F66" s="56">
        <f t="shared" si="41"/>
        <v>0</v>
      </c>
      <c r="G66" s="56">
        <f t="shared" si="41"/>
        <v>0</v>
      </c>
      <c r="H66" s="56">
        <f t="shared" si="41"/>
        <v>0</v>
      </c>
      <c r="I66" s="56">
        <f t="shared" si="41"/>
        <v>0</v>
      </c>
      <c r="J66" s="56">
        <f t="shared" si="41"/>
        <v>0</v>
      </c>
      <c r="K66" s="56">
        <f t="shared" si="41"/>
        <v>6750</v>
      </c>
      <c r="L66" s="56">
        <f t="shared" si="41"/>
        <v>22500</v>
      </c>
      <c r="M66" s="56">
        <f t="shared" si="41"/>
        <v>22500</v>
      </c>
      <c r="N66" s="56">
        <f t="shared" si="41"/>
        <v>22500</v>
      </c>
      <c r="O66" s="56">
        <f t="shared" si="41"/>
        <v>22500</v>
      </c>
      <c r="P66" s="56">
        <f t="shared" si="41"/>
        <v>23625</v>
      </c>
      <c r="Q66" s="56">
        <f t="shared" si="41"/>
        <v>24750</v>
      </c>
      <c r="R66" s="56">
        <f t="shared" si="41"/>
        <v>24750</v>
      </c>
      <c r="S66" s="56">
        <f t="shared" si="41"/>
        <v>20250</v>
      </c>
      <c r="T66" s="56">
        <f t="shared" si="41"/>
        <v>20250</v>
      </c>
      <c r="U66" s="56">
        <f t="shared" si="41"/>
        <v>15750.000000000038</v>
      </c>
      <c r="W66" s="38"/>
      <c r="X66" s="38"/>
    </row>
    <row r="67" spans="1:26">
      <c r="A67" s="40" t="s">
        <v>89</v>
      </c>
      <c r="B67" s="152">
        <f>B64*$O$97*(B63-B56)/365.25</f>
        <v>25389.733059548256</v>
      </c>
      <c r="C67" s="152">
        <f t="shared" ref="C67:U67" si="42">C64*$O$97*(C63-C56)/365.25</f>
        <v>25389.733059548256</v>
      </c>
      <c r="D67" s="152">
        <f t="shared" si="42"/>
        <v>25389.733059548256</v>
      </c>
      <c r="E67" s="152">
        <f t="shared" si="42"/>
        <v>25389.733059548256</v>
      </c>
      <c r="F67" s="152">
        <f t="shared" si="42"/>
        <v>25389.733059548256</v>
      </c>
      <c r="G67" s="152">
        <f t="shared" si="42"/>
        <v>25389.733059548256</v>
      </c>
      <c r="H67" s="152">
        <f t="shared" si="42"/>
        <v>25389.733059548256</v>
      </c>
      <c r="I67" s="152">
        <f t="shared" si="42"/>
        <v>25389.733059548256</v>
      </c>
      <c r="J67" s="152">
        <f t="shared" si="42"/>
        <v>25389.733059548256</v>
      </c>
      <c r="K67" s="152">
        <f t="shared" si="42"/>
        <v>25389.733059548256</v>
      </c>
      <c r="L67" s="152">
        <f t="shared" si="42"/>
        <v>23739.400410677619</v>
      </c>
      <c r="M67" s="152">
        <f t="shared" si="42"/>
        <v>21200.427104722792</v>
      </c>
      <c r="N67" s="152">
        <f t="shared" si="42"/>
        <v>18661.453798767969</v>
      </c>
      <c r="O67" s="152">
        <f t="shared" si="42"/>
        <v>16122.480492813142</v>
      </c>
      <c r="P67" s="152">
        <f t="shared" si="42"/>
        <v>13520.032854209445</v>
      </c>
      <c r="Q67" s="152">
        <f t="shared" si="42"/>
        <v>10790.636550308009</v>
      </c>
      <c r="R67" s="152">
        <f t="shared" si="42"/>
        <v>7997.7659137577002</v>
      </c>
      <c r="S67" s="152">
        <f t="shared" si="42"/>
        <v>5458.792607802875</v>
      </c>
      <c r="T67" s="152">
        <f t="shared" si="42"/>
        <v>3173.716632443532</v>
      </c>
      <c r="U67" s="152">
        <f t="shared" si="42"/>
        <v>888.64065708418889</v>
      </c>
      <c r="W67" s="38"/>
      <c r="X67" s="38"/>
    </row>
    <row r="68" spans="1:26">
      <c r="A68" s="40" t="s">
        <v>90</v>
      </c>
      <c r="B68" s="59">
        <f>B64-B66</f>
        <v>450000</v>
      </c>
      <c r="C68" s="59">
        <f t="shared" ref="C68:U68" si="43">C64-C66</f>
        <v>450000</v>
      </c>
      <c r="D68" s="59">
        <f t="shared" si="43"/>
        <v>450000</v>
      </c>
      <c r="E68" s="59">
        <f t="shared" si="43"/>
        <v>450000</v>
      </c>
      <c r="F68" s="59">
        <f t="shared" si="43"/>
        <v>450000</v>
      </c>
      <c r="G68" s="59">
        <f t="shared" si="43"/>
        <v>450000</v>
      </c>
      <c r="H68" s="59">
        <f t="shared" si="43"/>
        <v>450000</v>
      </c>
      <c r="I68" s="59">
        <f t="shared" si="43"/>
        <v>450000</v>
      </c>
      <c r="J68" s="59">
        <f t="shared" si="43"/>
        <v>450000</v>
      </c>
      <c r="K68" s="59">
        <f t="shared" si="43"/>
        <v>443250</v>
      </c>
      <c r="L68" s="59">
        <f t="shared" si="43"/>
        <v>398250</v>
      </c>
      <c r="M68" s="59">
        <f t="shared" si="43"/>
        <v>353250</v>
      </c>
      <c r="N68" s="59">
        <f t="shared" si="43"/>
        <v>308250</v>
      </c>
      <c r="O68" s="59">
        <f t="shared" si="43"/>
        <v>263250</v>
      </c>
      <c r="P68" s="59">
        <f t="shared" si="43"/>
        <v>216000</v>
      </c>
      <c r="Q68" s="59">
        <f t="shared" si="43"/>
        <v>166500</v>
      </c>
      <c r="R68" s="59">
        <f t="shared" si="43"/>
        <v>117000</v>
      </c>
      <c r="S68" s="59">
        <f t="shared" si="43"/>
        <v>76500</v>
      </c>
      <c r="T68" s="59">
        <f t="shared" si="43"/>
        <v>36000</v>
      </c>
      <c r="U68" s="59">
        <f t="shared" si="43"/>
        <v>-3.8198777474462986E-11</v>
      </c>
      <c r="W68" s="38"/>
      <c r="X68" s="38"/>
    </row>
    <row r="69" spans="1:26">
      <c r="A69" s="40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</row>
    <row r="70" spans="1:26">
      <c r="A70" s="353" t="s">
        <v>254</v>
      </c>
      <c r="B70" s="351"/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351"/>
      <c r="R70" s="351"/>
      <c r="S70" s="351"/>
      <c r="T70" s="351"/>
      <c r="U70" s="351"/>
      <c r="V70" s="41"/>
      <c r="W70" s="41"/>
      <c r="X70" s="41"/>
      <c r="Y70" s="41"/>
      <c r="Z70" s="41"/>
    </row>
    <row r="71" spans="1:26">
      <c r="A71" s="353"/>
      <c r="B71" s="351"/>
      <c r="C71" s="351"/>
      <c r="D71" s="351"/>
      <c r="E71" s="351"/>
      <c r="F71" s="351"/>
      <c r="G71" s="351"/>
      <c r="H71" s="351"/>
      <c r="I71" s="351"/>
      <c r="J71" s="351"/>
      <c r="K71" s="351"/>
      <c r="L71" s="351"/>
      <c r="M71" s="351"/>
      <c r="N71" s="351"/>
      <c r="O71" s="351"/>
      <c r="P71" s="351"/>
      <c r="Q71" s="351"/>
      <c r="R71" s="351"/>
      <c r="S71" s="351"/>
      <c r="T71" s="351"/>
      <c r="U71" s="351"/>
      <c r="V71" s="41"/>
      <c r="W71" s="41"/>
      <c r="X71" s="41"/>
      <c r="Y71" s="41"/>
      <c r="Z71" s="41"/>
    </row>
    <row r="72" spans="1:26">
      <c r="A72" s="40" t="s">
        <v>87</v>
      </c>
      <c r="B72" s="153">
        <f>B54+B34+B14</f>
        <v>690000</v>
      </c>
      <c r="C72" s="153">
        <f>C52+C32+C12</f>
        <v>669850</v>
      </c>
      <c r="D72" s="153">
        <f t="shared" ref="D72:U72" si="44">D52+D32+D12</f>
        <v>648237.5</v>
      </c>
      <c r="E72" s="153">
        <f t="shared" si="44"/>
        <v>625000</v>
      </c>
      <c r="F72" s="153">
        <f t="shared" si="44"/>
        <v>610125</v>
      </c>
      <c r="G72" s="153">
        <f t="shared" si="44"/>
        <v>589650</v>
      </c>
      <c r="H72" s="153">
        <f t="shared" si="44"/>
        <v>566375</v>
      </c>
      <c r="I72" s="153">
        <f t="shared" si="44"/>
        <v>541000</v>
      </c>
      <c r="J72" s="153">
        <f t="shared" si="44"/>
        <v>512125</v>
      </c>
      <c r="K72" s="153">
        <f t="shared" si="44"/>
        <v>480450</v>
      </c>
      <c r="L72" s="153">
        <f t="shared" si="44"/>
        <v>443250</v>
      </c>
      <c r="M72" s="153">
        <f t="shared" si="44"/>
        <v>398250</v>
      </c>
      <c r="N72" s="153">
        <f t="shared" si="44"/>
        <v>353250</v>
      </c>
      <c r="O72" s="153">
        <f t="shared" si="44"/>
        <v>308250</v>
      </c>
      <c r="P72" s="153">
        <f t="shared" si="44"/>
        <v>263250</v>
      </c>
      <c r="Q72" s="153">
        <f t="shared" si="44"/>
        <v>216000</v>
      </c>
      <c r="R72" s="153">
        <f t="shared" si="44"/>
        <v>166500</v>
      </c>
      <c r="S72" s="153">
        <f t="shared" si="44"/>
        <v>117000</v>
      </c>
      <c r="T72" s="153">
        <f t="shared" si="44"/>
        <v>76500</v>
      </c>
      <c r="U72" s="153">
        <f t="shared" si="44"/>
        <v>36000</v>
      </c>
      <c r="V72" s="41"/>
      <c r="W72" s="41"/>
      <c r="X72" s="41"/>
      <c r="Y72" s="41"/>
      <c r="Z72" s="41"/>
    </row>
    <row r="73" spans="1:26">
      <c r="A73" s="40" t="s">
        <v>90</v>
      </c>
      <c r="B73" s="153">
        <f t="shared" ref="B73:U73" si="45">B68+B48+B28</f>
        <v>669850</v>
      </c>
      <c r="C73" s="153">
        <f t="shared" si="45"/>
        <v>648237.5</v>
      </c>
      <c r="D73" s="153">
        <f t="shared" si="45"/>
        <v>625000</v>
      </c>
      <c r="E73" s="153">
        <f t="shared" si="45"/>
        <v>610125</v>
      </c>
      <c r="F73" s="153">
        <f t="shared" si="45"/>
        <v>589650</v>
      </c>
      <c r="G73" s="153">
        <f t="shared" si="45"/>
        <v>566375</v>
      </c>
      <c r="H73" s="153">
        <f t="shared" si="45"/>
        <v>541000</v>
      </c>
      <c r="I73" s="153">
        <f t="shared" si="45"/>
        <v>512125</v>
      </c>
      <c r="J73" s="153">
        <f t="shared" si="45"/>
        <v>480450</v>
      </c>
      <c r="K73" s="153">
        <f t="shared" si="45"/>
        <v>443250</v>
      </c>
      <c r="L73" s="153">
        <f t="shared" si="45"/>
        <v>398250</v>
      </c>
      <c r="M73" s="153">
        <f t="shared" si="45"/>
        <v>353250</v>
      </c>
      <c r="N73" s="153">
        <f t="shared" si="45"/>
        <v>308250</v>
      </c>
      <c r="O73" s="153">
        <f t="shared" si="45"/>
        <v>263250</v>
      </c>
      <c r="P73" s="153">
        <f t="shared" si="45"/>
        <v>216000</v>
      </c>
      <c r="Q73" s="153">
        <f t="shared" si="45"/>
        <v>166500</v>
      </c>
      <c r="R73" s="153">
        <f t="shared" si="45"/>
        <v>117000</v>
      </c>
      <c r="S73" s="153">
        <f t="shared" si="45"/>
        <v>76500</v>
      </c>
      <c r="T73" s="153">
        <f t="shared" si="45"/>
        <v>36000</v>
      </c>
      <c r="U73" s="153">
        <f t="shared" si="45"/>
        <v>-3.8198777474462986E-11</v>
      </c>
      <c r="V73" s="41"/>
      <c r="W73" s="41"/>
      <c r="X73" s="41"/>
      <c r="Y73" s="41"/>
      <c r="Z73" s="41"/>
    </row>
    <row r="74" spans="1:26">
      <c r="A74" s="40"/>
      <c r="B74" s="351"/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1"/>
      <c r="P74" s="351"/>
      <c r="Q74" s="351"/>
      <c r="R74" s="351"/>
      <c r="S74" s="351"/>
      <c r="T74" s="351"/>
      <c r="U74" s="351"/>
      <c r="V74" s="41"/>
      <c r="W74" s="41"/>
      <c r="X74" s="41"/>
      <c r="Y74" s="41"/>
      <c r="Z74" s="41"/>
    </row>
    <row r="75" spans="1:26">
      <c r="A75" s="40" t="s">
        <v>136</v>
      </c>
      <c r="B75" s="153">
        <f t="shared" ref="B75:U75" si="46">SUM(B66,B59,B46,B39,B26,B19)</f>
        <v>20150</v>
      </c>
      <c r="C75" s="153">
        <f t="shared" si="46"/>
        <v>21612.5</v>
      </c>
      <c r="D75" s="153">
        <f t="shared" si="46"/>
        <v>23237.5</v>
      </c>
      <c r="E75" s="153">
        <f t="shared" si="46"/>
        <v>14875.000000000002</v>
      </c>
      <c r="F75" s="153">
        <f t="shared" si="46"/>
        <v>20475</v>
      </c>
      <c r="G75" s="153">
        <f t="shared" si="46"/>
        <v>23275</v>
      </c>
      <c r="H75" s="153">
        <f t="shared" si="46"/>
        <v>25375</v>
      </c>
      <c r="I75" s="153">
        <f t="shared" si="46"/>
        <v>28875</v>
      </c>
      <c r="J75" s="153">
        <f t="shared" si="46"/>
        <v>31675</v>
      </c>
      <c r="K75" s="153">
        <f t="shared" si="46"/>
        <v>37199.999999999985</v>
      </c>
      <c r="L75" s="153">
        <f t="shared" si="46"/>
        <v>45000</v>
      </c>
      <c r="M75" s="153">
        <f t="shared" si="46"/>
        <v>45000</v>
      </c>
      <c r="N75" s="153">
        <f t="shared" si="46"/>
        <v>45000</v>
      </c>
      <c r="O75" s="153">
        <f t="shared" si="46"/>
        <v>45000</v>
      </c>
      <c r="P75" s="153">
        <f t="shared" si="46"/>
        <v>47250</v>
      </c>
      <c r="Q75" s="153">
        <f t="shared" si="46"/>
        <v>49500</v>
      </c>
      <c r="R75" s="153">
        <f t="shared" si="46"/>
        <v>49500</v>
      </c>
      <c r="S75" s="153">
        <f t="shared" si="46"/>
        <v>40500</v>
      </c>
      <c r="T75" s="153">
        <f t="shared" si="46"/>
        <v>40500</v>
      </c>
      <c r="U75" s="153">
        <f t="shared" si="46"/>
        <v>36000.000000000036</v>
      </c>
      <c r="V75" s="41"/>
      <c r="W75" s="41"/>
      <c r="X75" s="41"/>
      <c r="Y75" s="41"/>
      <c r="Z75" s="41"/>
    </row>
    <row r="76" spans="1:26">
      <c r="A76" s="331" t="s">
        <v>76</v>
      </c>
      <c r="B76" s="350">
        <f t="shared" ref="B76:U76" si="47">SUM(B13,B20,B33,B40,B53,B60,B67,B47,B27)</f>
        <v>74814.677891854895</v>
      </c>
      <c r="C76" s="350">
        <f t="shared" si="47"/>
        <v>73169.513826146474</v>
      </c>
      <c r="D76" s="350">
        <f t="shared" si="47"/>
        <v>70963.03276865161</v>
      </c>
      <c r="E76" s="350">
        <f t="shared" si="47"/>
        <v>69380.876112251877</v>
      </c>
      <c r="F76" s="350">
        <f t="shared" si="47"/>
        <v>67399.895277207397</v>
      </c>
      <c r="G76" s="350">
        <f t="shared" si="47"/>
        <v>65071.607118412052</v>
      </c>
      <c r="H76" s="350">
        <f t="shared" si="47"/>
        <v>62454.924709103361</v>
      </c>
      <c r="I76" s="350">
        <f t="shared" si="47"/>
        <v>59734.004106776185</v>
      </c>
      <c r="J76" s="350">
        <f t="shared" si="47"/>
        <v>56316.954825462017</v>
      </c>
      <c r="K76" s="350">
        <f t="shared" si="47"/>
        <v>52549.014373716636</v>
      </c>
      <c r="L76" s="350">
        <f t="shared" si="47"/>
        <v>48340.533880903487</v>
      </c>
      <c r="M76" s="350">
        <f t="shared" si="47"/>
        <v>43426.102669404514</v>
      </c>
      <c r="N76" s="350">
        <f t="shared" si="47"/>
        <v>38267.433264887062</v>
      </c>
      <c r="O76" s="350">
        <f t="shared" si="47"/>
        <v>33230.88295687885</v>
      </c>
      <c r="P76" s="350">
        <f t="shared" si="47"/>
        <v>28130.858316221766</v>
      </c>
      <c r="Q76" s="350">
        <f t="shared" si="47"/>
        <v>22845.240246406574</v>
      </c>
      <c r="R76" s="350">
        <f t="shared" si="47"/>
        <v>17238.800821355238</v>
      </c>
      <c r="S76" s="350">
        <f t="shared" si="47"/>
        <v>11952.492813141684</v>
      </c>
      <c r="T76" s="350">
        <f t="shared" si="47"/>
        <v>7419.597535934292</v>
      </c>
      <c r="U76" s="350">
        <f t="shared" si="47"/>
        <v>2897.7412731006161</v>
      </c>
      <c r="V76" s="41"/>
      <c r="W76" s="41"/>
      <c r="X76" s="41"/>
      <c r="Y76" s="41"/>
      <c r="Z76" s="41"/>
    </row>
    <row r="77" spans="1:26">
      <c r="A77" s="41" t="s">
        <v>91</v>
      </c>
      <c r="B77" s="41">
        <f t="shared" ref="B77:U77" si="48">SUM(B75:B76)</f>
        <v>94964.677891854895</v>
      </c>
      <c r="C77" s="41">
        <f t="shared" si="48"/>
        <v>94782.013826146474</v>
      </c>
      <c r="D77" s="41">
        <f t="shared" si="48"/>
        <v>94200.53276865161</v>
      </c>
      <c r="E77" s="41">
        <f t="shared" si="48"/>
        <v>84255.876112251877</v>
      </c>
      <c r="F77" s="41">
        <f t="shared" si="48"/>
        <v>87874.895277207397</v>
      </c>
      <c r="G77" s="41">
        <f t="shared" si="48"/>
        <v>88346.607118412052</v>
      </c>
      <c r="H77" s="41">
        <f t="shared" si="48"/>
        <v>87829.924709103361</v>
      </c>
      <c r="I77" s="41">
        <f t="shared" si="48"/>
        <v>88609.004106776178</v>
      </c>
      <c r="J77" s="41">
        <f t="shared" si="48"/>
        <v>87991.954825462017</v>
      </c>
      <c r="K77" s="41">
        <f t="shared" si="48"/>
        <v>89749.014373716622</v>
      </c>
      <c r="L77" s="41">
        <f t="shared" si="48"/>
        <v>93340.533880903487</v>
      </c>
      <c r="M77" s="41">
        <f t="shared" si="48"/>
        <v>88426.102669404514</v>
      </c>
      <c r="N77" s="41">
        <f t="shared" si="48"/>
        <v>83267.433264887062</v>
      </c>
      <c r="O77" s="41">
        <f t="shared" si="48"/>
        <v>78230.88295687885</v>
      </c>
      <c r="P77" s="41">
        <f t="shared" si="48"/>
        <v>75380.858316221769</v>
      </c>
      <c r="Q77" s="41">
        <f t="shared" si="48"/>
        <v>72345.240246406582</v>
      </c>
      <c r="R77" s="41">
        <f t="shared" si="48"/>
        <v>66738.800821355238</v>
      </c>
      <c r="S77" s="41">
        <f t="shared" si="48"/>
        <v>52452.492813141682</v>
      </c>
      <c r="T77" s="41">
        <f t="shared" si="48"/>
        <v>47919.597535934292</v>
      </c>
      <c r="U77" s="41">
        <f t="shared" si="48"/>
        <v>38897.741273100655</v>
      </c>
      <c r="V77" s="41"/>
      <c r="W77" s="41"/>
      <c r="X77" s="41"/>
      <c r="Y77" s="41"/>
      <c r="Z77" s="41"/>
    </row>
    <row r="78" spans="1:26" ht="13.5" thickBo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3.5" thickBot="1">
      <c r="A79" s="354" t="s">
        <v>137</v>
      </c>
      <c r="B79" s="358">
        <f>IF(B77&gt;0.1,B8/B77," ")</f>
        <v>1.2837998385672982</v>
      </c>
      <c r="C79" s="358">
        <f>IF(C77&gt;0.1,C8/C77," ")</f>
        <v>1.2795424902279682</v>
      </c>
      <c r="D79" s="358">
        <f>IF(D77&gt;0.1,D8/D77," ")</f>
        <v>1.2814137472055325</v>
      </c>
      <c r="E79" s="359">
        <f>IF(E77&gt;0.1,B8/E77," ")</f>
        <v>1.4469689684875366</v>
      </c>
      <c r="F79" s="359">
        <f t="shared" ref="F79:U79" si="49">IF(F77&gt;0.1,C8/F77," ")</f>
        <v>1.380116740023992</v>
      </c>
      <c r="G79" s="359">
        <f t="shared" si="49"/>
        <v>1.3663213746516205</v>
      </c>
      <c r="H79" s="359">
        <f t="shared" si="49"/>
        <v>2.3674360013819884</v>
      </c>
      <c r="I79" s="359">
        <f t="shared" si="49"/>
        <v>2.4648309639715498</v>
      </c>
      <c r="J79" s="359">
        <f t="shared" si="49"/>
        <v>2.5175110174058455</v>
      </c>
      <c r="K79" s="359">
        <f t="shared" si="49"/>
        <v>2.5041443911561783</v>
      </c>
      <c r="L79" s="359">
        <f t="shared" si="49"/>
        <v>2.4434636532700695</v>
      </c>
      <c r="M79" s="359">
        <f t="shared" si="49"/>
        <v>2.6189012769536908</v>
      </c>
      <c r="N79" s="359">
        <f t="shared" si="49"/>
        <v>2.813018654679289</v>
      </c>
      <c r="O79" s="359">
        <f t="shared" si="49"/>
        <v>3.0517924218625612</v>
      </c>
      <c r="P79" s="359">
        <f t="shared" si="49"/>
        <v>3.2305770421611562</v>
      </c>
      <c r="Q79" s="359">
        <f t="shared" si="49"/>
        <v>3.4262879953647993</v>
      </c>
      <c r="R79" s="359">
        <f t="shared" si="49"/>
        <v>3.7818446978775837</v>
      </c>
      <c r="S79" s="359">
        <f t="shared" si="49"/>
        <v>4.8900656121659294</v>
      </c>
      <c r="T79" s="359">
        <f t="shared" si="49"/>
        <v>5.4343582604755696</v>
      </c>
      <c r="U79" s="360">
        <f t="shared" si="49"/>
        <v>6.7811625150191501</v>
      </c>
      <c r="V79" s="42"/>
      <c r="W79" s="42"/>
      <c r="X79" s="42"/>
      <c r="Y79" s="42"/>
      <c r="Z79" s="42"/>
    </row>
    <row r="80" spans="1:26">
      <c r="A80" s="43"/>
      <c r="B80" s="332"/>
      <c r="C80" s="333"/>
      <c r="D80" s="333"/>
      <c r="E80" s="333"/>
      <c r="F80" s="333"/>
      <c r="G80" s="333"/>
      <c r="H80" s="333"/>
      <c r="I80" s="333"/>
      <c r="J80" s="333"/>
      <c r="K80" s="333"/>
      <c r="L80" s="333"/>
      <c r="M80" s="333"/>
      <c r="N80" s="333"/>
      <c r="O80" s="333"/>
      <c r="P80" s="333"/>
      <c r="Q80" s="333"/>
      <c r="R80" s="333"/>
      <c r="S80" s="333"/>
      <c r="T80" s="333"/>
      <c r="U80" s="333"/>
      <c r="V80" s="42"/>
      <c r="W80" s="42"/>
      <c r="X80" s="42"/>
      <c r="Y80" s="42"/>
      <c r="Z80" s="42"/>
    </row>
    <row r="81" spans="1:26">
      <c r="A81" s="43"/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42"/>
      <c r="W81" s="42"/>
      <c r="X81" s="42"/>
      <c r="Y81" s="42"/>
      <c r="Z81" s="42"/>
    </row>
    <row r="82" spans="1:26">
      <c r="A82" s="43"/>
      <c r="B82" s="543" t="s">
        <v>0</v>
      </c>
      <c r="C82" s="544"/>
      <c r="D82" s="544"/>
      <c r="E82" s="544"/>
      <c r="F82" s="544"/>
      <c r="G82" s="545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4"/>
      <c r="V82" s="42"/>
      <c r="W82" s="42"/>
      <c r="X82" s="42"/>
      <c r="Y82" s="42"/>
      <c r="Z82" s="42"/>
    </row>
    <row r="83" spans="1:26">
      <c r="A83" s="43"/>
      <c r="B83" s="328" t="s">
        <v>159</v>
      </c>
      <c r="C83" s="365"/>
      <c r="D83" s="366"/>
      <c r="E83" s="328" t="s">
        <v>160</v>
      </c>
      <c r="F83" s="365"/>
      <c r="G83" s="366"/>
      <c r="H83" s="334"/>
      <c r="I83" s="334"/>
      <c r="J83" s="334"/>
      <c r="K83" s="334"/>
      <c r="L83" s="334"/>
      <c r="M83" s="334"/>
      <c r="N83" s="334"/>
      <c r="O83" s="334"/>
      <c r="P83" s="334"/>
      <c r="Q83" s="334"/>
      <c r="R83" s="334"/>
      <c r="S83" s="334"/>
      <c r="T83" s="334"/>
      <c r="U83" s="334"/>
      <c r="V83" s="42"/>
      <c r="W83" s="42"/>
      <c r="X83" s="42"/>
      <c r="Y83" s="42"/>
      <c r="Z83" s="42"/>
    </row>
    <row r="84" spans="1:26">
      <c r="A84" s="43"/>
      <c r="B84" s="367" t="s">
        <v>142</v>
      </c>
      <c r="C84" s="32"/>
      <c r="D84" s="368">
        <f>MIN(B79:D79)</f>
        <v>1.2795424902279682</v>
      </c>
      <c r="E84" s="367" t="s">
        <v>142</v>
      </c>
      <c r="F84" s="32"/>
      <c r="G84" s="368">
        <f>MIN(E79:U79)</f>
        <v>1.3663213746516205</v>
      </c>
      <c r="H84" s="334"/>
      <c r="I84" s="334"/>
      <c r="J84" s="334"/>
      <c r="K84" s="334"/>
      <c r="L84" s="334"/>
      <c r="M84" s="334"/>
      <c r="N84" s="334"/>
      <c r="O84" s="334"/>
      <c r="P84" s="334"/>
      <c r="Q84" s="334"/>
      <c r="R84" s="334"/>
      <c r="S84" s="334"/>
      <c r="T84" s="334"/>
      <c r="U84" s="334"/>
      <c r="V84" s="42"/>
      <c r="W84" s="42"/>
      <c r="X84" s="42"/>
      <c r="Y84" s="42"/>
      <c r="Z84" s="42"/>
    </row>
    <row r="85" spans="1:26">
      <c r="A85" s="43"/>
      <c r="B85" s="369" t="s">
        <v>141</v>
      </c>
      <c r="C85" s="370"/>
      <c r="D85" s="371">
        <f>AVERAGE(B79:D79)</f>
        <v>1.281585358666933</v>
      </c>
      <c r="E85" s="369" t="s">
        <v>141</v>
      </c>
      <c r="F85" s="370"/>
      <c r="G85" s="371">
        <f>AVERAGE(E79:U79)</f>
        <v>3.0893412698181471</v>
      </c>
      <c r="H85" s="334"/>
      <c r="I85" s="334"/>
      <c r="J85" s="334"/>
      <c r="K85" s="334"/>
      <c r="L85" s="334"/>
      <c r="M85" s="334"/>
      <c r="N85" s="334"/>
      <c r="O85" s="334"/>
      <c r="P85" s="334"/>
      <c r="Q85" s="334"/>
      <c r="R85" s="334"/>
      <c r="S85" s="334"/>
      <c r="T85" s="334"/>
      <c r="U85" s="334"/>
      <c r="V85" s="42"/>
      <c r="W85" s="42"/>
      <c r="X85" s="42"/>
      <c r="Y85" s="42"/>
      <c r="Z85" s="42"/>
    </row>
    <row r="86" spans="1:26">
      <c r="A86" s="43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42"/>
      <c r="W86" s="42"/>
      <c r="X86" s="42"/>
      <c r="Y86" s="42"/>
      <c r="Z86" s="42"/>
    </row>
    <row r="87" spans="1:26">
      <c r="A87" s="43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42"/>
      <c r="W87" s="42"/>
      <c r="X87" s="42"/>
      <c r="Y87" s="42"/>
      <c r="Z87" s="42"/>
    </row>
    <row r="88" spans="1:26">
      <c r="A88" s="43"/>
      <c r="F88" s="334"/>
      <c r="G88" s="334"/>
      <c r="H88" s="334"/>
      <c r="I88" s="334"/>
      <c r="J88" s="334"/>
      <c r="K88" s="334"/>
      <c r="L88" s="334"/>
      <c r="M88" s="334"/>
      <c r="N88" s="334"/>
      <c r="O88" s="334"/>
      <c r="P88" s="334"/>
      <c r="Q88" s="334"/>
      <c r="R88" s="334"/>
      <c r="S88" s="334"/>
      <c r="T88" s="334"/>
      <c r="U88" s="334"/>
      <c r="V88" s="42"/>
      <c r="W88" s="42"/>
      <c r="X88" s="42"/>
      <c r="Y88" s="42"/>
      <c r="Z88" s="42"/>
    </row>
    <row r="89" spans="1:26">
      <c r="A89" s="43"/>
      <c r="B89" s="48"/>
      <c r="C89" s="17"/>
      <c r="D89" s="17"/>
      <c r="E89" s="254"/>
      <c r="F89" s="334"/>
      <c r="G89" s="334"/>
      <c r="H89" s="334"/>
      <c r="I89" s="334"/>
      <c r="J89" s="334"/>
      <c r="K89" s="334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42"/>
      <c r="W89" s="42"/>
      <c r="X89" s="42"/>
      <c r="Y89" s="42"/>
      <c r="Z89" s="42"/>
    </row>
    <row r="90" spans="1:26">
      <c r="A90" s="43"/>
      <c r="B90" s="48"/>
      <c r="C90" s="17"/>
      <c r="D90" s="17"/>
      <c r="E90" s="254"/>
      <c r="F90" s="334"/>
      <c r="G90" s="334"/>
      <c r="H90" s="334"/>
      <c r="I90" s="334"/>
      <c r="J90" s="334"/>
      <c r="K90" s="334"/>
      <c r="L90" s="334"/>
      <c r="M90" s="334"/>
      <c r="N90" s="334"/>
      <c r="O90" s="334"/>
      <c r="P90" s="334"/>
      <c r="Q90" s="334"/>
      <c r="R90" s="334"/>
      <c r="S90" s="334"/>
      <c r="T90" s="334"/>
      <c r="U90" s="334"/>
      <c r="V90" s="42"/>
      <c r="W90" s="42"/>
      <c r="X90" s="42"/>
      <c r="Y90" s="42"/>
      <c r="Z90" s="42"/>
    </row>
    <row r="91" spans="1:26">
      <c r="A91" s="43" t="s">
        <v>161</v>
      </c>
      <c r="B91" s="355">
        <f t="shared" ref="B91:U91" si="50">SUM(B13,B20,B27,B33,B40,B47,B53,B60,B67)</f>
        <v>74814.677891854895</v>
      </c>
      <c r="C91" s="355">
        <f t="shared" si="50"/>
        <v>73169.513826146489</v>
      </c>
      <c r="D91" s="355">
        <f t="shared" si="50"/>
        <v>70963.03276865161</v>
      </c>
      <c r="E91" s="355">
        <f t="shared" si="50"/>
        <v>69380.876112251892</v>
      </c>
      <c r="F91" s="355">
        <f t="shared" si="50"/>
        <v>67399.895277207397</v>
      </c>
      <c r="G91" s="355">
        <f t="shared" si="50"/>
        <v>65071.607118412052</v>
      </c>
      <c r="H91" s="355">
        <f t="shared" si="50"/>
        <v>62454.924709103354</v>
      </c>
      <c r="I91" s="355">
        <f t="shared" si="50"/>
        <v>59734.004106776185</v>
      </c>
      <c r="J91" s="355">
        <f t="shared" si="50"/>
        <v>56316.954825462017</v>
      </c>
      <c r="K91" s="355">
        <f t="shared" si="50"/>
        <v>52549.014373716636</v>
      </c>
      <c r="L91" s="355">
        <f t="shared" si="50"/>
        <v>48340.533880903487</v>
      </c>
      <c r="M91" s="355">
        <f t="shared" si="50"/>
        <v>43426.102669404514</v>
      </c>
      <c r="N91" s="355">
        <f t="shared" si="50"/>
        <v>38267.433264887062</v>
      </c>
      <c r="O91" s="355">
        <f t="shared" si="50"/>
        <v>33230.88295687885</v>
      </c>
      <c r="P91" s="355">
        <f t="shared" si="50"/>
        <v>28130.858316221766</v>
      </c>
      <c r="Q91" s="355">
        <f t="shared" si="50"/>
        <v>22845.240246406574</v>
      </c>
      <c r="R91" s="355">
        <f t="shared" si="50"/>
        <v>17238.800821355238</v>
      </c>
      <c r="S91" s="355">
        <f t="shared" si="50"/>
        <v>11952.492813141684</v>
      </c>
      <c r="T91" s="355">
        <f t="shared" si="50"/>
        <v>7419.597535934292</v>
      </c>
      <c r="U91" s="355">
        <f t="shared" si="50"/>
        <v>2897.7412731006161</v>
      </c>
      <c r="V91" s="42"/>
      <c r="W91" s="42"/>
      <c r="X91" s="42"/>
      <c r="Y91" s="42"/>
      <c r="Z91" s="42"/>
    </row>
    <row r="92" spans="1:26">
      <c r="A92" s="43"/>
      <c r="B92" s="48"/>
      <c r="C92" s="17"/>
      <c r="D92" s="17"/>
      <c r="E92" s="25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42"/>
      <c r="W92" s="42"/>
      <c r="X92" s="42"/>
      <c r="Y92" s="42"/>
      <c r="Z92" s="42"/>
    </row>
    <row r="93" spans="1:26">
      <c r="A93" s="43"/>
      <c r="B93" s="48"/>
      <c r="C93" s="17"/>
      <c r="D93" s="17"/>
      <c r="E93" s="25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42"/>
      <c r="W93" s="42"/>
      <c r="X93" s="42"/>
      <c r="Y93" s="42"/>
      <c r="Z93" s="42"/>
    </row>
    <row r="94" spans="1:26">
      <c r="B94" s="540" t="s">
        <v>20</v>
      </c>
      <c r="C94" s="541"/>
      <c r="D94" s="541"/>
      <c r="E94" s="542"/>
      <c r="F94" s="42"/>
      <c r="G94" s="540" t="s">
        <v>21</v>
      </c>
      <c r="H94" s="541"/>
      <c r="I94" s="541"/>
      <c r="J94" s="542"/>
      <c r="K94" s="42"/>
      <c r="L94" s="540" t="s">
        <v>22</v>
      </c>
      <c r="M94" s="541"/>
      <c r="N94" s="541"/>
      <c r="O94" s="542"/>
      <c r="P94" s="44"/>
      <c r="Q94" s="44"/>
      <c r="R94" s="44"/>
      <c r="S94" s="42"/>
      <c r="T94" s="42"/>
      <c r="U94" s="42"/>
      <c r="V94" s="42"/>
      <c r="W94" s="42"/>
      <c r="X94" s="42"/>
      <c r="Y94" s="42"/>
      <c r="Z94" s="42"/>
    </row>
    <row r="95" spans="1:26">
      <c r="B95" s="335" t="s">
        <v>138</v>
      </c>
      <c r="C95" s="49"/>
      <c r="D95" s="49"/>
      <c r="E95" s="336">
        <f>'Summary Output'!B27</f>
        <v>6.8000000000000005E-2</v>
      </c>
      <c r="F95" s="43"/>
      <c r="G95" s="335" t="s">
        <v>138</v>
      </c>
      <c r="H95" s="49"/>
      <c r="I95" s="49"/>
      <c r="J95" s="336">
        <f>'Summary Output'!C27</f>
        <v>6.5000000000000002E-2</v>
      </c>
      <c r="K95" s="43"/>
      <c r="L95" s="335" t="s">
        <v>138</v>
      </c>
      <c r="M95" s="49"/>
      <c r="N95" s="49"/>
      <c r="O95" s="336">
        <f>'Summary Output'!D27</f>
        <v>6.2E-2</v>
      </c>
      <c r="P95" s="44"/>
      <c r="Q95" s="44"/>
      <c r="R95" s="44"/>
      <c r="S95" s="42"/>
      <c r="T95" s="42"/>
      <c r="U95" s="42"/>
      <c r="V95" s="42"/>
      <c r="W95" s="42"/>
      <c r="X95" s="42"/>
      <c r="Y95" s="42"/>
      <c r="Z95" s="42"/>
    </row>
    <row r="96" spans="1:26">
      <c r="B96" s="47" t="s">
        <v>30</v>
      </c>
      <c r="C96" s="17"/>
      <c r="D96" s="17"/>
      <c r="E96" s="337">
        <f>'Summary Output'!B28</f>
        <v>2.2499999999999999E-2</v>
      </c>
      <c r="G96" s="47" t="s">
        <v>30</v>
      </c>
      <c r="H96" s="17"/>
      <c r="I96" s="17"/>
      <c r="J96" s="337">
        <f>'Summary Output'!C28</f>
        <v>4.4999999999999998E-2</v>
      </c>
      <c r="L96" s="47" t="s">
        <v>30</v>
      </c>
      <c r="M96" s="17"/>
      <c r="N96" s="17"/>
      <c r="O96" s="337">
        <f>'Summary Output'!D28</f>
        <v>0.05</v>
      </c>
    </row>
    <row r="97" spans="1:30">
      <c r="A97" s="40"/>
      <c r="B97" s="338" t="s">
        <v>31</v>
      </c>
      <c r="C97" s="50"/>
      <c r="D97" s="50"/>
      <c r="E97" s="339">
        <f>E96+E95</f>
        <v>9.0499999999999997E-2</v>
      </c>
      <c r="G97" s="338" t="s">
        <v>31</v>
      </c>
      <c r="H97" s="50"/>
      <c r="I97" s="50"/>
      <c r="J97" s="339">
        <f>J96+J95</f>
        <v>0.11</v>
      </c>
      <c r="L97" s="338" t="s">
        <v>31</v>
      </c>
      <c r="M97" s="50"/>
      <c r="N97" s="50"/>
      <c r="O97" s="339">
        <f>O96+O95</f>
        <v>0.112</v>
      </c>
    </row>
    <row r="98" spans="1:30">
      <c r="B98" s="340" t="s">
        <v>139</v>
      </c>
      <c r="C98" s="49"/>
      <c r="D98" s="49"/>
      <c r="E98" s="341">
        <f>('Summary Output'!B23-'Summary Output'!$B$20)/365.25</f>
        <v>2.9952087611225187</v>
      </c>
      <c r="G98" s="340" t="s">
        <v>139</v>
      </c>
      <c r="H98" s="49"/>
      <c r="I98" s="49"/>
      <c r="J98" s="341">
        <f>('Summary Output'!C23-'Summary Output'!$B$20)/365.25</f>
        <v>9.9958932238193015</v>
      </c>
      <c r="L98" s="340" t="s">
        <v>139</v>
      </c>
      <c r="M98" s="49"/>
      <c r="N98" s="49"/>
      <c r="O98" s="341">
        <f>('Summary Output'!D23-'Summary Output'!$B$20)/365.25</f>
        <v>19.997262149212869</v>
      </c>
    </row>
    <row r="99" spans="1:30">
      <c r="B99" s="342" t="s">
        <v>140</v>
      </c>
      <c r="C99" s="17"/>
      <c r="D99" s="17"/>
      <c r="E99" s="343">
        <f>B109</f>
        <v>1.7562149212867899</v>
      </c>
      <c r="G99" s="342" t="s">
        <v>140</v>
      </c>
      <c r="H99" s="17"/>
      <c r="I99" s="17"/>
      <c r="J99" s="343">
        <f>B110</f>
        <v>7.1548336755646806</v>
      </c>
      <c r="L99" s="342" t="s">
        <v>140</v>
      </c>
      <c r="M99" s="17"/>
      <c r="N99" s="17"/>
      <c r="O99" s="343">
        <f>B111</f>
        <v>15.030609171800137</v>
      </c>
    </row>
    <row r="100" spans="1:30">
      <c r="B100" s="338" t="s">
        <v>86</v>
      </c>
      <c r="C100" s="50"/>
      <c r="D100" s="50"/>
      <c r="E100" s="344">
        <f>B14</f>
        <v>65000</v>
      </c>
      <c r="G100" s="338" t="s">
        <v>86</v>
      </c>
      <c r="H100" s="50"/>
      <c r="I100" s="50"/>
      <c r="J100" s="344">
        <f>B34</f>
        <v>175000</v>
      </c>
      <c r="L100" s="338" t="s">
        <v>86</v>
      </c>
      <c r="M100" s="50"/>
      <c r="N100" s="50"/>
      <c r="O100" s="344">
        <f>B54</f>
        <v>450000</v>
      </c>
    </row>
    <row r="101" spans="1:30">
      <c r="B101" s="40"/>
    </row>
    <row r="102" spans="1:30">
      <c r="B102" s="40"/>
    </row>
    <row r="103" spans="1:30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5" spans="1:30">
      <c r="A105" s="15" t="s">
        <v>143</v>
      </c>
      <c r="B105" s="149">
        <f>(B16-$B$11)/365.25</f>
        <v>0.49281314168377821</v>
      </c>
      <c r="C105" s="149">
        <f t="shared" ref="C105:U105" si="51">(C16-$B$11)/365.25</f>
        <v>1.4921286789869952</v>
      </c>
      <c r="D105" s="149">
        <f t="shared" si="51"/>
        <v>2.4914442162902124</v>
      </c>
      <c r="E105" s="149">
        <f t="shared" si="51"/>
        <v>3.4934976043805612</v>
      </c>
      <c r="F105" s="149">
        <f t="shared" si="51"/>
        <v>4.4928131416837784</v>
      </c>
      <c r="G105" s="149">
        <f t="shared" si="51"/>
        <v>5.4921286789869956</v>
      </c>
      <c r="H105" s="149">
        <f t="shared" si="51"/>
        <v>6.491444216290212</v>
      </c>
      <c r="I105" s="149">
        <f t="shared" si="51"/>
        <v>7.4934976043805612</v>
      </c>
      <c r="J105" s="149">
        <f t="shared" si="51"/>
        <v>8.4928131416837775</v>
      </c>
      <c r="K105" s="149">
        <f t="shared" si="51"/>
        <v>9.4921286789869956</v>
      </c>
      <c r="L105" s="149">
        <f t="shared" si="51"/>
        <v>10.491444216290212</v>
      </c>
      <c r="M105" s="149">
        <f t="shared" si="51"/>
        <v>11.493497604380561</v>
      </c>
      <c r="N105" s="149">
        <f t="shared" si="51"/>
        <v>12.492813141683778</v>
      </c>
      <c r="O105" s="149">
        <f t="shared" si="51"/>
        <v>13.492128678986996</v>
      </c>
      <c r="P105" s="149">
        <f t="shared" si="51"/>
        <v>14.491444216290212</v>
      </c>
      <c r="Q105" s="149">
        <f t="shared" si="51"/>
        <v>15.493497604380561</v>
      </c>
      <c r="R105" s="149">
        <f t="shared" si="51"/>
        <v>16.492813141683779</v>
      </c>
      <c r="S105" s="149">
        <f t="shared" si="51"/>
        <v>17.492128678986994</v>
      </c>
      <c r="T105" s="149">
        <f t="shared" si="51"/>
        <v>18.491444216290212</v>
      </c>
      <c r="U105" s="149">
        <f t="shared" si="51"/>
        <v>19.493497604380561</v>
      </c>
      <c r="V105" s="345"/>
      <c r="W105" s="345"/>
      <c r="X105" s="345"/>
      <c r="Y105" s="345"/>
      <c r="Z105" s="345"/>
      <c r="AA105" s="345"/>
      <c r="AB105" s="345"/>
      <c r="AC105" s="345"/>
      <c r="AD105" s="345"/>
    </row>
    <row r="106" spans="1:30">
      <c r="B106" s="149">
        <f>(B23-$B$11)/365.25</f>
        <v>0.99657768651608492</v>
      </c>
      <c r="C106" s="149">
        <f t="shared" ref="C106:U106" si="52">(C23-$B$11)/365.25</f>
        <v>1.9958932238193019</v>
      </c>
      <c r="D106" s="149">
        <f t="shared" si="52"/>
        <v>2.9952087611225187</v>
      </c>
      <c r="E106" s="149">
        <f t="shared" si="52"/>
        <v>3.9972621492128679</v>
      </c>
      <c r="F106" s="149">
        <f t="shared" si="52"/>
        <v>4.9965776865160851</v>
      </c>
      <c r="G106" s="149">
        <f t="shared" si="52"/>
        <v>5.9958932238193015</v>
      </c>
      <c r="H106" s="149">
        <f t="shared" si="52"/>
        <v>6.9952087611225187</v>
      </c>
      <c r="I106" s="149">
        <f t="shared" si="52"/>
        <v>7.9972621492128679</v>
      </c>
      <c r="J106" s="149">
        <f t="shared" si="52"/>
        <v>8.9965776865160851</v>
      </c>
      <c r="K106" s="149">
        <f t="shared" si="52"/>
        <v>9.9958932238193015</v>
      </c>
      <c r="L106" s="149">
        <f t="shared" si="52"/>
        <v>10.99520876112252</v>
      </c>
      <c r="M106" s="149">
        <f t="shared" si="52"/>
        <v>11.997262149212867</v>
      </c>
      <c r="N106" s="149">
        <f t="shared" si="52"/>
        <v>12.996577686516085</v>
      </c>
      <c r="O106" s="149">
        <f t="shared" si="52"/>
        <v>13.995893223819301</v>
      </c>
      <c r="P106" s="149">
        <f t="shared" si="52"/>
        <v>14.99520876112252</v>
      </c>
      <c r="Q106" s="149">
        <f t="shared" si="52"/>
        <v>15.997262149212867</v>
      </c>
      <c r="R106" s="149">
        <f t="shared" si="52"/>
        <v>16.996577686516083</v>
      </c>
      <c r="S106" s="149">
        <f t="shared" si="52"/>
        <v>17.995893223819301</v>
      </c>
      <c r="T106" s="149">
        <f t="shared" si="52"/>
        <v>18.99520876112252</v>
      </c>
      <c r="U106" s="149">
        <f t="shared" si="52"/>
        <v>19.997262149212869</v>
      </c>
      <c r="V106" s="149"/>
      <c r="W106" s="149"/>
      <c r="X106" s="149"/>
      <c r="Y106" s="149"/>
      <c r="Z106" s="149"/>
      <c r="AA106" s="149"/>
      <c r="AB106" s="40"/>
      <c r="AC106" s="40"/>
    </row>
    <row r="107" spans="1:30"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40"/>
      <c r="AC107" s="40"/>
    </row>
    <row r="108" spans="1:30">
      <c r="A108" s="15" t="s">
        <v>108</v>
      </c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</row>
    <row r="109" spans="1:30">
      <c r="A109" s="16" t="s">
        <v>20</v>
      </c>
      <c r="B109" s="323">
        <f>(SUMPRODUCT($B$105:$U$105,B19:U19)+SUMPRODUCT($B$106:$U$106,B26:U26))/E100</f>
        <v>1.7562149212867899</v>
      </c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</row>
    <row r="110" spans="1:30">
      <c r="A110" s="16" t="s">
        <v>21</v>
      </c>
      <c r="B110" s="323">
        <f>(SUMPRODUCT($B$105:$U$105,B39:U39)+SUMPRODUCT($B$106:$U$106,B46:U46))/J100</f>
        <v>7.1548336755646806</v>
      </c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</row>
    <row r="111" spans="1:30">
      <c r="A111" s="16" t="s">
        <v>22</v>
      </c>
      <c r="B111" s="323">
        <f>(SUMPRODUCT($B$105:$U$105,B59:U59)+SUMPRODUCT($B$106:$U$106,B66:U66))/O100</f>
        <v>15.030609171800137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</row>
    <row r="112" spans="1:30" ht="13.5" thickBo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</row>
  </sheetData>
  <mergeCells count="4">
    <mergeCell ref="B94:E94"/>
    <mergeCell ref="G94:J94"/>
    <mergeCell ref="L94:O94"/>
    <mergeCell ref="B82:G82"/>
  </mergeCells>
  <pageMargins left="0.18" right="0.17" top="0.37" bottom="0.4" header="0.17" footer="0.21"/>
  <pageSetup scale="42" orientation="landscape" r:id="rId1"/>
  <headerFooter alignWithMargins="0">
    <oddHeader>&amp;L&amp;12Enron's Generation</oddHeader>
    <oddFooter>&amp;L&amp;T, &amp;D&amp;C&amp;F&amp;RPage &amp;P</oddFooter>
  </headerFooter>
  <rowBreaks count="1" manualBreakCount="1">
    <brk id="89" max="31" man="1"/>
  </rowBreaks>
  <colBreaks count="1" manualBreakCount="1">
    <brk id="11" max="8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BC44"/>
  <sheetViews>
    <sheetView zoomScale="75" zoomScaleNormal="75" workbookViewId="0"/>
  </sheetViews>
  <sheetFormatPr defaultRowHeight="12.75" outlineLevelRow="1"/>
  <cols>
    <col min="1" max="1" width="39.5703125" style="16" customWidth="1"/>
    <col min="2" max="2" width="12" style="16" bestFit="1" customWidth="1"/>
    <col min="3" max="5" width="11.140625" style="16" customWidth="1"/>
    <col min="6" max="7" width="12" style="16" customWidth="1"/>
    <col min="8" max="8" width="12.7109375" style="16" customWidth="1"/>
    <col min="9" max="9" width="12.5703125" style="16" customWidth="1"/>
    <col min="10" max="10" width="12.7109375" style="16" customWidth="1"/>
    <col min="11" max="13" width="11.28515625" style="16" customWidth="1"/>
    <col min="14" max="14" width="11.85546875" style="16" customWidth="1"/>
    <col min="15" max="15" width="11.140625" style="16" customWidth="1"/>
    <col min="16" max="16" width="11.85546875" style="16" customWidth="1"/>
    <col min="17" max="17" width="11.140625" style="16" customWidth="1"/>
    <col min="18" max="18" width="11.5703125" style="16" customWidth="1"/>
    <col min="19" max="19" width="11.28515625" style="16" customWidth="1"/>
    <col min="20" max="21" width="11.5703125" style="16" customWidth="1"/>
    <col min="22" max="22" width="12.5703125" style="16" customWidth="1"/>
    <col min="23" max="23" width="12.7109375" style="7" customWidth="1"/>
    <col min="24" max="24" width="12.28515625" style="7" customWidth="1"/>
    <col min="25" max="25" width="13.85546875" style="7" bestFit="1" customWidth="1"/>
    <col min="26" max="27" width="9.85546875" style="16" customWidth="1"/>
    <col min="28" max="28" width="9.140625" style="16"/>
    <col min="29" max="29" width="9.42578125" style="16" customWidth="1"/>
    <col min="30" max="30" width="9.85546875" style="16" customWidth="1"/>
    <col min="31" max="31" width="9.140625" style="16"/>
    <col min="32" max="32" width="9.42578125" style="16" customWidth="1"/>
    <col min="33" max="34" width="9.85546875" style="16" customWidth="1"/>
    <col min="35" max="36" width="9.140625" style="16"/>
    <col min="37" max="38" width="9.85546875" style="16" customWidth="1"/>
    <col min="39" max="80" width="9.140625" style="16"/>
    <col min="81" max="82" width="9.85546875" style="16" customWidth="1"/>
    <col min="83" max="16384" width="9.140625" style="16"/>
  </cols>
  <sheetData>
    <row r="2" spans="1:55" ht="18.75">
      <c r="A2" s="52" t="s">
        <v>112</v>
      </c>
      <c r="B2" s="52"/>
    </row>
    <row r="5" spans="1:55" ht="18.75">
      <c r="A5" s="150" t="s">
        <v>169</v>
      </c>
      <c r="B5" s="150"/>
    </row>
    <row r="6" spans="1:55">
      <c r="W6" s="151"/>
      <c r="X6" s="151"/>
    </row>
    <row r="7" spans="1:55" ht="13.5" outlineLevel="1" thickBot="1">
      <c r="A7" s="197" t="s">
        <v>65</v>
      </c>
      <c r="B7" s="325" t="s">
        <v>134</v>
      </c>
      <c r="C7" s="8">
        <v>2001</v>
      </c>
      <c r="D7" s="8">
        <f t="shared" ref="D7:V7" si="0">C7+1</f>
        <v>2002</v>
      </c>
      <c r="E7" s="8">
        <f t="shared" si="0"/>
        <v>2003</v>
      </c>
      <c r="F7" s="8">
        <f>E7+1</f>
        <v>2004</v>
      </c>
      <c r="G7" s="8">
        <f t="shared" si="0"/>
        <v>2005</v>
      </c>
      <c r="H7" s="8">
        <f t="shared" si="0"/>
        <v>2006</v>
      </c>
      <c r="I7" s="8">
        <f t="shared" si="0"/>
        <v>2007</v>
      </c>
      <c r="J7" s="8">
        <f t="shared" si="0"/>
        <v>2008</v>
      </c>
      <c r="K7" s="8">
        <f t="shared" si="0"/>
        <v>2009</v>
      </c>
      <c r="L7" s="8">
        <f>K7+1</f>
        <v>2010</v>
      </c>
      <c r="M7" s="8">
        <f t="shared" si="0"/>
        <v>2011</v>
      </c>
      <c r="N7" s="8">
        <f t="shared" si="0"/>
        <v>2012</v>
      </c>
      <c r="O7" s="8">
        <f t="shared" si="0"/>
        <v>2013</v>
      </c>
      <c r="P7" s="8">
        <f t="shared" si="0"/>
        <v>2014</v>
      </c>
      <c r="Q7" s="8">
        <f t="shared" si="0"/>
        <v>2015</v>
      </c>
      <c r="R7" s="8">
        <f t="shared" si="0"/>
        <v>2016</v>
      </c>
      <c r="S7" s="8">
        <f t="shared" si="0"/>
        <v>2017</v>
      </c>
      <c r="T7" s="8">
        <f t="shared" si="0"/>
        <v>2018</v>
      </c>
      <c r="U7" s="8">
        <f t="shared" si="0"/>
        <v>2019</v>
      </c>
      <c r="V7" s="8">
        <f t="shared" si="0"/>
        <v>2020</v>
      </c>
      <c r="W7" s="281" t="s">
        <v>23</v>
      </c>
      <c r="X7" s="546" t="s">
        <v>181</v>
      </c>
      <c r="Y7" s="546"/>
    </row>
    <row r="8" spans="1:55" outlineLevel="1">
      <c r="A8" s="230"/>
      <c r="B8" s="269">
        <f>'Summary Output'!B34</f>
        <v>36892</v>
      </c>
      <c r="C8" s="269">
        <v>37256</v>
      </c>
      <c r="D8" s="269">
        <v>37621</v>
      </c>
      <c r="E8" s="269">
        <v>37986</v>
      </c>
      <c r="F8" s="269">
        <v>38352</v>
      </c>
      <c r="G8" s="269">
        <v>38717</v>
      </c>
      <c r="H8" s="269">
        <v>39082</v>
      </c>
      <c r="I8" s="269">
        <v>39447</v>
      </c>
      <c r="J8" s="269">
        <v>39813</v>
      </c>
      <c r="K8" s="269">
        <v>40178</v>
      </c>
      <c r="L8" s="269">
        <v>40543</v>
      </c>
      <c r="M8" s="269">
        <v>40908</v>
      </c>
      <c r="N8" s="269">
        <v>41274</v>
      </c>
      <c r="O8" s="269">
        <v>41639</v>
      </c>
      <c r="P8" s="269">
        <v>42004</v>
      </c>
      <c r="Q8" s="269">
        <v>42369</v>
      </c>
      <c r="R8" s="269">
        <v>42735</v>
      </c>
      <c r="S8" s="269">
        <v>43100</v>
      </c>
      <c r="T8" s="269">
        <v>43465</v>
      </c>
      <c r="U8" s="269">
        <v>43830</v>
      </c>
      <c r="V8" s="269">
        <v>44196</v>
      </c>
      <c r="W8" s="282"/>
      <c r="X8" s="428"/>
      <c r="Y8" s="427"/>
    </row>
    <row r="9" spans="1:55" outlineLevel="1">
      <c r="A9" s="2"/>
      <c r="B9" s="2"/>
      <c r="C9" s="9"/>
      <c r="D9" s="9"/>
      <c r="E9" s="9"/>
      <c r="F9" s="9"/>
      <c r="G9" s="279"/>
      <c r="H9" s="279"/>
      <c r="I9" s="280"/>
      <c r="J9" s="280"/>
      <c r="K9" s="279"/>
      <c r="L9" s="279"/>
      <c r="M9" s="9"/>
      <c r="N9" s="9"/>
      <c r="O9" s="9"/>
      <c r="P9" s="9"/>
      <c r="Q9" s="9"/>
      <c r="R9" s="9"/>
      <c r="S9" s="9"/>
      <c r="T9" s="9"/>
      <c r="U9" s="9"/>
      <c r="V9" s="9"/>
      <c r="W9" s="282"/>
      <c r="X9" s="428"/>
      <c r="Y9" s="427"/>
    </row>
    <row r="10" spans="1:55">
      <c r="A10" s="12" t="s">
        <v>293</v>
      </c>
      <c r="B10" s="19">
        <v>0</v>
      </c>
      <c r="C10" s="19">
        <f>IS!B34-IS!B13</f>
        <v>121915.63814715878</v>
      </c>
      <c r="D10" s="19">
        <f>IS!C34-IS!C13</f>
        <v>121277.61399992916</v>
      </c>
      <c r="E10" s="19">
        <f>IS!D34-IS!D13</f>
        <v>120709.85768383541</v>
      </c>
      <c r="F10" s="19">
        <f>IS!E34</f>
        <v>207931.72575500078</v>
      </c>
      <c r="G10" s="19">
        <f>IS!F34</f>
        <v>218406.21700906413</v>
      </c>
      <c r="H10" s="19">
        <f>IS!G34</f>
        <v>221520.71571617806</v>
      </c>
      <c r="I10" s="19">
        <f>IS!H34</f>
        <v>224744.49095573771</v>
      </c>
      <c r="J10" s="19">
        <f>IS!I34</f>
        <v>228074.20191481113</v>
      </c>
      <c r="K10" s="19">
        <f>IS!J34</f>
        <v>231579.23319694164</v>
      </c>
      <c r="L10" s="19">
        <f>IS!K34</f>
        <v>234232.84310139008</v>
      </c>
      <c r="M10" s="19">
        <f>IS!L34</f>
        <v>238744.41576341985</v>
      </c>
      <c r="N10" s="19">
        <f>IS!M34</f>
        <v>243523.6702947889</v>
      </c>
      <c r="O10" s="19">
        <f>IS!N34</f>
        <v>247875.62817804521</v>
      </c>
      <c r="P10" s="19">
        <f>IS!O34</f>
        <v>252395.78002895042</v>
      </c>
      <c r="Q10" s="19">
        <f>IS!P34</f>
        <v>256496.13137792467</v>
      </c>
      <c r="R10" s="19">
        <f>IS!Q34</f>
        <v>260412.26070806925</v>
      </c>
      <c r="S10" s="19">
        <f>IS!R34</f>
        <v>263771.90504006343</v>
      </c>
      <c r="T10" s="19">
        <f>IS!S34</f>
        <v>267160.58639954939</v>
      </c>
      <c r="U10" s="19">
        <f>IS!T34</f>
        <v>270586.62968939333</v>
      </c>
      <c r="V10" s="19">
        <f>IS!U34</f>
        <v>274059.01888032386</v>
      </c>
      <c r="W10" s="283">
        <f>SUM(C10:V10)</f>
        <v>4505418.5638405755</v>
      </c>
      <c r="X10" s="429">
        <f>SUM(Caledonia!W56,'New Albany'!W56,Wheatland!W56,Wilton!W56,Brownsville!W56,Gleason!W56)</f>
        <v>4505418.5638405755</v>
      </c>
      <c r="Y10" s="430">
        <f>W10-X10</f>
        <v>0</v>
      </c>
    </row>
    <row r="11" spans="1:5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59"/>
      <c r="X11" s="427"/>
      <c r="Y11" s="427"/>
    </row>
    <row r="12" spans="1:55" s="7" customFormat="1" ht="12" customHeight="1">
      <c r="A12" s="13" t="s">
        <v>195</v>
      </c>
      <c r="B12" s="22">
        <v>0</v>
      </c>
      <c r="C12" s="67">
        <f>IS!B29</f>
        <v>2138.7599999999998</v>
      </c>
      <c r="D12" s="67">
        <f>IS!C29</f>
        <v>2485.4070000000002</v>
      </c>
      <c r="E12" s="67">
        <f>IS!D29</f>
        <v>2675.4930000000004</v>
      </c>
      <c r="F12" s="67">
        <f>IS!E29</f>
        <v>2752.7350000000001</v>
      </c>
      <c r="G12" s="67">
        <f>IS!F29</f>
        <v>2800.4010000000003</v>
      </c>
      <c r="H12" s="67">
        <f>IS!G29</f>
        <v>3000.837</v>
      </c>
      <c r="I12" s="67">
        <f>IS!H29</f>
        <v>3133.239</v>
      </c>
      <c r="J12" s="67">
        <f>IS!I29</f>
        <v>3204.1120000000001</v>
      </c>
      <c r="K12" s="67">
        <f>IS!J29</f>
        <v>3150.1800000000003</v>
      </c>
      <c r="L12" s="67">
        <f>IS!K29</f>
        <v>3985.1379999999999</v>
      </c>
      <c r="M12" s="67">
        <f>IS!L29</f>
        <v>3774.3130000000001</v>
      </c>
      <c r="N12" s="67">
        <f>IS!M29</f>
        <v>3371.88</v>
      </c>
      <c r="O12" s="67">
        <f>IS!N29</f>
        <v>3464.7</v>
      </c>
      <c r="P12" s="67">
        <f>IS!O29</f>
        <v>3464.7</v>
      </c>
      <c r="Q12" s="67">
        <f>IS!P29</f>
        <v>3953.498301179623</v>
      </c>
      <c r="R12" s="67">
        <f>IS!Q29</f>
        <v>3397.5323122032155</v>
      </c>
      <c r="S12" s="67">
        <f>IS!R29</f>
        <v>3421.1349584472796</v>
      </c>
      <c r="T12" s="67">
        <f>IS!S29</f>
        <v>3445.2096576162253</v>
      </c>
      <c r="U12" s="67">
        <f>IS!T29</f>
        <v>3469.7658507685501</v>
      </c>
      <c r="V12" s="67">
        <f>IS!U29</f>
        <v>3485.5551622965972</v>
      </c>
      <c r="W12" s="283">
        <f>SUM(C12:V12)</f>
        <v>64574.591242511466</v>
      </c>
      <c r="X12" s="429">
        <f>SUM(IS!B29:U29)</f>
        <v>64574.591242511466</v>
      </c>
      <c r="Y12" s="430">
        <f>W12-X12</f>
        <v>0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1:55" s="7" customFormat="1">
      <c r="A13" s="13" t="s">
        <v>196</v>
      </c>
      <c r="B13" s="22">
        <v>0</v>
      </c>
      <c r="C13" s="67">
        <f>SUM(Brownsville!B58,Caledonia!B58,'New Albany'!B58,Gleason!B58,Wheatland!B58,Wilton!B58)</f>
        <v>-1959.1981014</v>
      </c>
      <c r="D13" s="67">
        <f>-C12</f>
        <v>-2138.7599999999998</v>
      </c>
      <c r="E13" s="67">
        <f t="shared" ref="E13:V13" si="1">-D12</f>
        <v>-2485.4070000000002</v>
      </c>
      <c r="F13" s="67">
        <f t="shared" si="1"/>
        <v>-2675.4930000000004</v>
      </c>
      <c r="G13" s="67">
        <f t="shared" si="1"/>
        <v>-2752.7350000000001</v>
      </c>
      <c r="H13" s="67">
        <f t="shared" si="1"/>
        <v>-2800.4010000000003</v>
      </c>
      <c r="I13" s="67">
        <f t="shared" si="1"/>
        <v>-3000.837</v>
      </c>
      <c r="J13" s="67">
        <f t="shared" si="1"/>
        <v>-3133.239</v>
      </c>
      <c r="K13" s="67">
        <f t="shared" si="1"/>
        <v>-3204.1120000000001</v>
      </c>
      <c r="L13" s="67">
        <f t="shared" si="1"/>
        <v>-3150.1800000000003</v>
      </c>
      <c r="M13" s="67">
        <f t="shared" si="1"/>
        <v>-3985.1379999999999</v>
      </c>
      <c r="N13" s="67">
        <f t="shared" si="1"/>
        <v>-3774.3130000000001</v>
      </c>
      <c r="O13" s="67">
        <f t="shared" si="1"/>
        <v>-3371.88</v>
      </c>
      <c r="P13" s="67">
        <f t="shared" si="1"/>
        <v>-3464.7</v>
      </c>
      <c r="Q13" s="67">
        <f t="shared" si="1"/>
        <v>-3464.7</v>
      </c>
      <c r="R13" s="67">
        <f t="shared" si="1"/>
        <v>-3953.498301179623</v>
      </c>
      <c r="S13" s="67">
        <f t="shared" si="1"/>
        <v>-3397.5323122032155</v>
      </c>
      <c r="T13" s="67">
        <f t="shared" si="1"/>
        <v>-3421.1349584472796</v>
      </c>
      <c r="U13" s="67">
        <f t="shared" si="1"/>
        <v>-3445.2096576162253</v>
      </c>
      <c r="V13" s="67">
        <f t="shared" si="1"/>
        <v>-3469.7658507685501</v>
      </c>
      <c r="W13" s="283">
        <f>SUM(C13:V13)</f>
        <v>-63048.234181614876</v>
      </c>
      <c r="X13" s="429">
        <f>SUM(Caledonia!W58,'New Albany'!W58,Wheatland!W58,Wilton!W58,Brownsville!W58,Gleason!W58)</f>
        <v>-63048.234181614891</v>
      </c>
      <c r="Y13" s="430">
        <f>W13-X13</f>
        <v>0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13" t="s">
        <v>107</v>
      </c>
      <c r="B14" s="22">
        <v>0</v>
      </c>
      <c r="C14" s="22">
        <f>-Debt!B75</f>
        <v>-20150</v>
      </c>
      <c r="D14" s="22">
        <f>-Debt!C75</f>
        <v>-21612.5</v>
      </c>
      <c r="E14" s="22">
        <f>-Debt!D75</f>
        <v>-23237.5</v>
      </c>
      <c r="F14" s="22">
        <f>-Debt!E75</f>
        <v>-14875.000000000002</v>
      </c>
      <c r="G14" s="22">
        <f>-Debt!F75</f>
        <v>-20475</v>
      </c>
      <c r="H14" s="22">
        <f>-Debt!G75</f>
        <v>-23275</v>
      </c>
      <c r="I14" s="22">
        <f>-Debt!H75</f>
        <v>-25375</v>
      </c>
      <c r="J14" s="22">
        <f>-Debt!I75</f>
        <v>-28875</v>
      </c>
      <c r="K14" s="22">
        <f>-Debt!J75</f>
        <v>-31675</v>
      </c>
      <c r="L14" s="22">
        <f>-Debt!K75</f>
        <v>-37199.999999999985</v>
      </c>
      <c r="M14" s="22">
        <f>-Debt!L75</f>
        <v>-45000</v>
      </c>
      <c r="N14" s="22">
        <f>-Debt!M75</f>
        <v>-45000</v>
      </c>
      <c r="O14" s="22">
        <f>-Debt!N75</f>
        <v>-45000</v>
      </c>
      <c r="P14" s="22">
        <f>-Debt!O75</f>
        <v>-45000</v>
      </c>
      <c r="Q14" s="22">
        <f>-Debt!P75</f>
        <v>-47250</v>
      </c>
      <c r="R14" s="22">
        <f>-Debt!Q75</f>
        <v>-49500</v>
      </c>
      <c r="S14" s="22">
        <f>-Debt!R75</f>
        <v>-49500</v>
      </c>
      <c r="T14" s="22">
        <f>-Debt!S75</f>
        <v>-40500</v>
      </c>
      <c r="U14" s="22">
        <f>-Debt!T75</f>
        <v>-40500</v>
      </c>
      <c r="V14" s="22">
        <f>-Debt!U75</f>
        <v>-36000.000000000036</v>
      </c>
      <c r="W14" s="283">
        <f>SUM(C14:V14)</f>
        <v>-690000</v>
      </c>
      <c r="X14" s="429">
        <f>SUM(Debt!B75:U75)</f>
        <v>690000</v>
      </c>
      <c r="Y14" s="430">
        <f>W14+X14</f>
        <v>0</v>
      </c>
    </row>
    <row r="15" spans="1:55">
      <c r="A15" s="13" t="s">
        <v>106</v>
      </c>
      <c r="B15" s="348">
        <v>0</v>
      </c>
      <c r="C15" s="348">
        <f>-Debt!B76</f>
        <v>-74814.677891854895</v>
      </c>
      <c r="D15" s="348">
        <f>-Debt!C76</f>
        <v>-73169.513826146474</v>
      </c>
      <c r="E15" s="348">
        <f>-Debt!D76</f>
        <v>-70963.03276865161</v>
      </c>
      <c r="F15" s="348">
        <f>-Debt!E76</f>
        <v>-69380.876112251877</v>
      </c>
      <c r="G15" s="348">
        <f>-Debt!F76</f>
        <v>-67399.895277207397</v>
      </c>
      <c r="H15" s="348">
        <f>-Debt!G76</f>
        <v>-65071.607118412052</v>
      </c>
      <c r="I15" s="348">
        <f>-Debt!H76</f>
        <v>-62454.924709103361</v>
      </c>
      <c r="J15" s="348">
        <f>-Debt!I76</f>
        <v>-59734.004106776185</v>
      </c>
      <c r="K15" s="348">
        <f>-Debt!J76</f>
        <v>-56316.954825462017</v>
      </c>
      <c r="L15" s="348">
        <f>-Debt!K76</f>
        <v>-52549.014373716636</v>
      </c>
      <c r="M15" s="348">
        <f>-Debt!L76</f>
        <v>-48340.533880903487</v>
      </c>
      <c r="N15" s="348">
        <f>-Debt!M76</f>
        <v>-43426.102669404514</v>
      </c>
      <c r="O15" s="348">
        <f>-Debt!N76</f>
        <v>-38267.433264887062</v>
      </c>
      <c r="P15" s="348">
        <f>-Debt!O76</f>
        <v>-33230.88295687885</v>
      </c>
      <c r="Q15" s="348">
        <f>-Debt!P76</f>
        <v>-28130.858316221766</v>
      </c>
      <c r="R15" s="348">
        <f>-Debt!Q76</f>
        <v>-22845.240246406574</v>
      </c>
      <c r="S15" s="348">
        <f>-Debt!R76</f>
        <v>-17238.800821355238</v>
      </c>
      <c r="T15" s="348">
        <f>-Debt!S76</f>
        <v>-11952.492813141684</v>
      </c>
      <c r="U15" s="348">
        <f>-Debt!T76</f>
        <v>-7419.597535934292</v>
      </c>
      <c r="V15" s="348">
        <f>-Debt!U76</f>
        <v>-2897.7412731006161</v>
      </c>
      <c r="W15" s="285">
        <f>SUM(C15:V15)</f>
        <v>-905604.18478781648</v>
      </c>
      <c r="X15" s="429">
        <f>SUM(Debt!B76:U76)</f>
        <v>905604.18478781648</v>
      </c>
      <c r="Y15" s="430">
        <f>W15+X15</f>
        <v>0</v>
      </c>
    </row>
    <row r="16" spans="1:55">
      <c r="A16" s="1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56"/>
      <c r="X16" s="429"/>
      <c r="Y16" s="44"/>
    </row>
    <row r="17" spans="1:27">
      <c r="A17" s="12" t="s">
        <v>303</v>
      </c>
      <c r="B17" s="33">
        <f>SUM(B10:B15)</f>
        <v>0</v>
      </c>
      <c r="C17" s="33">
        <f>SUM(C10:C15)</f>
        <v>27130.522153903876</v>
      </c>
      <c r="D17" s="33">
        <f t="shared" ref="D17:V17" si="2">SUM(D10:D15)</f>
        <v>26842.2471737827</v>
      </c>
      <c r="E17" s="33">
        <f t="shared" si="2"/>
        <v>26699.410915183791</v>
      </c>
      <c r="F17" s="33">
        <f t="shared" si="2"/>
        <v>123753.0916427489</v>
      </c>
      <c r="G17" s="33">
        <f t="shared" si="2"/>
        <v>130578.98773185676</v>
      </c>
      <c r="H17" s="33">
        <f t="shared" si="2"/>
        <v>133374.54459776601</v>
      </c>
      <c r="I17" s="33">
        <f t="shared" si="2"/>
        <v>137046.96824663435</v>
      </c>
      <c r="J17" s="33">
        <f t="shared" si="2"/>
        <v>139536.07080803494</v>
      </c>
      <c r="K17" s="33">
        <f t="shared" si="2"/>
        <v>143533.34637147962</v>
      </c>
      <c r="L17" s="33">
        <f t="shared" si="2"/>
        <v>145318.78672767346</v>
      </c>
      <c r="M17" s="33">
        <f t="shared" si="2"/>
        <v>145193.05688251636</v>
      </c>
      <c r="N17" s="33">
        <f t="shared" si="2"/>
        <v>154695.13462538441</v>
      </c>
      <c r="O17" s="33">
        <f t="shared" si="2"/>
        <v>164701.01491315814</v>
      </c>
      <c r="P17" s="33">
        <f t="shared" si="2"/>
        <v>174164.89707207156</v>
      </c>
      <c r="Q17" s="33">
        <f t="shared" si="2"/>
        <v>181604.0713628825</v>
      </c>
      <c r="R17" s="33">
        <f t="shared" si="2"/>
        <v>187511.05447268626</v>
      </c>
      <c r="S17" s="33">
        <f t="shared" si="2"/>
        <v>197056.70686495228</v>
      </c>
      <c r="T17" s="33">
        <f t="shared" si="2"/>
        <v>214732.1682855766</v>
      </c>
      <c r="U17" s="33">
        <f t="shared" si="2"/>
        <v>222691.58834661136</v>
      </c>
      <c r="V17" s="33">
        <f t="shared" si="2"/>
        <v>235177.06691875125</v>
      </c>
      <c r="W17" s="283">
        <f>SUM(C17:V17)</f>
        <v>2911340.7361136549</v>
      </c>
      <c r="X17" s="429">
        <f>SUM(Caledonia!W61,'New Albany'!W61,Wheatland!W61,Wilton!W61,Brownsville!W61,Gleason!W61)</f>
        <v>2911340.7361136549</v>
      </c>
      <c r="Y17" s="44"/>
    </row>
    <row r="18" spans="1:27">
      <c r="A18" s="12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56"/>
      <c r="X18" s="427"/>
      <c r="Y18" s="44"/>
    </row>
    <row r="19" spans="1:27">
      <c r="A19" s="3" t="s">
        <v>249</v>
      </c>
      <c r="B19" s="19">
        <v>0</v>
      </c>
      <c r="C19" s="19">
        <f>-Tax!B8</f>
        <v>-397.13451113759282</v>
      </c>
      <c r="D19" s="19">
        <f>-Tax!C8</f>
        <v>-397.36523817150567</v>
      </c>
      <c r="E19" s="19">
        <f>-Tax!D8</f>
        <v>-397.60628760793594</v>
      </c>
      <c r="F19" s="19">
        <f>-Tax!E8</f>
        <v>-585.43248001006452</v>
      </c>
      <c r="G19" s="19">
        <f>-Tax!F8</f>
        <v>-1105.2195148493238</v>
      </c>
      <c r="H19" s="19">
        <f>-Tax!G8</f>
        <v>-3008.3577733396241</v>
      </c>
      <c r="I19" s="19">
        <f>-Tax!H8</f>
        <v>-4265.1077803574644</v>
      </c>
      <c r="J19" s="19">
        <f>-Tax!I8</f>
        <v>-5920.8571822886906</v>
      </c>
      <c r="K19" s="19">
        <f>-Tax!J8</f>
        <v>-6474.4734544552348</v>
      </c>
      <c r="L19" s="19">
        <f>-Tax!K8</f>
        <v>-6894.2595970630919</v>
      </c>
      <c r="M19" s="19">
        <f>-Tax!L8</f>
        <v>-7443.3949728665802</v>
      </c>
      <c r="N19" s="19">
        <f>-Tax!M8</f>
        <v>-8041.1268893756496</v>
      </c>
      <c r="O19" s="19">
        <f>-Tax!N8</f>
        <v>-8645.144533643559</v>
      </c>
      <c r="P19" s="19">
        <f>-Tax!O8</f>
        <v>-9239.5224535770412</v>
      </c>
      <c r="Q19" s="19">
        <f>-Tax!P8</f>
        <v>-9827.7318819384855</v>
      </c>
      <c r="R19" s="19">
        <f>-Tax!Q8</f>
        <v>-12590.095363325327</v>
      </c>
      <c r="S19" s="19">
        <f>-Tax!R8</f>
        <v>-15339.499791005357</v>
      </c>
      <c r="T19" s="19">
        <f>-Tax!S8</f>
        <v>-15886.126295991722</v>
      </c>
      <c r="U19" s="19">
        <f>-Tax!T8</f>
        <v>-16387.52597651814</v>
      </c>
      <c r="V19" s="19">
        <f>-Tax!U8</f>
        <v>-16891.138350382891</v>
      </c>
      <c r="W19" s="283">
        <f>SUM(C19:V19)</f>
        <v>-149737.12032790526</v>
      </c>
      <c r="X19" s="429">
        <f>SUM(Caledonia!W63,'New Albany'!W63,Wheatland!W63,Wilton!W63,Brownsville!W63,Gleason!W63)</f>
        <v>-149737.12032790529</v>
      </c>
      <c r="Y19" s="430">
        <f>W19-X19</f>
        <v>0</v>
      </c>
    </row>
    <row r="20" spans="1:27">
      <c r="A20" s="3" t="s">
        <v>250</v>
      </c>
      <c r="B20" s="201">
        <v>0</v>
      </c>
      <c r="C20" s="201">
        <f>-Tax!B24</f>
        <v>0</v>
      </c>
      <c r="D20" s="201">
        <f>-Tax!C24</f>
        <v>0</v>
      </c>
      <c r="E20" s="201">
        <f>-Tax!D24</f>
        <v>0</v>
      </c>
      <c r="F20" s="201">
        <f>-Tax!E24</f>
        <v>0</v>
      </c>
      <c r="G20" s="201">
        <f>-Tax!F24</f>
        <v>0</v>
      </c>
      <c r="H20" s="201">
        <f>-Tax!G24</f>
        <v>-7404.3277450119313</v>
      </c>
      <c r="I20" s="201">
        <f>-Tax!H24</f>
        <v>-28788.720254913365</v>
      </c>
      <c r="J20" s="201">
        <f>-Tax!I24</f>
        <v>-30281.980129018688</v>
      </c>
      <c r="K20" s="201">
        <f>-Tax!J24</f>
        <v>-32555.891512674989</v>
      </c>
      <c r="L20" s="201">
        <f>-Tax!K24</f>
        <v>-34611.560105721117</v>
      </c>
      <c r="M20" s="201">
        <f>-Tax!L24</f>
        <v>-37516.330210093874</v>
      </c>
      <c r="N20" s="201">
        <f>-Tax!M24</f>
        <v>-40654.965167610557</v>
      </c>
      <c r="O20" s="201">
        <f>-Tax!N24</f>
        <v>-43817.227424546567</v>
      </c>
      <c r="P20" s="201">
        <f>-Tax!O24</f>
        <v>-46909.092026480583</v>
      </c>
      <c r="Q20" s="201">
        <f>-Tax!P24</f>
        <v>-49968.299204633993</v>
      </c>
      <c r="R20" s="201">
        <f>-Tax!Q24</f>
        <v>-65482.003680276292</v>
      </c>
      <c r="S20" s="201">
        <f>-Tax!R24</f>
        <v>-80917.761549695992</v>
      </c>
      <c r="T20" s="201">
        <f>-Tax!S24</f>
        <v>-83762.68855164558</v>
      </c>
      <c r="U20" s="201">
        <f>-Tax!T24</f>
        <v>-86372.827161929308</v>
      </c>
      <c r="V20" s="201">
        <f>-Tax!U24</f>
        <v>-88994.548739894119</v>
      </c>
      <c r="W20" s="285">
        <f>SUM(C20:V20)</f>
        <v>-758038.22346414695</v>
      </c>
      <c r="X20" s="429">
        <f>SUM(Caledonia!W64,'New Albany'!W64,Wheatland!W64,Wilton!W64,Brownsville!W64,Gleason!W64)</f>
        <v>-758038.22346414695</v>
      </c>
      <c r="Y20" s="430">
        <f>W20-X20</f>
        <v>0</v>
      </c>
    </row>
    <row r="21" spans="1:27">
      <c r="A21" s="13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362"/>
      <c r="X21" s="431"/>
      <c r="Y21" s="44"/>
    </row>
    <row r="22" spans="1:27" s="15" customFormat="1">
      <c r="A22" s="12" t="s">
        <v>304</v>
      </c>
      <c r="B22" s="33">
        <f t="shared" ref="B22:W22" si="3">SUM(B20,B19,B17)</f>
        <v>0</v>
      </c>
      <c r="C22" s="33">
        <f t="shared" si="3"/>
        <v>26733.387642766284</v>
      </c>
      <c r="D22" s="33">
        <f t="shared" si="3"/>
        <v>26444.881935611193</v>
      </c>
      <c r="E22" s="33">
        <f t="shared" si="3"/>
        <v>26301.804627575853</v>
      </c>
      <c r="F22" s="33">
        <f t="shared" si="3"/>
        <v>123167.65916273884</v>
      </c>
      <c r="G22" s="33">
        <f t="shared" si="3"/>
        <v>129473.76821700744</v>
      </c>
      <c r="H22" s="33">
        <f t="shared" si="3"/>
        <v>122961.85907941445</v>
      </c>
      <c r="I22" s="33">
        <f t="shared" si="3"/>
        <v>103993.14021136353</v>
      </c>
      <c r="J22" s="33">
        <f t="shared" si="3"/>
        <v>103333.23349672757</v>
      </c>
      <c r="K22" s="33">
        <f t="shared" si="3"/>
        <v>104502.9814043494</v>
      </c>
      <c r="L22" s="33">
        <f t="shared" si="3"/>
        <v>103812.96702488925</v>
      </c>
      <c r="M22" s="33">
        <f t="shared" si="3"/>
        <v>100233.33169955591</v>
      </c>
      <c r="N22" s="33">
        <f t="shared" si="3"/>
        <v>105999.0425683982</v>
      </c>
      <c r="O22" s="33">
        <f t="shared" si="3"/>
        <v>112238.64295496802</v>
      </c>
      <c r="P22" s="33">
        <f t="shared" si="3"/>
        <v>118016.28259201394</v>
      </c>
      <c r="Q22" s="33">
        <f t="shared" si="3"/>
        <v>121808.04027631003</v>
      </c>
      <c r="R22" s="33">
        <f t="shared" si="3"/>
        <v>109438.95542908464</v>
      </c>
      <c r="S22" s="33">
        <f t="shared" si="3"/>
        <v>100799.44552425094</v>
      </c>
      <c r="T22" s="33">
        <f t="shared" si="3"/>
        <v>115083.35343793929</v>
      </c>
      <c r="U22" s="33">
        <f t="shared" si="3"/>
        <v>119931.23520816391</v>
      </c>
      <c r="V22" s="33">
        <f t="shared" si="3"/>
        <v>129291.37982847425</v>
      </c>
      <c r="W22" s="284">
        <f t="shared" si="3"/>
        <v>2003565.3923216027</v>
      </c>
      <c r="X22" s="429">
        <f>SUM(Caledonia!W66,'New Albany'!W66,Wheatland!W66,Wilton!W66,Brownsville!W66,Gleason!W66)</f>
        <v>2003565.3923216029</v>
      </c>
      <c r="Y22" s="430">
        <f>W22-X22</f>
        <v>0</v>
      </c>
      <c r="Z22" s="16"/>
      <c r="AA22" s="16"/>
    </row>
    <row r="23" spans="1:27">
      <c r="A23" s="13"/>
      <c r="B23" s="51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362"/>
      <c r="X23" s="152"/>
      <c r="Y23" s="16"/>
    </row>
    <row r="24" spans="1:27">
      <c r="A24" s="13"/>
      <c r="B24" s="144"/>
      <c r="C24" s="144"/>
      <c r="D24" s="144"/>
      <c r="E24" s="144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152"/>
    </row>
    <row r="25" spans="1:27" ht="18.75">
      <c r="A25" s="150" t="s">
        <v>84</v>
      </c>
    </row>
    <row r="26" spans="1:27" ht="12" customHeight="1">
      <c r="A26" s="150"/>
    </row>
    <row r="27" spans="1:27" ht="13.5" thickBot="1">
      <c r="A27" s="197" t="s">
        <v>65</v>
      </c>
      <c r="B27" s="325" t="s">
        <v>134</v>
      </c>
      <c r="C27" s="8">
        <v>2001</v>
      </c>
      <c r="D27" s="8">
        <f t="shared" ref="D27:V27" si="4">C27+1</f>
        <v>2002</v>
      </c>
      <c r="E27" s="8">
        <f t="shared" si="4"/>
        <v>2003</v>
      </c>
      <c r="F27" s="8">
        <f t="shared" si="4"/>
        <v>2004</v>
      </c>
      <c r="G27" s="8">
        <f t="shared" si="4"/>
        <v>2005</v>
      </c>
      <c r="H27" s="8">
        <f t="shared" si="4"/>
        <v>2006</v>
      </c>
      <c r="I27" s="8">
        <f t="shared" si="4"/>
        <v>2007</v>
      </c>
      <c r="J27" s="8">
        <f t="shared" si="4"/>
        <v>2008</v>
      </c>
      <c r="K27" s="8">
        <f t="shared" si="4"/>
        <v>2009</v>
      </c>
      <c r="L27" s="8">
        <f t="shared" si="4"/>
        <v>2010</v>
      </c>
      <c r="M27" s="8">
        <f t="shared" si="4"/>
        <v>2011</v>
      </c>
      <c r="N27" s="8">
        <f t="shared" si="4"/>
        <v>2012</v>
      </c>
      <c r="O27" s="8">
        <f t="shared" si="4"/>
        <v>2013</v>
      </c>
      <c r="P27" s="8">
        <f t="shared" si="4"/>
        <v>2014</v>
      </c>
      <c r="Q27" s="8">
        <f t="shared" si="4"/>
        <v>2015</v>
      </c>
      <c r="R27" s="8">
        <f t="shared" si="4"/>
        <v>2016</v>
      </c>
      <c r="S27" s="8">
        <f t="shared" si="4"/>
        <v>2017</v>
      </c>
      <c r="T27" s="8">
        <f t="shared" si="4"/>
        <v>2018</v>
      </c>
      <c r="U27" s="8">
        <f t="shared" si="4"/>
        <v>2019</v>
      </c>
      <c r="V27" s="8">
        <f t="shared" si="4"/>
        <v>2020</v>
      </c>
      <c r="X27" s="16"/>
    </row>
    <row r="28" spans="1:27">
      <c r="V28" s="7"/>
      <c r="X28" s="16"/>
    </row>
    <row r="29" spans="1:27">
      <c r="A29" s="16" t="s">
        <v>156</v>
      </c>
      <c r="B29" s="19">
        <f>-'Summary Output'!C14</f>
        <v>-594253.76311300509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59">
        <v>0</v>
      </c>
    </row>
    <row r="30" spans="1:27">
      <c r="A30" s="16" t="s">
        <v>305</v>
      </c>
      <c r="B30" s="22">
        <f>B22</f>
        <v>0</v>
      </c>
      <c r="C30" s="22">
        <f>C22*'Summary Output'!$B$14</f>
        <v>26733.387642766284</v>
      </c>
      <c r="D30" s="22">
        <f>D22*'Summary Output'!$B$14</f>
        <v>26444.881935611193</v>
      </c>
      <c r="E30" s="22">
        <f>E22*'Summary Output'!$B$14</f>
        <v>26301.804627575853</v>
      </c>
      <c r="F30" s="22">
        <f>F22*'Summary Output'!$B$14</f>
        <v>123167.65916273884</v>
      </c>
      <c r="G30" s="22">
        <f>G22*'Summary Output'!$B$14</f>
        <v>129473.76821700744</v>
      </c>
      <c r="H30" s="22">
        <f>H22*'Summary Output'!$B$14</f>
        <v>122961.85907941445</v>
      </c>
      <c r="I30" s="22">
        <f>I22*'Summary Output'!$B$14</f>
        <v>103993.14021136353</v>
      </c>
      <c r="J30" s="22">
        <f>J22*'Summary Output'!$B$14</f>
        <v>103333.23349672757</v>
      </c>
      <c r="K30" s="22">
        <f>K22*'Summary Output'!$B$14</f>
        <v>104502.9814043494</v>
      </c>
      <c r="L30" s="22">
        <f>L22*'Summary Output'!$B$14</f>
        <v>103812.96702488925</v>
      </c>
      <c r="M30" s="22">
        <f>M22*'Summary Output'!$B$14</f>
        <v>100233.33169955591</v>
      </c>
      <c r="N30" s="22">
        <f>N22*'Summary Output'!$B$14</f>
        <v>105999.0425683982</v>
      </c>
      <c r="O30" s="22">
        <f>O22*'Summary Output'!$B$14</f>
        <v>112238.64295496802</v>
      </c>
      <c r="P30" s="22">
        <f>P22*'Summary Output'!$B$14</f>
        <v>118016.28259201394</v>
      </c>
      <c r="Q30" s="22">
        <f>Q22*'Summary Output'!$B$14</f>
        <v>121808.04027631003</v>
      </c>
      <c r="R30" s="22">
        <f>R22*'Summary Output'!$B$14</f>
        <v>109438.95542908464</v>
      </c>
      <c r="S30" s="22">
        <f>S22*'Summary Output'!$B$14</f>
        <v>100799.44552425094</v>
      </c>
      <c r="T30" s="22">
        <f>T22*'Summary Output'!$B$14</f>
        <v>115083.35343793929</v>
      </c>
      <c r="U30" s="22">
        <f>U22*'Summary Output'!$B$14</f>
        <v>119931.23520816391</v>
      </c>
      <c r="V30" s="22">
        <f>V22*'Summary Output'!$B$14</f>
        <v>129291.37982847425</v>
      </c>
    </row>
    <row r="31" spans="1:27">
      <c r="A31" s="16" t="s">
        <v>162</v>
      </c>
      <c r="B31" s="201">
        <v>0</v>
      </c>
      <c r="C31" s="201">
        <v>0</v>
      </c>
      <c r="D31" s="201">
        <v>0</v>
      </c>
      <c r="E31" s="201">
        <v>0</v>
      </c>
      <c r="F31" s="201">
        <v>0</v>
      </c>
      <c r="G31" s="201">
        <v>0</v>
      </c>
      <c r="H31" s="201">
        <v>0</v>
      </c>
      <c r="I31" s="201">
        <v>0</v>
      </c>
      <c r="J31" s="201">
        <v>0</v>
      </c>
      <c r="K31" s="201">
        <v>0</v>
      </c>
      <c r="L31" s="201">
        <v>0</v>
      </c>
      <c r="M31" s="201">
        <v>0</v>
      </c>
      <c r="N31" s="201">
        <v>0</v>
      </c>
      <c r="O31" s="201">
        <v>0</v>
      </c>
      <c r="P31" s="201">
        <v>0</v>
      </c>
      <c r="Q31" s="201">
        <v>0</v>
      </c>
      <c r="R31" s="201">
        <v>0</v>
      </c>
      <c r="S31" s="201">
        <v>0</v>
      </c>
      <c r="T31" s="201">
        <v>0</v>
      </c>
      <c r="U31" s="201">
        <v>0</v>
      </c>
      <c r="V31" s="201">
        <f>'Summary Output'!D59*'Summary Output'!B14*Assumptions!K9</f>
        <v>580480.45488563541</v>
      </c>
    </row>
    <row r="32" spans="1:27">
      <c r="A32" s="16" t="s">
        <v>157</v>
      </c>
      <c r="B32" s="19">
        <f t="shared" ref="B32:V32" si="5">SUM(B29:B31)</f>
        <v>-594253.76311300509</v>
      </c>
      <c r="C32" s="19">
        <f t="shared" si="5"/>
        <v>26733.387642766284</v>
      </c>
      <c r="D32" s="19">
        <f t="shared" si="5"/>
        <v>26444.881935611193</v>
      </c>
      <c r="E32" s="19">
        <f t="shared" si="5"/>
        <v>26301.804627575853</v>
      </c>
      <c r="F32" s="19">
        <f t="shared" si="5"/>
        <v>123167.65916273884</v>
      </c>
      <c r="G32" s="19">
        <f t="shared" si="5"/>
        <v>129473.76821700744</v>
      </c>
      <c r="H32" s="19">
        <f t="shared" si="5"/>
        <v>122961.85907941445</v>
      </c>
      <c r="I32" s="19">
        <f t="shared" si="5"/>
        <v>103993.14021136353</v>
      </c>
      <c r="J32" s="19">
        <f t="shared" si="5"/>
        <v>103333.23349672757</v>
      </c>
      <c r="K32" s="19">
        <f t="shared" si="5"/>
        <v>104502.9814043494</v>
      </c>
      <c r="L32" s="19">
        <f t="shared" si="5"/>
        <v>103812.96702488925</v>
      </c>
      <c r="M32" s="19">
        <f t="shared" si="5"/>
        <v>100233.33169955591</v>
      </c>
      <c r="N32" s="19">
        <f t="shared" si="5"/>
        <v>105999.0425683982</v>
      </c>
      <c r="O32" s="19">
        <f t="shared" si="5"/>
        <v>112238.64295496802</v>
      </c>
      <c r="P32" s="19">
        <f t="shared" si="5"/>
        <v>118016.28259201394</v>
      </c>
      <c r="Q32" s="19">
        <f t="shared" si="5"/>
        <v>121808.04027631003</v>
      </c>
      <c r="R32" s="19">
        <f t="shared" si="5"/>
        <v>109438.95542908464</v>
      </c>
      <c r="S32" s="19">
        <f t="shared" si="5"/>
        <v>100799.44552425094</v>
      </c>
      <c r="T32" s="19">
        <f t="shared" si="5"/>
        <v>115083.35343793929</v>
      </c>
      <c r="U32" s="19">
        <f t="shared" si="5"/>
        <v>119931.23520816391</v>
      </c>
      <c r="V32" s="19">
        <f t="shared" si="5"/>
        <v>709771.83471410966</v>
      </c>
    </row>
    <row r="33" spans="1:22">
      <c r="A33" s="16" t="s">
        <v>85</v>
      </c>
      <c r="B33" s="361">
        <f>XIRR(B32:V32,B8:V8)</f>
        <v>0.14001414179801938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59"/>
    </row>
    <row r="35" spans="1:22"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</row>
    <row r="36" spans="1:22" customFormat="1"/>
    <row r="37" spans="1:22" customFormat="1"/>
    <row r="38" spans="1:22" customFormat="1"/>
    <row r="39" spans="1:22" customFormat="1"/>
    <row r="40" spans="1:22" customFormat="1"/>
    <row r="41" spans="1:22" customFormat="1"/>
    <row r="42" spans="1:22" customFormat="1"/>
    <row r="43" spans="1:22" customFormat="1"/>
    <row r="44" spans="1:22" customFormat="1"/>
  </sheetData>
  <mergeCells count="1">
    <mergeCell ref="X7:Y7"/>
  </mergeCells>
  <pageMargins left="0.18" right="0.17" top="0.37" bottom="0.4" header="0.17" footer="0.21"/>
  <pageSetup scale="48" orientation="landscape" r:id="rId1"/>
  <headerFooter alignWithMargins="0">
    <oddHeader>&amp;L&amp;12Enron's Generation</oddHeader>
    <oddFooter>&amp;L&amp;T, &amp;D&amp;C&amp;F&amp;RPage &amp;P</oddFooter>
  </headerFooter>
  <colBreaks count="1" manualBreakCount="1">
    <brk id="12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119"/>
  <sheetViews>
    <sheetView zoomScale="75" zoomScaleNormal="75" workbookViewId="0"/>
  </sheetViews>
  <sheetFormatPr defaultRowHeight="12.75"/>
  <cols>
    <col min="1" max="1" width="33.5703125" style="16" customWidth="1"/>
    <col min="2" max="2" width="11.85546875" style="23" customWidth="1"/>
    <col min="3" max="4" width="11.7109375" style="23" customWidth="1"/>
    <col min="5" max="20" width="11.7109375" style="16" customWidth="1"/>
    <col min="21" max="21" width="11.85546875" style="16" customWidth="1"/>
    <col min="22" max="23" width="11.7109375" style="16" customWidth="1"/>
    <col min="24" max="38" width="15.85546875" style="16" customWidth="1"/>
    <col min="39" max="16384" width="9.140625" style="16"/>
  </cols>
  <sheetData>
    <row r="1" spans="1:22">
      <c r="B1" s="16"/>
      <c r="C1" s="16"/>
      <c r="D1" s="16"/>
    </row>
    <row r="2" spans="1:22" ht="18.75">
      <c r="A2" s="52" t="s">
        <v>129</v>
      </c>
      <c r="C2" s="445"/>
    </row>
    <row r="3" spans="1:22"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s="24" customFormat="1" ht="13.5" thickBot="1">
      <c r="A4" s="197" t="s">
        <v>65</v>
      </c>
      <c r="B4" s="197" t="s">
        <v>114</v>
      </c>
      <c r="C4" s="270">
        <v>37256</v>
      </c>
      <c r="D4" s="270">
        <v>37621</v>
      </c>
      <c r="E4" s="270">
        <v>37986</v>
      </c>
      <c r="F4" s="270">
        <v>38352</v>
      </c>
      <c r="G4" s="270">
        <v>38717</v>
      </c>
      <c r="H4" s="270">
        <v>39082</v>
      </c>
      <c r="I4" s="270">
        <v>39447</v>
      </c>
      <c r="J4" s="270">
        <v>39813</v>
      </c>
      <c r="K4" s="270">
        <v>40178</v>
      </c>
      <c r="L4" s="270">
        <v>40543</v>
      </c>
      <c r="M4" s="270">
        <v>40908</v>
      </c>
      <c r="N4" s="270">
        <v>41274</v>
      </c>
      <c r="O4" s="270">
        <v>41639</v>
      </c>
      <c r="P4" s="270">
        <v>42004</v>
      </c>
      <c r="Q4" s="270">
        <v>42369</v>
      </c>
      <c r="R4" s="270">
        <v>42735</v>
      </c>
      <c r="S4" s="270">
        <v>43100</v>
      </c>
      <c r="T4" s="270">
        <v>43465</v>
      </c>
      <c r="U4" s="270">
        <v>43830</v>
      </c>
      <c r="V4" s="270">
        <v>44196</v>
      </c>
    </row>
    <row r="5" spans="1:22">
      <c r="B5" s="320">
        <v>0</v>
      </c>
      <c r="C5" s="320">
        <v>1</v>
      </c>
      <c r="D5" s="320">
        <v>2</v>
      </c>
      <c r="E5" s="320">
        <f>D5+1</f>
        <v>3</v>
      </c>
      <c r="F5" s="320">
        <f t="shared" ref="F5:V5" si="0">E5+1</f>
        <v>4</v>
      </c>
      <c r="G5" s="320">
        <f t="shared" si="0"/>
        <v>5</v>
      </c>
      <c r="H5" s="320">
        <f t="shared" si="0"/>
        <v>6</v>
      </c>
      <c r="I5" s="320">
        <f t="shared" si="0"/>
        <v>7</v>
      </c>
      <c r="J5" s="320">
        <f t="shared" si="0"/>
        <v>8</v>
      </c>
      <c r="K5" s="320">
        <f t="shared" si="0"/>
        <v>9</v>
      </c>
      <c r="L5" s="320">
        <f t="shared" si="0"/>
        <v>10</v>
      </c>
      <c r="M5" s="320">
        <f t="shared" si="0"/>
        <v>11</v>
      </c>
      <c r="N5" s="320">
        <f t="shared" si="0"/>
        <v>12</v>
      </c>
      <c r="O5" s="320">
        <f t="shared" si="0"/>
        <v>13</v>
      </c>
      <c r="P5" s="320">
        <f t="shared" si="0"/>
        <v>14</v>
      </c>
      <c r="Q5" s="320">
        <f t="shared" si="0"/>
        <v>15</v>
      </c>
      <c r="R5" s="320">
        <f t="shared" si="0"/>
        <v>16</v>
      </c>
      <c r="S5" s="320">
        <f t="shared" si="0"/>
        <v>17</v>
      </c>
      <c r="T5" s="320">
        <f t="shared" si="0"/>
        <v>18</v>
      </c>
      <c r="U5" s="320">
        <f t="shared" si="0"/>
        <v>19</v>
      </c>
      <c r="V5" s="320">
        <f t="shared" si="0"/>
        <v>20</v>
      </c>
    </row>
    <row r="6" spans="1:22" s="14" customFormat="1">
      <c r="A6" s="319" t="s">
        <v>44</v>
      </c>
      <c r="B6" s="320">
        <v>0</v>
      </c>
      <c r="C6" s="320">
        <v>1</v>
      </c>
      <c r="D6" s="320">
        <v>2</v>
      </c>
      <c r="E6" s="320">
        <f>D6+1</f>
        <v>3</v>
      </c>
      <c r="F6" s="320">
        <f t="shared" ref="F6:V6" si="1">E6+1</f>
        <v>4</v>
      </c>
      <c r="G6" s="320">
        <f t="shared" si="1"/>
        <v>5</v>
      </c>
      <c r="H6" s="320">
        <f t="shared" si="1"/>
        <v>6</v>
      </c>
      <c r="I6" s="320">
        <f t="shared" si="1"/>
        <v>7</v>
      </c>
      <c r="J6" s="320">
        <f t="shared" si="1"/>
        <v>8</v>
      </c>
      <c r="K6" s="320">
        <f t="shared" si="1"/>
        <v>9</v>
      </c>
      <c r="L6" s="320">
        <f t="shared" si="1"/>
        <v>10</v>
      </c>
      <c r="M6" s="320">
        <f t="shared" si="1"/>
        <v>11</v>
      </c>
      <c r="N6" s="320">
        <f t="shared" si="1"/>
        <v>12</v>
      </c>
      <c r="O6" s="320">
        <f t="shared" si="1"/>
        <v>13</v>
      </c>
      <c r="P6" s="320">
        <f t="shared" si="1"/>
        <v>14</v>
      </c>
      <c r="Q6" s="320">
        <f t="shared" si="1"/>
        <v>15</v>
      </c>
      <c r="R6" s="320">
        <f t="shared" si="1"/>
        <v>16</v>
      </c>
      <c r="S6" s="320">
        <f t="shared" si="1"/>
        <v>17</v>
      </c>
      <c r="T6" s="320">
        <f t="shared" si="1"/>
        <v>18</v>
      </c>
      <c r="U6" s="320">
        <f t="shared" si="1"/>
        <v>19</v>
      </c>
      <c r="V6" s="320">
        <f t="shared" si="1"/>
        <v>20</v>
      </c>
    </row>
    <row r="7" spans="1:22" s="14" customFormat="1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22">
      <c r="A8" s="39" t="s">
        <v>9</v>
      </c>
      <c r="B8" s="16"/>
      <c r="C8" s="16"/>
      <c r="D8" s="16"/>
    </row>
    <row r="9" spans="1:22">
      <c r="A9" s="21" t="s">
        <v>115</v>
      </c>
      <c r="B9" s="313">
        <v>0</v>
      </c>
      <c r="C9" s="313">
        <v>12</v>
      </c>
      <c r="D9" s="313">
        <v>12</v>
      </c>
      <c r="E9" s="313">
        <v>12</v>
      </c>
      <c r="F9" s="313">
        <v>12</v>
      </c>
      <c r="G9" s="313">
        <v>12</v>
      </c>
      <c r="H9" s="313">
        <v>12</v>
      </c>
      <c r="I9" s="313">
        <v>12</v>
      </c>
      <c r="J9" s="313">
        <v>12</v>
      </c>
      <c r="K9" s="313">
        <v>12</v>
      </c>
      <c r="L9" s="313">
        <v>12</v>
      </c>
      <c r="M9" s="313">
        <v>12</v>
      </c>
      <c r="N9" s="313">
        <v>12</v>
      </c>
      <c r="O9" s="313">
        <v>12</v>
      </c>
      <c r="P9" s="313">
        <v>12</v>
      </c>
      <c r="Q9" s="313">
        <v>12</v>
      </c>
      <c r="R9" s="313">
        <v>12</v>
      </c>
      <c r="S9" s="313">
        <v>12</v>
      </c>
      <c r="T9" s="313">
        <v>12</v>
      </c>
      <c r="U9" s="313">
        <v>12</v>
      </c>
      <c r="V9" s="313">
        <v>12</v>
      </c>
    </row>
    <row r="10" spans="1:22">
      <c r="A10" s="16" t="s">
        <v>116</v>
      </c>
      <c r="B10" s="314">
        <v>0</v>
      </c>
      <c r="C10" s="314">
        <f>90%/30</f>
        <v>3.0000000000000002E-2</v>
      </c>
      <c r="D10" s="314">
        <f>90%/30</f>
        <v>3.0000000000000002E-2</v>
      </c>
      <c r="E10" s="314">
        <f t="shared" ref="E10:V10" si="2">90%/30</f>
        <v>3.0000000000000002E-2</v>
      </c>
      <c r="F10" s="314">
        <f t="shared" si="2"/>
        <v>3.0000000000000002E-2</v>
      </c>
      <c r="G10" s="314">
        <f t="shared" si="2"/>
        <v>3.0000000000000002E-2</v>
      </c>
      <c r="H10" s="314">
        <f t="shared" si="2"/>
        <v>3.0000000000000002E-2</v>
      </c>
      <c r="I10" s="314">
        <f t="shared" si="2"/>
        <v>3.0000000000000002E-2</v>
      </c>
      <c r="J10" s="314">
        <f t="shared" si="2"/>
        <v>3.0000000000000002E-2</v>
      </c>
      <c r="K10" s="314">
        <f t="shared" si="2"/>
        <v>3.0000000000000002E-2</v>
      </c>
      <c r="L10" s="314">
        <f t="shared" si="2"/>
        <v>3.0000000000000002E-2</v>
      </c>
      <c r="M10" s="314">
        <f t="shared" si="2"/>
        <v>3.0000000000000002E-2</v>
      </c>
      <c r="N10" s="314">
        <f t="shared" si="2"/>
        <v>3.0000000000000002E-2</v>
      </c>
      <c r="O10" s="314">
        <f t="shared" si="2"/>
        <v>3.0000000000000002E-2</v>
      </c>
      <c r="P10" s="314">
        <f t="shared" si="2"/>
        <v>3.0000000000000002E-2</v>
      </c>
      <c r="Q10" s="314">
        <f t="shared" si="2"/>
        <v>3.0000000000000002E-2</v>
      </c>
      <c r="R10" s="314">
        <f t="shared" si="2"/>
        <v>3.0000000000000002E-2</v>
      </c>
      <c r="S10" s="314">
        <f t="shared" si="2"/>
        <v>3.0000000000000002E-2</v>
      </c>
      <c r="T10" s="314">
        <f t="shared" si="2"/>
        <v>3.0000000000000002E-2</v>
      </c>
      <c r="U10" s="314">
        <f t="shared" si="2"/>
        <v>3.0000000000000002E-2</v>
      </c>
      <c r="V10" s="314">
        <f t="shared" si="2"/>
        <v>3.0000000000000002E-2</v>
      </c>
    </row>
    <row r="11" spans="1:22">
      <c r="B11" s="16"/>
      <c r="C11" s="16"/>
      <c r="D11" s="16"/>
    </row>
    <row r="12" spans="1:22">
      <c r="A12" s="16" t="s">
        <v>117</v>
      </c>
      <c r="B12" s="120">
        <f>SUM('Summary Output'!$G$8,'Summary Output'!$G$9)*Allocation!$C$7+'Contract Amortization'!$C$11</f>
        <v>185246.65750082134</v>
      </c>
      <c r="C12" s="19">
        <f>B14</f>
        <v>185246.65750082134</v>
      </c>
      <c r="D12" s="19">
        <f>C14</f>
        <v>179689.25777579669</v>
      </c>
      <c r="E12" s="19">
        <f t="shared" ref="E12:V12" si="3">D14</f>
        <v>174131.85805077205</v>
      </c>
      <c r="F12" s="19">
        <f t="shared" si="3"/>
        <v>168574.4583257474</v>
      </c>
      <c r="G12" s="19">
        <f t="shared" si="3"/>
        <v>163017.05860072275</v>
      </c>
      <c r="H12" s="19">
        <f t="shared" si="3"/>
        <v>157459.65887569811</v>
      </c>
      <c r="I12" s="19">
        <f t="shared" si="3"/>
        <v>151902.25915067346</v>
      </c>
      <c r="J12" s="19">
        <f t="shared" si="3"/>
        <v>146344.85942564881</v>
      </c>
      <c r="K12" s="19">
        <f t="shared" si="3"/>
        <v>140787.45970062417</v>
      </c>
      <c r="L12" s="19">
        <f t="shared" si="3"/>
        <v>135230.05997559952</v>
      </c>
      <c r="M12" s="19">
        <f t="shared" si="3"/>
        <v>129672.66025057487</v>
      </c>
      <c r="N12" s="19">
        <f t="shared" si="3"/>
        <v>124115.26052555023</v>
      </c>
      <c r="O12" s="19">
        <f t="shared" si="3"/>
        <v>118557.86080052558</v>
      </c>
      <c r="P12" s="19">
        <f t="shared" si="3"/>
        <v>113000.46107550093</v>
      </c>
      <c r="Q12" s="19">
        <f t="shared" si="3"/>
        <v>107443.06135047629</v>
      </c>
      <c r="R12" s="19">
        <f t="shared" si="3"/>
        <v>101885.66162545164</v>
      </c>
      <c r="S12" s="19">
        <f t="shared" si="3"/>
        <v>96328.261900426995</v>
      </c>
      <c r="T12" s="19">
        <f t="shared" si="3"/>
        <v>90770.862175402348</v>
      </c>
      <c r="U12" s="19">
        <f t="shared" si="3"/>
        <v>85213.462450377701</v>
      </c>
      <c r="V12" s="19">
        <f t="shared" si="3"/>
        <v>79656.062725353055</v>
      </c>
    </row>
    <row r="13" spans="1:22">
      <c r="A13" s="16" t="s">
        <v>118</v>
      </c>
      <c r="B13" s="51">
        <f>$B$12*B10</f>
        <v>0</v>
      </c>
      <c r="C13" s="51">
        <f t="shared" ref="C13:V13" si="4">$B$12*C10</f>
        <v>5557.3997250246402</v>
      </c>
      <c r="D13" s="51">
        <f t="shared" si="4"/>
        <v>5557.3997250246402</v>
      </c>
      <c r="E13" s="51">
        <f t="shared" si="4"/>
        <v>5557.3997250246402</v>
      </c>
      <c r="F13" s="51">
        <f t="shared" si="4"/>
        <v>5557.3997250246402</v>
      </c>
      <c r="G13" s="51">
        <f t="shared" si="4"/>
        <v>5557.3997250246402</v>
      </c>
      <c r="H13" s="51">
        <f t="shared" si="4"/>
        <v>5557.3997250246402</v>
      </c>
      <c r="I13" s="51">
        <f t="shared" si="4"/>
        <v>5557.3997250246402</v>
      </c>
      <c r="J13" s="51">
        <f t="shared" si="4"/>
        <v>5557.3997250246402</v>
      </c>
      <c r="K13" s="51">
        <f t="shared" si="4"/>
        <v>5557.3997250246402</v>
      </c>
      <c r="L13" s="51">
        <f t="shared" si="4"/>
        <v>5557.3997250246402</v>
      </c>
      <c r="M13" s="51">
        <f t="shared" si="4"/>
        <v>5557.3997250246402</v>
      </c>
      <c r="N13" s="51">
        <f t="shared" si="4"/>
        <v>5557.3997250246402</v>
      </c>
      <c r="O13" s="51">
        <f t="shared" si="4"/>
        <v>5557.3997250246402</v>
      </c>
      <c r="P13" s="51">
        <f t="shared" si="4"/>
        <v>5557.3997250246402</v>
      </c>
      <c r="Q13" s="51">
        <f t="shared" si="4"/>
        <v>5557.3997250246402</v>
      </c>
      <c r="R13" s="51">
        <f t="shared" si="4"/>
        <v>5557.3997250246402</v>
      </c>
      <c r="S13" s="51">
        <f t="shared" si="4"/>
        <v>5557.3997250246402</v>
      </c>
      <c r="T13" s="51">
        <f t="shared" si="4"/>
        <v>5557.3997250246402</v>
      </c>
      <c r="U13" s="51">
        <f t="shared" si="4"/>
        <v>5557.3997250246402</v>
      </c>
      <c r="V13" s="51">
        <f t="shared" si="4"/>
        <v>5557.3997250246402</v>
      </c>
    </row>
    <row r="14" spans="1:22">
      <c r="A14" s="16" t="s">
        <v>119</v>
      </c>
      <c r="B14" s="19">
        <f>B12-B13</f>
        <v>185246.65750082134</v>
      </c>
      <c r="C14" s="19">
        <f>C12-C13</f>
        <v>179689.25777579669</v>
      </c>
      <c r="D14" s="19">
        <f>D12-D13</f>
        <v>174131.85805077205</v>
      </c>
      <c r="E14" s="19">
        <f t="shared" ref="E14:V14" si="5">E12-E13</f>
        <v>168574.4583257474</v>
      </c>
      <c r="F14" s="19">
        <f t="shared" si="5"/>
        <v>163017.05860072275</v>
      </c>
      <c r="G14" s="19">
        <f t="shared" si="5"/>
        <v>157459.65887569811</v>
      </c>
      <c r="H14" s="19">
        <f t="shared" si="5"/>
        <v>151902.25915067346</v>
      </c>
      <c r="I14" s="19">
        <f t="shared" si="5"/>
        <v>146344.85942564881</v>
      </c>
      <c r="J14" s="19">
        <f t="shared" si="5"/>
        <v>140787.45970062417</v>
      </c>
      <c r="K14" s="19">
        <f t="shared" si="5"/>
        <v>135230.05997559952</v>
      </c>
      <c r="L14" s="19">
        <f t="shared" si="5"/>
        <v>129672.66025057487</v>
      </c>
      <c r="M14" s="19">
        <f t="shared" si="5"/>
        <v>124115.26052555023</v>
      </c>
      <c r="N14" s="19">
        <f t="shared" si="5"/>
        <v>118557.86080052558</v>
      </c>
      <c r="O14" s="19">
        <f t="shared" si="5"/>
        <v>113000.46107550093</v>
      </c>
      <c r="P14" s="19">
        <f t="shared" si="5"/>
        <v>107443.06135047629</v>
      </c>
      <c r="Q14" s="19">
        <f t="shared" si="5"/>
        <v>101885.66162545164</v>
      </c>
      <c r="R14" s="19">
        <f t="shared" si="5"/>
        <v>96328.261900426995</v>
      </c>
      <c r="S14" s="19">
        <f t="shared" si="5"/>
        <v>90770.862175402348</v>
      </c>
      <c r="T14" s="19">
        <f t="shared" si="5"/>
        <v>85213.462450377701</v>
      </c>
      <c r="U14" s="19">
        <f t="shared" si="5"/>
        <v>79656.062725353055</v>
      </c>
      <c r="V14" s="19">
        <f t="shared" si="5"/>
        <v>74098.663000328408</v>
      </c>
    </row>
    <row r="15" spans="1:22">
      <c r="B15" s="16"/>
      <c r="C15" s="16"/>
      <c r="D15" s="16"/>
    </row>
    <row r="16" spans="1:22">
      <c r="A16" s="39" t="s">
        <v>10</v>
      </c>
      <c r="B16" s="16"/>
      <c r="C16" s="16"/>
      <c r="D16" s="16"/>
    </row>
    <row r="17" spans="1:22">
      <c r="A17" s="21" t="s">
        <v>115</v>
      </c>
      <c r="B17" s="313">
        <v>0</v>
      </c>
      <c r="C17" s="313">
        <v>12</v>
      </c>
      <c r="D17" s="313">
        <v>12</v>
      </c>
      <c r="E17" s="313">
        <v>12</v>
      </c>
      <c r="F17" s="313">
        <v>12</v>
      </c>
      <c r="G17" s="313">
        <v>12</v>
      </c>
      <c r="H17" s="313">
        <v>12</v>
      </c>
      <c r="I17" s="313">
        <v>12</v>
      </c>
      <c r="J17" s="313">
        <v>12</v>
      </c>
      <c r="K17" s="313">
        <v>12</v>
      </c>
      <c r="L17" s="313">
        <v>12</v>
      </c>
      <c r="M17" s="313">
        <v>12</v>
      </c>
      <c r="N17" s="313">
        <v>12</v>
      </c>
      <c r="O17" s="313">
        <v>12</v>
      </c>
      <c r="P17" s="313">
        <v>12</v>
      </c>
      <c r="Q17" s="313">
        <v>12</v>
      </c>
      <c r="R17" s="313">
        <v>12</v>
      </c>
      <c r="S17" s="313">
        <v>12</v>
      </c>
      <c r="T17" s="313">
        <v>12</v>
      </c>
      <c r="U17" s="313">
        <v>12</v>
      </c>
      <c r="V17" s="313">
        <v>12</v>
      </c>
    </row>
    <row r="18" spans="1:22">
      <c r="A18" s="16" t="s">
        <v>116</v>
      </c>
      <c r="B18" s="314">
        <v>0</v>
      </c>
      <c r="C18" s="314">
        <f>90%/30</f>
        <v>3.0000000000000002E-2</v>
      </c>
      <c r="D18" s="314">
        <f>90%/30</f>
        <v>3.0000000000000002E-2</v>
      </c>
      <c r="E18" s="314">
        <f t="shared" ref="E18:V18" si="6">90%/30</f>
        <v>3.0000000000000002E-2</v>
      </c>
      <c r="F18" s="314">
        <f t="shared" si="6"/>
        <v>3.0000000000000002E-2</v>
      </c>
      <c r="G18" s="314">
        <f t="shared" si="6"/>
        <v>3.0000000000000002E-2</v>
      </c>
      <c r="H18" s="314">
        <f t="shared" si="6"/>
        <v>3.0000000000000002E-2</v>
      </c>
      <c r="I18" s="314">
        <f t="shared" si="6"/>
        <v>3.0000000000000002E-2</v>
      </c>
      <c r="J18" s="314">
        <f t="shared" si="6"/>
        <v>3.0000000000000002E-2</v>
      </c>
      <c r="K18" s="314">
        <f t="shared" si="6"/>
        <v>3.0000000000000002E-2</v>
      </c>
      <c r="L18" s="314">
        <f t="shared" si="6"/>
        <v>3.0000000000000002E-2</v>
      </c>
      <c r="M18" s="314">
        <f t="shared" si="6"/>
        <v>3.0000000000000002E-2</v>
      </c>
      <c r="N18" s="314">
        <f t="shared" si="6"/>
        <v>3.0000000000000002E-2</v>
      </c>
      <c r="O18" s="314">
        <f t="shared" si="6"/>
        <v>3.0000000000000002E-2</v>
      </c>
      <c r="P18" s="314">
        <f t="shared" si="6"/>
        <v>3.0000000000000002E-2</v>
      </c>
      <c r="Q18" s="314">
        <f t="shared" si="6"/>
        <v>3.0000000000000002E-2</v>
      </c>
      <c r="R18" s="314">
        <f t="shared" si="6"/>
        <v>3.0000000000000002E-2</v>
      </c>
      <c r="S18" s="314">
        <f t="shared" si="6"/>
        <v>3.0000000000000002E-2</v>
      </c>
      <c r="T18" s="314">
        <f t="shared" si="6"/>
        <v>3.0000000000000002E-2</v>
      </c>
      <c r="U18" s="314">
        <f t="shared" si="6"/>
        <v>3.0000000000000002E-2</v>
      </c>
      <c r="V18" s="314">
        <f t="shared" si="6"/>
        <v>3.0000000000000002E-2</v>
      </c>
    </row>
    <row r="19" spans="1:22">
      <c r="B19" s="16"/>
      <c r="C19" s="16"/>
      <c r="D19" s="16"/>
    </row>
    <row r="20" spans="1:22">
      <c r="A20" s="16" t="s">
        <v>117</v>
      </c>
      <c r="B20" s="120">
        <f>SUM('Summary Output'!$G$8,'Summary Output'!$G$9)*Allocation!$C$8+'Contract Amortization'!$C$17</f>
        <v>219253.11300835889</v>
      </c>
      <c r="C20" s="19">
        <f>B22</f>
        <v>219253.11300835889</v>
      </c>
      <c r="D20" s="19">
        <f>C22</f>
        <v>212675.51961810811</v>
      </c>
      <c r="E20" s="19">
        <f t="shared" ref="E20:V20" si="7">D22</f>
        <v>206097.92622785736</v>
      </c>
      <c r="F20" s="19">
        <f t="shared" si="7"/>
        <v>199520.33283760661</v>
      </c>
      <c r="G20" s="19">
        <f t="shared" si="7"/>
        <v>192942.73944735585</v>
      </c>
      <c r="H20" s="19">
        <f t="shared" si="7"/>
        <v>186365.1460571051</v>
      </c>
      <c r="I20" s="19">
        <f t="shared" si="7"/>
        <v>179787.55266685435</v>
      </c>
      <c r="J20" s="19">
        <f t="shared" si="7"/>
        <v>173209.95927660359</v>
      </c>
      <c r="K20" s="19">
        <f t="shared" si="7"/>
        <v>166632.36588635284</v>
      </c>
      <c r="L20" s="19">
        <f t="shared" si="7"/>
        <v>160054.77249610209</v>
      </c>
      <c r="M20" s="19">
        <f t="shared" si="7"/>
        <v>153477.17910585133</v>
      </c>
      <c r="N20" s="19">
        <f t="shared" si="7"/>
        <v>146899.58571560058</v>
      </c>
      <c r="O20" s="19">
        <f t="shared" si="7"/>
        <v>140321.99232534983</v>
      </c>
      <c r="P20" s="19">
        <f t="shared" si="7"/>
        <v>133744.39893509907</v>
      </c>
      <c r="Q20" s="19">
        <f t="shared" si="7"/>
        <v>127166.80554484831</v>
      </c>
      <c r="R20" s="19">
        <f t="shared" si="7"/>
        <v>120589.21215459754</v>
      </c>
      <c r="S20" s="19">
        <f t="shared" si="7"/>
        <v>114011.61876434677</v>
      </c>
      <c r="T20" s="19">
        <f t="shared" si="7"/>
        <v>107434.025374096</v>
      </c>
      <c r="U20" s="19">
        <f t="shared" si="7"/>
        <v>100856.43198384524</v>
      </c>
      <c r="V20" s="19">
        <f t="shared" si="7"/>
        <v>94278.838593594468</v>
      </c>
    </row>
    <row r="21" spans="1:22">
      <c r="A21" s="16" t="s">
        <v>118</v>
      </c>
      <c r="B21" s="51">
        <f t="shared" ref="B21:V21" si="8">$B$20*B18</f>
        <v>0</v>
      </c>
      <c r="C21" s="51">
        <f t="shared" si="8"/>
        <v>6577.5933902507677</v>
      </c>
      <c r="D21" s="51">
        <f t="shared" si="8"/>
        <v>6577.5933902507677</v>
      </c>
      <c r="E21" s="51">
        <f t="shared" si="8"/>
        <v>6577.5933902507677</v>
      </c>
      <c r="F21" s="51">
        <f t="shared" si="8"/>
        <v>6577.5933902507677</v>
      </c>
      <c r="G21" s="51">
        <f t="shared" si="8"/>
        <v>6577.5933902507677</v>
      </c>
      <c r="H21" s="51">
        <f t="shared" si="8"/>
        <v>6577.5933902507677</v>
      </c>
      <c r="I21" s="51">
        <f t="shared" si="8"/>
        <v>6577.5933902507677</v>
      </c>
      <c r="J21" s="51">
        <f t="shared" si="8"/>
        <v>6577.5933902507677</v>
      </c>
      <c r="K21" s="51">
        <f t="shared" si="8"/>
        <v>6577.5933902507677</v>
      </c>
      <c r="L21" s="51">
        <f t="shared" si="8"/>
        <v>6577.5933902507677</v>
      </c>
      <c r="M21" s="51">
        <f t="shared" si="8"/>
        <v>6577.5933902507677</v>
      </c>
      <c r="N21" s="51">
        <f t="shared" si="8"/>
        <v>6577.5933902507677</v>
      </c>
      <c r="O21" s="51">
        <f t="shared" si="8"/>
        <v>6577.5933902507677</v>
      </c>
      <c r="P21" s="51">
        <f t="shared" si="8"/>
        <v>6577.5933902507677</v>
      </c>
      <c r="Q21" s="51">
        <f t="shared" si="8"/>
        <v>6577.5933902507677</v>
      </c>
      <c r="R21" s="51">
        <f t="shared" si="8"/>
        <v>6577.5933902507677</v>
      </c>
      <c r="S21" s="51">
        <f t="shared" si="8"/>
        <v>6577.5933902507677</v>
      </c>
      <c r="T21" s="51">
        <f t="shared" si="8"/>
        <v>6577.5933902507677</v>
      </c>
      <c r="U21" s="51">
        <f t="shared" si="8"/>
        <v>6577.5933902507677</v>
      </c>
      <c r="V21" s="51">
        <f t="shared" si="8"/>
        <v>6577.5933902507677</v>
      </c>
    </row>
    <row r="22" spans="1:22">
      <c r="A22" s="16" t="s">
        <v>119</v>
      </c>
      <c r="B22" s="19">
        <f>B20-B21</f>
        <v>219253.11300835889</v>
      </c>
      <c r="C22" s="19">
        <f>C20-C21</f>
        <v>212675.51961810811</v>
      </c>
      <c r="D22" s="19">
        <f>D20-D21</f>
        <v>206097.92622785736</v>
      </c>
      <c r="E22" s="19">
        <f t="shared" ref="E22:V22" si="9">E20-E21</f>
        <v>199520.33283760661</v>
      </c>
      <c r="F22" s="19">
        <f t="shared" si="9"/>
        <v>192942.73944735585</v>
      </c>
      <c r="G22" s="19">
        <f t="shared" si="9"/>
        <v>186365.1460571051</v>
      </c>
      <c r="H22" s="19">
        <f t="shared" si="9"/>
        <v>179787.55266685435</v>
      </c>
      <c r="I22" s="19">
        <f t="shared" si="9"/>
        <v>173209.95927660359</v>
      </c>
      <c r="J22" s="19">
        <f t="shared" si="9"/>
        <v>166632.36588635284</v>
      </c>
      <c r="K22" s="19">
        <f t="shared" si="9"/>
        <v>160054.77249610209</v>
      </c>
      <c r="L22" s="19">
        <f t="shared" si="9"/>
        <v>153477.17910585133</v>
      </c>
      <c r="M22" s="19">
        <f t="shared" si="9"/>
        <v>146899.58571560058</v>
      </c>
      <c r="N22" s="19">
        <f t="shared" si="9"/>
        <v>140321.99232534983</v>
      </c>
      <c r="O22" s="19">
        <f t="shared" si="9"/>
        <v>133744.39893509907</v>
      </c>
      <c r="P22" s="19">
        <f t="shared" si="9"/>
        <v>127166.80554484831</v>
      </c>
      <c r="Q22" s="19">
        <f t="shared" si="9"/>
        <v>120589.21215459754</v>
      </c>
      <c r="R22" s="19">
        <f t="shared" si="9"/>
        <v>114011.61876434677</v>
      </c>
      <c r="S22" s="19">
        <f t="shared" si="9"/>
        <v>107434.025374096</v>
      </c>
      <c r="T22" s="19">
        <f t="shared" si="9"/>
        <v>100856.43198384524</v>
      </c>
      <c r="U22" s="19">
        <f t="shared" si="9"/>
        <v>94278.838593594468</v>
      </c>
      <c r="V22" s="19">
        <f t="shared" si="9"/>
        <v>87701.2452033437</v>
      </c>
    </row>
    <row r="23" spans="1:22">
      <c r="B23" s="16"/>
      <c r="C23" s="16"/>
      <c r="D23" s="16"/>
    </row>
    <row r="24" spans="1:22">
      <c r="A24" s="39" t="s">
        <v>11</v>
      </c>
      <c r="B24" s="16"/>
      <c r="C24" s="16"/>
      <c r="D24" s="16"/>
    </row>
    <row r="25" spans="1:22">
      <c r="A25" s="21" t="s">
        <v>115</v>
      </c>
      <c r="B25" s="313">
        <v>0</v>
      </c>
      <c r="C25" s="313">
        <v>12</v>
      </c>
      <c r="D25" s="313">
        <v>12</v>
      </c>
      <c r="E25" s="313">
        <v>12</v>
      </c>
      <c r="F25" s="313">
        <v>12</v>
      </c>
      <c r="G25" s="313">
        <v>12</v>
      </c>
      <c r="H25" s="313">
        <v>12</v>
      </c>
      <c r="I25" s="313">
        <v>12</v>
      </c>
      <c r="J25" s="313">
        <v>12</v>
      </c>
      <c r="K25" s="313">
        <v>12</v>
      </c>
      <c r="L25" s="313">
        <v>12</v>
      </c>
      <c r="M25" s="313">
        <v>12</v>
      </c>
      <c r="N25" s="313">
        <v>12</v>
      </c>
      <c r="O25" s="313">
        <v>12</v>
      </c>
      <c r="P25" s="313">
        <v>12</v>
      </c>
      <c r="Q25" s="313">
        <v>12</v>
      </c>
      <c r="R25" s="313">
        <v>12</v>
      </c>
      <c r="S25" s="313">
        <v>12</v>
      </c>
      <c r="T25" s="313">
        <v>12</v>
      </c>
      <c r="U25" s="313">
        <v>12</v>
      </c>
      <c r="V25" s="313">
        <v>12</v>
      </c>
    </row>
    <row r="26" spans="1:22">
      <c r="A26" s="16" t="s">
        <v>116</v>
      </c>
      <c r="B26" s="314">
        <v>0</v>
      </c>
      <c r="C26" s="314">
        <f>90%/30</f>
        <v>3.0000000000000002E-2</v>
      </c>
      <c r="D26" s="314">
        <f>90%/30</f>
        <v>3.0000000000000002E-2</v>
      </c>
      <c r="E26" s="314">
        <f t="shared" ref="E26:V26" si="10">90%/30</f>
        <v>3.0000000000000002E-2</v>
      </c>
      <c r="F26" s="314">
        <f t="shared" si="10"/>
        <v>3.0000000000000002E-2</v>
      </c>
      <c r="G26" s="314">
        <f t="shared" si="10"/>
        <v>3.0000000000000002E-2</v>
      </c>
      <c r="H26" s="314">
        <f t="shared" si="10"/>
        <v>3.0000000000000002E-2</v>
      </c>
      <c r="I26" s="314">
        <f t="shared" si="10"/>
        <v>3.0000000000000002E-2</v>
      </c>
      <c r="J26" s="314">
        <f t="shared" si="10"/>
        <v>3.0000000000000002E-2</v>
      </c>
      <c r="K26" s="314">
        <f t="shared" si="10"/>
        <v>3.0000000000000002E-2</v>
      </c>
      <c r="L26" s="314">
        <f t="shared" si="10"/>
        <v>3.0000000000000002E-2</v>
      </c>
      <c r="M26" s="314">
        <f t="shared" si="10"/>
        <v>3.0000000000000002E-2</v>
      </c>
      <c r="N26" s="314">
        <f t="shared" si="10"/>
        <v>3.0000000000000002E-2</v>
      </c>
      <c r="O26" s="314">
        <f t="shared" si="10"/>
        <v>3.0000000000000002E-2</v>
      </c>
      <c r="P26" s="314">
        <f t="shared" si="10"/>
        <v>3.0000000000000002E-2</v>
      </c>
      <c r="Q26" s="314">
        <f t="shared" si="10"/>
        <v>3.0000000000000002E-2</v>
      </c>
      <c r="R26" s="314">
        <f t="shared" si="10"/>
        <v>3.0000000000000002E-2</v>
      </c>
      <c r="S26" s="314">
        <f t="shared" si="10"/>
        <v>3.0000000000000002E-2</v>
      </c>
      <c r="T26" s="314">
        <f t="shared" si="10"/>
        <v>3.0000000000000002E-2</v>
      </c>
      <c r="U26" s="314">
        <f t="shared" si="10"/>
        <v>3.0000000000000002E-2</v>
      </c>
      <c r="V26" s="314">
        <f t="shared" si="10"/>
        <v>3.0000000000000002E-2</v>
      </c>
    </row>
    <row r="27" spans="1:22">
      <c r="B27" s="16"/>
      <c r="C27" s="16"/>
      <c r="D27" s="16"/>
    </row>
    <row r="28" spans="1:22">
      <c r="A28" s="16" t="s">
        <v>117</v>
      </c>
      <c r="B28" s="120">
        <f>SUM('Summary Output'!$G$8,'Summary Output'!$G$9)*Allocation!$C$9+'Contract Amortization'!$C$23</f>
        <v>206699.59798479002</v>
      </c>
      <c r="C28" s="19">
        <f>B30</f>
        <v>206699.59798479002</v>
      </c>
      <c r="D28" s="19">
        <f>C30</f>
        <v>200498.61004524631</v>
      </c>
      <c r="E28" s="19">
        <f t="shared" ref="E28:V28" si="11">D30</f>
        <v>194297.62210570261</v>
      </c>
      <c r="F28" s="19">
        <f t="shared" si="11"/>
        <v>188096.63416615891</v>
      </c>
      <c r="G28" s="19">
        <f t="shared" si="11"/>
        <v>181895.64622661521</v>
      </c>
      <c r="H28" s="19">
        <f t="shared" si="11"/>
        <v>175694.65828707151</v>
      </c>
      <c r="I28" s="19">
        <f t="shared" si="11"/>
        <v>169493.6703475278</v>
      </c>
      <c r="J28" s="19">
        <f t="shared" si="11"/>
        <v>163292.6824079841</v>
      </c>
      <c r="K28" s="19">
        <f t="shared" si="11"/>
        <v>157091.6944684404</v>
      </c>
      <c r="L28" s="19">
        <f t="shared" si="11"/>
        <v>150890.7065288967</v>
      </c>
      <c r="M28" s="19">
        <f t="shared" si="11"/>
        <v>144689.718589353</v>
      </c>
      <c r="N28" s="19">
        <f t="shared" si="11"/>
        <v>138488.73064980929</v>
      </c>
      <c r="O28" s="19">
        <f t="shared" si="11"/>
        <v>132287.74271026559</v>
      </c>
      <c r="P28" s="19">
        <f t="shared" si="11"/>
        <v>126086.75477072189</v>
      </c>
      <c r="Q28" s="19">
        <f t="shared" si="11"/>
        <v>119885.76683117819</v>
      </c>
      <c r="R28" s="19">
        <f t="shared" si="11"/>
        <v>113684.77889163449</v>
      </c>
      <c r="S28" s="19">
        <f t="shared" si="11"/>
        <v>107483.79095209079</v>
      </c>
      <c r="T28" s="19">
        <f t="shared" si="11"/>
        <v>101282.80301254708</v>
      </c>
      <c r="U28" s="19">
        <f t="shared" si="11"/>
        <v>95081.815073003381</v>
      </c>
      <c r="V28" s="19">
        <f t="shared" si="11"/>
        <v>88880.827133459679</v>
      </c>
    </row>
    <row r="29" spans="1:22">
      <c r="A29" s="16" t="s">
        <v>118</v>
      </c>
      <c r="B29" s="51">
        <f>$B$28*B26</f>
        <v>0</v>
      </c>
      <c r="C29" s="51">
        <f t="shared" ref="C29:V29" si="12">$B$28*C26</f>
        <v>6200.987939543701</v>
      </c>
      <c r="D29" s="51">
        <f t="shared" si="12"/>
        <v>6200.987939543701</v>
      </c>
      <c r="E29" s="51">
        <f t="shared" si="12"/>
        <v>6200.987939543701</v>
      </c>
      <c r="F29" s="51">
        <f t="shared" si="12"/>
        <v>6200.987939543701</v>
      </c>
      <c r="G29" s="51">
        <f t="shared" si="12"/>
        <v>6200.987939543701</v>
      </c>
      <c r="H29" s="51">
        <f t="shared" si="12"/>
        <v>6200.987939543701</v>
      </c>
      <c r="I29" s="51">
        <f t="shared" si="12"/>
        <v>6200.987939543701</v>
      </c>
      <c r="J29" s="51">
        <f t="shared" si="12"/>
        <v>6200.987939543701</v>
      </c>
      <c r="K29" s="51">
        <f t="shared" si="12"/>
        <v>6200.987939543701</v>
      </c>
      <c r="L29" s="51">
        <f t="shared" si="12"/>
        <v>6200.987939543701</v>
      </c>
      <c r="M29" s="51">
        <f t="shared" si="12"/>
        <v>6200.987939543701</v>
      </c>
      <c r="N29" s="51">
        <f t="shared" si="12"/>
        <v>6200.987939543701</v>
      </c>
      <c r="O29" s="51">
        <f t="shared" si="12"/>
        <v>6200.987939543701</v>
      </c>
      <c r="P29" s="51">
        <f t="shared" si="12"/>
        <v>6200.987939543701</v>
      </c>
      <c r="Q29" s="51">
        <f t="shared" si="12"/>
        <v>6200.987939543701</v>
      </c>
      <c r="R29" s="51">
        <f t="shared" si="12"/>
        <v>6200.987939543701</v>
      </c>
      <c r="S29" s="51">
        <f t="shared" si="12"/>
        <v>6200.987939543701</v>
      </c>
      <c r="T29" s="51">
        <f t="shared" si="12"/>
        <v>6200.987939543701</v>
      </c>
      <c r="U29" s="51">
        <f t="shared" si="12"/>
        <v>6200.987939543701</v>
      </c>
      <c r="V29" s="51">
        <f t="shared" si="12"/>
        <v>6200.987939543701</v>
      </c>
    </row>
    <row r="30" spans="1:22">
      <c r="A30" s="16" t="s">
        <v>119</v>
      </c>
      <c r="B30" s="19">
        <f>B28-B29</f>
        <v>206699.59798479002</v>
      </c>
      <c r="C30" s="19">
        <f>C28-C29</f>
        <v>200498.61004524631</v>
      </c>
      <c r="D30" s="19">
        <f>D28-D29</f>
        <v>194297.62210570261</v>
      </c>
      <c r="E30" s="19">
        <f t="shared" ref="E30:V30" si="13">E28-E29</f>
        <v>188096.63416615891</v>
      </c>
      <c r="F30" s="19">
        <f t="shared" si="13"/>
        <v>181895.64622661521</v>
      </c>
      <c r="G30" s="19">
        <f t="shared" si="13"/>
        <v>175694.65828707151</v>
      </c>
      <c r="H30" s="19">
        <f t="shared" si="13"/>
        <v>169493.6703475278</v>
      </c>
      <c r="I30" s="19">
        <f t="shared" si="13"/>
        <v>163292.6824079841</v>
      </c>
      <c r="J30" s="19">
        <f t="shared" si="13"/>
        <v>157091.6944684404</v>
      </c>
      <c r="K30" s="19">
        <f t="shared" si="13"/>
        <v>150890.7065288967</v>
      </c>
      <c r="L30" s="19">
        <f t="shared" si="13"/>
        <v>144689.718589353</v>
      </c>
      <c r="M30" s="19">
        <f t="shared" si="13"/>
        <v>138488.73064980929</v>
      </c>
      <c r="N30" s="19">
        <f t="shared" si="13"/>
        <v>132287.74271026559</v>
      </c>
      <c r="O30" s="19">
        <f t="shared" si="13"/>
        <v>126086.75477072189</v>
      </c>
      <c r="P30" s="19">
        <f t="shared" si="13"/>
        <v>119885.76683117819</v>
      </c>
      <c r="Q30" s="19">
        <f t="shared" si="13"/>
        <v>113684.77889163449</v>
      </c>
      <c r="R30" s="19">
        <f t="shared" si="13"/>
        <v>107483.79095209079</v>
      </c>
      <c r="S30" s="19">
        <f t="shared" si="13"/>
        <v>101282.80301254708</v>
      </c>
      <c r="T30" s="19">
        <f t="shared" si="13"/>
        <v>95081.815073003381</v>
      </c>
      <c r="U30" s="19">
        <f t="shared" si="13"/>
        <v>88880.827133459679</v>
      </c>
      <c r="V30" s="19">
        <f t="shared" si="13"/>
        <v>82679.839193915977</v>
      </c>
    </row>
    <row r="31" spans="1:22">
      <c r="B31" s="16"/>
      <c r="C31" s="16"/>
      <c r="D31" s="16"/>
    </row>
    <row r="32" spans="1:22">
      <c r="A32" s="39" t="s">
        <v>113</v>
      </c>
      <c r="B32" s="16"/>
      <c r="C32" s="16"/>
      <c r="D32" s="16"/>
    </row>
    <row r="33" spans="1:26">
      <c r="A33" s="21" t="s">
        <v>115</v>
      </c>
      <c r="B33" s="313">
        <v>0</v>
      </c>
      <c r="C33" s="313">
        <v>12</v>
      </c>
      <c r="D33" s="313">
        <v>12</v>
      </c>
      <c r="E33" s="313">
        <v>12</v>
      </c>
      <c r="F33" s="313">
        <v>12</v>
      </c>
      <c r="G33" s="313">
        <v>12</v>
      </c>
      <c r="H33" s="313">
        <v>12</v>
      </c>
      <c r="I33" s="313">
        <v>12</v>
      </c>
      <c r="J33" s="313">
        <v>12</v>
      </c>
      <c r="K33" s="313">
        <v>12</v>
      </c>
      <c r="L33" s="313">
        <v>12</v>
      </c>
      <c r="M33" s="313">
        <v>12</v>
      </c>
      <c r="N33" s="313">
        <v>12</v>
      </c>
      <c r="O33" s="313">
        <v>12</v>
      </c>
      <c r="P33" s="313">
        <v>12</v>
      </c>
      <c r="Q33" s="313">
        <v>12</v>
      </c>
      <c r="R33" s="313">
        <v>12</v>
      </c>
      <c r="S33" s="313">
        <v>12</v>
      </c>
      <c r="T33" s="313">
        <v>12</v>
      </c>
      <c r="U33" s="313">
        <v>12</v>
      </c>
      <c r="V33" s="313">
        <v>12</v>
      </c>
    </row>
    <row r="34" spans="1:26">
      <c r="A34" s="16" t="s">
        <v>116</v>
      </c>
      <c r="B34" s="314">
        <v>0</v>
      </c>
      <c r="C34" s="314">
        <f>90%/30</f>
        <v>3.0000000000000002E-2</v>
      </c>
      <c r="D34" s="314">
        <f>90%/30</f>
        <v>3.0000000000000002E-2</v>
      </c>
      <c r="E34" s="314">
        <f t="shared" ref="E34:V34" si="14">90%/30</f>
        <v>3.0000000000000002E-2</v>
      </c>
      <c r="F34" s="314">
        <f t="shared" si="14"/>
        <v>3.0000000000000002E-2</v>
      </c>
      <c r="G34" s="314">
        <f t="shared" si="14"/>
        <v>3.0000000000000002E-2</v>
      </c>
      <c r="H34" s="314">
        <f t="shared" si="14"/>
        <v>3.0000000000000002E-2</v>
      </c>
      <c r="I34" s="314">
        <f t="shared" si="14"/>
        <v>3.0000000000000002E-2</v>
      </c>
      <c r="J34" s="314">
        <f t="shared" si="14"/>
        <v>3.0000000000000002E-2</v>
      </c>
      <c r="K34" s="314">
        <f t="shared" si="14"/>
        <v>3.0000000000000002E-2</v>
      </c>
      <c r="L34" s="314">
        <f t="shared" si="14"/>
        <v>3.0000000000000002E-2</v>
      </c>
      <c r="M34" s="314">
        <f t="shared" si="14"/>
        <v>3.0000000000000002E-2</v>
      </c>
      <c r="N34" s="314">
        <f t="shared" si="14"/>
        <v>3.0000000000000002E-2</v>
      </c>
      <c r="O34" s="314">
        <f t="shared" si="14"/>
        <v>3.0000000000000002E-2</v>
      </c>
      <c r="P34" s="314">
        <f t="shared" si="14"/>
        <v>3.0000000000000002E-2</v>
      </c>
      <c r="Q34" s="314">
        <f t="shared" si="14"/>
        <v>3.0000000000000002E-2</v>
      </c>
      <c r="R34" s="314">
        <f t="shared" si="14"/>
        <v>3.0000000000000002E-2</v>
      </c>
      <c r="S34" s="314">
        <f t="shared" si="14"/>
        <v>3.0000000000000002E-2</v>
      </c>
      <c r="T34" s="314">
        <f t="shared" si="14"/>
        <v>3.0000000000000002E-2</v>
      </c>
      <c r="U34" s="314">
        <f t="shared" si="14"/>
        <v>3.0000000000000002E-2</v>
      </c>
      <c r="V34" s="314">
        <f t="shared" si="14"/>
        <v>3.0000000000000002E-2</v>
      </c>
    </row>
    <row r="35" spans="1:26">
      <c r="B35" s="16"/>
      <c r="C35" s="16"/>
      <c r="D35" s="16"/>
    </row>
    <row r="36" spans="1:26">
      <c r="A36" s="16" t="s">
        <v>117</v>
      </c>
      <c r="B36" s="120">
        <f>SUM('Summary Output'!$G$8,'Summary Output'!$G$9)*Allocation!$C$12+'Contract Amortization'!$C$29</f>
        <v>246740.74044327988</v>
      </c>
      <c r="C36" s="19">
        <f>B38</f>
        <v>246740.74044327988</v>
      </c>
      <c r="D36" s="19">
        <f>C38</f>
        <v>239338.51822998148</v>
      </c>
      <c r="E36" s="19">
        <f t="shared" ref="E36:V36" si="15">D38</f>
        <v>231936.29601668307</v>
      </c>
      <c r="F36" s="19">
        <f t="shared" si="15"/>
        <v>224534.07380338467</v>
      </c>
      <c r="G36" s="19">
        <f t="shared" si="15"/>
        <v>217131.85159008627</v>
      </c>
      <c r="H36" s="19">
        <f t="shared" si="15"/>
        <v>209729.62937678787</v>
      </c>
      <c r="I36" s="19">
        <f t="shared" si="15"/>
        <v>202327.40716348946</v>
      </c>
      <c r="J36" s="19">
        <f t="shared" si="15"/>
        <v>194925.18495019106</v>
      </c>
      <c r="K36" s="19">
        <f t="shared" si="15"/>
        <v>187522.96273689266</v>
      </c>
      <c r="L36" s="19">
        <f t="shared" si="15"/>
        <v>180120.74052359426</v>
      </c>
      <c r="M36" s="19">
        <f t="shared" si="15"/>
        <v>172718.51831029585</v>
      </c>
      <c r="N36" s="19">
        <f t="shared" si="15"/>
        <v>165316.29609699745</v>
      </c>
      <c r="O36" s="19">
        <f t="shared" si="15"/>
        <v>157914.07388369905</v>
      </c>
      <c r="P36" s="19">
        <f t="shared" si="15"/>
        <v>150511.85167040065</v>
      </c>
      <c r="Q36" s="19">
        <f t="shared" si="15"/>
        <v>143109.62945710224</v>
      </c>
      <c r="R36" s="19">
        <f t="shared" si="15"/>
        <v>135707.40724380384</v>
      </c>
      <c r="S36" s="19">
        <f t="shared" si="15"/>
        <v>128305.18503050544</v>
      </c>
      <c r="T36" s="19">
        <f t="shared" si="15"/>
        <v>120902.96281720704</v>
      </c>
      <c r="U36" s="19">
        <f t="shared" si="15"/>
        <v>113500.74060390863</v>
      </c>
      <c r="V36" s="19">
        <f t="shared" si="15"/>
        <v>106098.51839061023</v>
      </c>
    </row>
    <row r="37" spans="1:26">
      <c r="A37" s="16" t="s">
        <v>118</v>
      </c>
      <c r="B37" s="51">
        <f>$B$36*B34</f>
        <v>0</v>
      </c>
      <c r="C37" s="51">
        <f t="shared" ref="C37:V37" si="16">$B$36*C34</f>
        <v>7402.222213298397</v>
      </c>
      <c r="D37" s="51">
        <f t="shared" si="16"/>
        <v>7402.222213298397</v>
      </c>
      <c r="E37" s="51">
        <f t="shared" si="16"/>
        <v>7402.222213298397</v>
      </c>
      <c r="F37" s="51">
        <f t="shared" si="16"/>
        <v>7402.222213298397</v>
      </c>
      <c r="G37" s="51">
        <f t="shared" si="16"/>
        <v>7402.222213298397</v>
      </c>
      <c r="H37" s="51">
        <f t="shared" si="16"/>
        <v>7402.222213298397</v>
      </c>
      <c r="I37" s="51">
        <f t="shared" si="16"/>
        <v>7402.222213298397</v>
      </c>
      <c r="J37" s="51">
        <f t="shared" si="16"/>
        <v>7402.222213298397</v>
      </c>
      <c r="K37" s="51">
        <f t="shared" si="16"/>
        <v>7402.222213298397</v>
      </c>
      <c r="L37" s="51">
        <f t="shared" si="16"/>
        <v>7402.222213298397</v>
      </c>
      <c r="M37" s="51">
        <f t="shared" si="16"/>
        <v>7402.222213298397</v>
      </c>
      <c r="N37" s="51">
        <f t="shared" si="16"/>
        <v>7402.222213298397</v>
      </c>
      <c r="O37" s="51">
        <f t="shared" si="16"/>
        <v>7402.222213298397</v>
      </c>
      <c r="P37" s="51">
        <f t="shared" si="16"/>
        <v>7402.222213298397</v>
      </c>
      <c r="Q37" s="51">
        <f t="shared" si="16"/>
        <v>7402.222213298397</v>
      </c>
      <c r="R37" s="51">
        <f t="shared" si="16"/>
        <v>7402.222213298397</v>
      </c>
      <c r="S37" s="51">
        <f t="shared" si="16"/>
        <v>7402.222213298397</v>
      </c>
      <c r="T37" s="51">
        <f t="shared" si="16"/>
        <v>7402.222213298397</v>
      </c>
      <c r="U37" s="51">
        <f t="shared" si="16"/>
        <v>7402.222213298397</v>
      </c>
      <c r="V37" s="51">
        <f t="shared" si="16"/>
        <v>7402.222213298397</v>
      </c>
    </row>
    <row r="38" spans="1:26">
      <c r="A38" s="16" t="s">
        <v>119</v>
      </c>
      <c r="B38" s="19">
        <f>B36-B37</f>
        <v>246740.74044327988</v>
      </c>
      <c r="C38" s="19">
        <f>C36-C37</f>
        <v>239338.51822998148</v>
      </c>
      <c r="D38" s="19">
        <f>D36-D37</f>
        <v>231936.29601668307</v>
      </c>
      <c r="E38" s="19">
        <f t="shared" ref="E38:V38" si="17">E36-E37</f>
        <v>224534.07380338467</v>
      </c>
      <c r="F38" s="19">
        <f t="shared" si="17"/>
        <v>217131.85159008627</v>
      </c>
      <c r="G38" s="19">
        <f t="shared" si="17"/>
        <v>209729.62937678787</v>
      </c>
      <c r="H38" s="19">
        <f t="shared" si="17"/>
        <v>202327.40716348946</v>
      </c>
      <c r="I38" s="19">
        <f t="shared" si="17"/>
        <v>194925.18495019106</v>
      </c>
      <c r="J38" s="19">
        <f t="shared" si="17"/>
        <v>187522.96273689266</v>
      </c>
      <c r="K38" s="19">
        <f t="shared" si="17"/>
        <v>180120.74052359426</v>
      </c>
      <c r="L38" s="19">
        <f t="shared" si="17"/>
        <v>172718.51831029585</v>
      </c>
      <c r="M38" s="19">
        <f t="shared" si="17"/>
        <v>165316.29609699745</v>
      </c>
      <c r="N38" s="19">
        <f t="shared" si="17"/>
        <v>157914.07388369905</v>
      </c>
      <c r="O38" s="19">
        <f t="shared" si="17"/>
        <v>150511.85167040065</v>
      </c>
      <c r="P38" s="19">
        <f t="shared" si="17"/>
        <v>143109.62945710224</v>
      </c>
      <c r="Q38" s="19">
        <f t="shared" si="17"/>
        <v>135707.40724380384</v>
      </c>
      <c r="R38" s="19">
        <f t="shared" si="17"/>
        <v>128305.18503050544</v>
      </c>
      <c r="S38" s="19">
        <f t="shared" si="17"/>
        <v>120902.96281720704</v>
      </c>
      <c r="T38" s="19">
        <f t="shared" si="17"/>
        <v>113500.74060390863</v>
      </c>
      <c r="U38" s="19">
        <f t="shared" si="17"/>
        <v>106098.51839061023</v>
      </c>
      <c r="V38" s="19">
        <f t="shared" si="17"/>
        <v>98696.29617731183</v>
      </c>
    </row>
    <row r="39" spans="1:26">
      <c r="B39" s="16"/>
      <c r="C39" s="16"/>
      <c r="D39" s="16"/>
    </row>
    <row r="40" spans="1:26">
      <c r="A40" s="39" t="s">
        <v>12</v>
      </c>
      <c r="B40" s="16"/>
      <c r="C40" s="16"/>
      <c r="D40" s="16"/>
    </row>
    <row r="41" spans="1:26">
      <c r="A41" s="21" t="s">
        <v>115</v>
      </c>
      <c r="B41" s="313">
        <v>0</v>
      </c>
      <c r="C41" s="313">
        <v>12</v>
      </c>
      <c r="D41" s="313">
        <v>12</v>
      </c>
      <c r="E41" s="313">
        <v>12</v>
      </c>
      <c r="F41" s="313">
        <v>12</v>
      </c>
      <c r="G41" s="313">
        <v>12</v>
      </c>
      <c r="H41" s="313">
        <v>12</v>
      </c>
      <c r="I41" s="313">
        <v>12</v>
      </c>
      <c r="J41" s="313">
        <v>12</v>
      </c>
      <c r="K41" s="313">
        <v>12</v>
      </c>
      <c r="L41" s="313">
        <v>12</v>
      </c>
      <c r="M41" s="313">
        <v>12</v>
      </c>
      <c r="N41" s="313">
        <v>12</v>
      </c>
      <c r="O41" s="313">
        <v>12</v>
      </c>
      <c r="P41" s="313">
        <v>12</v>
      </c>
      <c r="Q41" s="313">
        <v>12</v>
      </c>
      <c r="R41" s="313">
        <v>12</v>
      </c>
      <c r="S41" s="313">
        <v>12</v>
      </c>
      <c r="T41" s="313">
        <v>12</v>
      </c>
      <c r="U41" s="313">
        <v>12</v>
      </c>
      <c r="V41" s="313">
        <v>12</v>
      </c>
    </row>
    <row r="42" spans="1:26">
      <c r="A42" s="16" t="s">
        <v>116</v>
      </c>
      <c r="B42" s="314">
        <v>0</v>
      </c>
      <c r="C42" s="314">
        <f>90%/30</f>
        <v>3.0000000000000002E-2</v>
      </c>
      <c r="D42" s="314">
        <f>90%/30</f>
        <v>3.0000000000000002E-2</v>
      </c>
      <c r="E42" s="314">
        <f t="shared" ref="E42:V42" si="18">90%/30</f>
        <v>3.0000000000000002E-2</v>
      </c>
      <c r="F42" s="314">
        <f t="shared" si="18"/>
        <v>3.0000000000000002E-2</v>
      </c>
      <c r="G42" s="314">
        <f t="shared" si="18"/>
        <v>3.0000000000000002E-2</v>
      </c>
      <c r="H42" s="314">
        <f t="shared" si="18"/>
        <v>3.0000000000000002E-2</v>
      </c>
      <c r="I42" s="314">
        <f t="shared" si="18"/>
        <v>3.0000000000000002E-2</v>
      </c>
      <c r="J42" s="314">
        <f t="shared" si="18"/>
        <v>3.0000000000000002E-2</v>
      </c>
      <c r="K42" s="314">
        <f t="shared" si="18"/>
        <v>3.0000000000000002E-2</v>
      </c>
      <c r="L42" s="314">
        <f t="shared" si="18"/>
        <v>3.0000000000000002E-2</v>
      </c>
      <c r="M42" s="314">
        <f t="shared" si="18"/>
        <v>3.0000000000000002E-2</v>
      </c>
      <c r="N42" s="314">
        <f t="shared" si="18"/>
        <v>3.0000000000000002E-2</v>
      </c>
      <c r="O42" s="314">
        <f t="shared" si="18"/>
        <v>3.0000000000000002E-2</v>
      </c>
      <c r="P42" s="314">
        <f t="shared" si="18"/>
        <v>3.0000000000000002E-2</v>
      </c>
      <c r="Q42" s="314">
        <f t="shared" si="18"/>
        <v>3.0000000000000002E-2</v>
      </c>
      <c r="R42" s="314">
        <f t="shared" si="18"/>
        <v>3.0000000000000002E-2</v>
      </c>
      <c r="S42" s="314">
        <f t="shared" si="18"/>
        <v>3.0000000000000002E-2</v>
      </c>
      <c r="T42" s="314">
        <f t="shared" si="18"/>
        <v>3.0000000000000002E-2</v>
      </c>
      <c r="U42" s="314">
        <f t="shared" si="18"/>
        <v>3.0000000000000002E-2</v>
      </c>
      <c r="V42" s="314">
        <f t="shared" si="18"/>
        <v>3.0000000000000002E-2</v>
      </c>
    </row>
    <row r="43" spans="1:26">
      <c r="B43" s="16"/>
      <c r="C43" s="16"/>
      <c r="D43" s="16"/>
      <c r="Y43" s="292" t="s">
        <v>92</v>
      </c>
      <c r="Z43" s="198"/>
    </row>
    <row r="44" spans="1:26">
      <c r="A44" s="16" t="s">
        <v>117</v>
      </c>
      <c r="B44" s="120">
        <f>SUM('Summary Output'!$G$8,'Summary Output'!$G$9)*Allocation!$C$13+'Contract Amortization'!$C$35</f>
        <v>232455.83290043485</v>
      </c>
      <c r="C44" s="19">
        <f>B46</f>
        <v>232455.83290043485</v>
      </c>
      <c r="D44" s="19">
        <f>C46</f>
        <v>225482.1579134218</v>
      </c>
      <c r="E44" s="19">
        <f t="shared" ref="E44:V44" si="19">D46</f>
        <v>218508.48292640876</v>
      </c>
      <c r="F44" s="19">
        <f t="shared" si="19"/>
        <v>211534.80793939572</v>
      </c>
      <c r="G44" s="19">
        <f t="shared" si="19"/>
        <v>204561.13295238267</v>
      </c>
      <c r="H44" s="19">
        <f t="shared" si="19"/>
        <v>197587.45796536963</v>
      </c>
      <c r="I44" s="19">
        <f t="shared" si="19"/>
        <v>190613.78297835658</v>
      </c>
      <c r="J44" s="19">
        <f t="shared" si="19"/>
        <v>183640.10799134354</v>
      </c>
      <c r="K44" s="19">
        <f t="shared" si="19"/>
        <v>176666.43300433049</v>
      </c>
      <c r="L44" s="19">
        <f t="shared" si="19"/>
        <v>169692.75801731745</v>
      </c>
      <c r="M44" s="19">
        <f t="shared" si="19"/>
        <v>162719.08303030441</v>
      </c>
      <c r="N44" s="19">
        <f t="shared" si="19"/>
        <v>155745.40804329136</v>
      </c>
      <c r="O44" s="19">
        <f t="shared" si="19"/>
        <v>148771.73305627832</v>
      </c>
      <c r="P44" s="19">
        <f t="shared" si="19"/>
        <v>141798.05806926527</v>
      </c>
      <c r="Q44" s="19">
        <f t="shared" si="19"/>
        <v>134824.38308225223</v>
      </c>
      <c r="R44" s="19">
        <f t="shared" si="19"/>
        <v>127850.70809523918</v>
      </c>
      <c r="S44" s="19">
        <f t="shared" si="19"/>
        <v>120877.03310822614</v>
      </c>
      <c r="T44" s="19">
        <f t="shared" si="19"/>
        <v>113903.3581212131</v>
      </c>
      <c r="U44" s="19">
        <f t="shared" si="19"/>
        <v>106929.68313420005</v>
      </c>
      <c r="V44" s="19">
        <f t="shared" si="19"/>
        <v>99956.008147187007</v>
      </c>
      <c r="Y44" s="322"/>
      <c r="Z44" s="199"/>
    </row>
    <row r="45" spans="1:26">
      <c r="A45" s="16" t="s">
        <v>118</v>
      </c>
      <c r="B45" s="51">
        <f t="shared" ref="B45:V45" si="20">$B$44*B42</f>
        <v>0</v>
      </c>
      <c r="C45" s="51">
        <f t="shared" si="20"/>
        <v>6973.6749870130461</v>
      </c>
      <c r="D45" s="51">
        <f t="shared" si="20"/>
        <v>6973.6749870130461</v>
      </c>
      <c r="E45" s="51">
        <f t="shared" si="20"/>
        <v>6973.6749870130461</v>
      </c>
      <c r="F45" s="51">
        <f t="shared" si="20"/>
        <v>6973.6749870130461</v>
      </c>
      <c r="G45" s="51">
        <f t="shared" si="20"/>
        <v>6973.6749870130461</v>
      </c>
      <c r="H45" s="51">
        <f t="shared" si="20"/>
        <v>6973.6749870130461</v>
      </c>
      <c r="I45" s="51">
        <f t="shared" si="20"/>
        <v>6973.6749870130461</v>
      </c>
      <c r="J45" s="51">
        <f t="shared" si="20"/>
        <v>6973.6749870130461</v>
      </c>
      <c r="K45" s="51">
        <f t="shared" si="20"/>
        <v>6973.6749870130461</v>
      </c>
      <c r="L45" s="51">
        <f t="shared" si="20"/>
        <v>6973.6749870130461</v>
      </c>
      <c r="M45" s="51">
        <f t="shared" si="20"/>
        <v>6973.6749870130461</v>
      </c>
      <c r="N45" s="51">
        <f t="shared" si="20"/>
        <v>6973.6749870130461</v>
      </c>
      <c r="O45" s="51">
        <f t="shared" si="20"/>
        <v>6973.6749870130461</v>
      </c>
      <c r="P45" s="51">
        <f t="shared" si="20"/>
        <v>6973.6749870130461</v>
      </c>
      <c r="Q45" s="51">
        <f t="shared" si="20"/>
        <v>6973.6749870130461</v>
      </c>
      <c r="R45" s="51">
        <f t="shared" si="20"/>
        <v>6973.6749870130461</v>
      </c>
      <c r="S45" s="51">
        <f t="shared" si="20"/>
        <v>6973.6749870130461</v>
      </c>
      <c r="T45" s="51">
        <f t="shared" si="20"/>
        <v>6973.6749870130461</v>
      </c>
      <c r="U45" s="51">
        <f t="shared" si="20"/>
        <v>6973.6749870130461</v>
      </c>
      <c r="V45" s="51">
        <f t="shared" si="20"/>
        <v>6973.6749870130461</v>
      </c>
      <c r="Y45" s="293">
        <v>0</v>
      </c>
      <c r="Z45" s="294">
        <v>0</v>
      </c>
    </row>
    <row r="46" spans="1:26">
      <c r="A46" s="16" t="s">
        <v>119</v>
      </c>
      <c r="B46" s="19">
        <f>B44-B45</f>
        <v>232455.83290043485</v>
      </c>
      <c r="C46" s="19">
        <f t="shared" ref="C46:V46" si="21">C44-C45</f>
        <v>225482.1579134218</v>
      </c>
      <c r="D46" s="19">
        <f t="shared" si="21"/>
        <v>218508.48292640876</v>
      </c>
      <c r="E46" s="19">
        <f t="shared" si="21"/>
        <v>211534.80793939572</v>
      </c>
      <c r="F46" s="19">
        <f t="shared" si="21"/>
        <v>204561.13295238267</v>
      </c>
      <c r="G46" s="19">
        <f t="shared" si="21"/>
        <v>197587.45796536963</v>
      </c>
      <c r="H46" s="19">
        <f t="shared" si="21"/>
        <v>190613.78297835658</v>
      </c>
      <c r="I46" s="19">
        <f t="shared" si="21"/>
        <v>183640.10799134354</v>
      </c>
      <c r="J46" s="19">
        <f t="shared" si="21"/>
        <v>176666.43300433049</v>
      </c>
      <c r="K46" s="19">
        <f t="shared" si="21"/>
        <v>169692.75801731745</v>
      </c>
      <c r="L46" s="19">
        <f t="shared" si="21"/>
        <v>162719.08303030441</v>
      </c>
      <c r="M46" s="19">
        <f t="shared" si="21"/>
        <v>155745.40804329136</v>
      </c>
      <c r="N46" s="19">
        <f t="shared" si="21"/>
        <v>148771.73305627832</v>
      </c>
      <c r="O46" s="19">
        <f t="shared" si="21"/>
        <v>141798.05806926527</v>
      </c>
      <c r="P46" s="19">
        <f t="shared" si="21"/>
        <v>134824.38308225223</v>
      </c>
      <c r="Q46" s="19">
        <f t="shared" si="21"/>
        <v>127850.70809523918</v>
      </c>
      <c r="R46" s="19">
        <f t="shared" si="21"/>
        <v>120877.03310822614</v>
      </c>
      <c r="S46" s="19">
        <f t="shared" si="21"/>
        <v>113903.3581212131</v>
      </c>
      <c r="T46" s="19">
        <f t="shared" si="21"/>
        <v>106929.68313420005</v>
      </c>
      <c r="U46" s="19">
        <f t="shared" si="21"/>
        <v>99956.008147187007</v>
      </c>
      <c r="V46" s="19">
        <f t="shared" si="21"/>
        <v>92982.333160173963</v>
      </c>
      <c r="Y46" s="293">
        <v>1</v>
      </c>
      <c r="Z46" s="294">
        <v>0.05</v>
      </c>
    </row>
    <row r="47" spans="1:26">
      <c r="B47" s="16"/>
      <c r="C47" s="16"/>
      <c r="D47" s="16"/>
      <c r="Y47" s="293">
        <v>2</v>
      </c>
      <c r="Z47" s="294">
        <v>9.5000000000000001E-2</v>
      </c>
    </row>
    <row r="48" spans="1:26">
      <c r="A48" s="39" t="s">
        <v>13</v>
      </c>
      <c r="B48" s="16"/>
      <c r="C48" s="16"/>
      <c r="D48" s="16"/>
      <c r="Y48" s="293">
        <v>3</v>
      </c>
      <c r="Z48" s="294">
        <v>8.5500000000000007E-2</v>
      </c>
    </row>
    <row r="49" spans="1:26">
      <c r="A49" s="21" t="s">
        <v>115</v>
      </c>
      <c r="B49" s="313">
        <v>0</v>
      </c>
      <c r="C49" s="313">
        <v>12</v>
      </c>
      <c r="D49" s="313">
        <v>12</v>
      </c>
      <c r="E49" s="313">
        <v>12</v>
      </c>
      <c r="F49" s="313">
        <v>12</v>
      </c>
      <c r="G49" s="313">
        <v>12</v>
      </c>
      <c r="H49" s="313">
        <v>12</v>
      </c>
      <c r="I49" s="313">
        <v>12</v>
      </c>
      <c r="J49" s="313">
        <v>12</v>
      </c>
      <c r="K49" s="313">
        <v>12</v>
      </c>
      <c r="L49" s="313">
        <v>12</v>
      </c>
      <c r="M49" s="313">
        <v>12</v>
      </c>
      <c r="N49" s="313">
        <v>12</v>
      </c>
      <c r="O49" s="313">
        <v>12</v>
      </c>
      <c r="P49" s="313">
        <v>12</v>
      </c>
      <c r="Q49" s="313">
        <v>12</v>
      </c>
      <c r="R49" s="313">
        <v>12</v>
      </c>
      <c r="S49" s="313">
        <v>12</v>
      </c>
      <c r="T49" s="313">
        <v>12</v>
      </c>
      <c r="U49" s="313">
        <v>12</v>
      </c>
      <c r="V49" s="313">
        <v>12</v>
      </c>
      <c r="Y49" s="293">
        <v>4</v>
      </c>
      <c r="Z49" s="294">
        <v>7.6999999999999999E-2</v>
      </c>
    </row>
    <row r="50" spans="1:26">
      <c r="A50" s="16" t="s">
        <v>116</v>
      </c>
      <c r="B50" s="314">
        <v>0</v>
      </c>
      <c r="C50" s="314">
        <f>90%/30</f>
        <v>3.0000000000000002E-2</v>
      </c>
      <c r="D50" s="314">
        <f>90%/30</f>
        <v>3.0000000000000002E-2</v>
      </c>
      <c r="E50" s="314">
        <f t="shared" ref="E50:V50" si="22">90%/30</f>
        <v>3.0000000000000002E-2</v>
      </c>
      <c r="F50" s="314">
        <f t="shared" si="22"/>
        <v>3.0000000000000002E-2</v>
      </c>
      <c r="G50" s="314">
        <f t="shared" si="22"/>
        <v>3.0000000000000002E-2</v>
      </c>
      <c r="H50" s="314">
        <f t="shared" si="22"/>
        <v>3.0000000000000002E-2</v>
      </c>
      <c r="I50" s="314">
        <f t="shared" si="22"/>
        <v>3.0000000000000002E-2</v>
      </c>
      <c r="J50" s="314">
        <f t="shared" si="22"/>
        <v>3.0000000000000002E-2</v>
      </c>
      <c r="K50" s="314">
        <f t="shared" si="22"/>
        <v>3.0000000000000002E-2</v>
      </c>
      <c r="L50" s="314">
        <f t="shared" si="22"/>
        <v>3.0000000000000002E-2</v>
      </c>
      <c r="M50" s="314">
        <f t="shared" si="22"/>
        <v>3.0000000000000002E-2</v>
      </c>
      <c r="N50" s="314">
        <f t="shared" si="22"/>
        <v>3.0000000000000002E-2</v>
      </c>
      <c r="O50" s="314">
        <f t="shared" si="22"/>
        <v>3.0000000000000002E-2</v>
      </c>
      <c r="P50" s="314">
        <f t="shared" si="22"/>
        <v>3.0000000000000002E-2</v>
      </c>
      <c r="Q50" s="314">
        <f t="shared" si="22"/>
        <v>3.0000000000000002E-2</v>
      </c>
      <c r="R50" s="314">
        <f t="shared" si="22"/>
        <v>3.0000000000000002E-2</v>
      </c>
      <c r="S50" s="314">
        <f t="shared" si="22"/>
        <v>3.0000000000000002E-2</v>
      </c>
      <c r="T50" s="314">
        <f t="shared" si="22"/>
        <v>3.0000000000000002E-2</v>
      </c>
      <c r="U50" s="314">
        <f t="shared" si="22"/>
        <v>3.0000000000000002E-2</v>
      </c>
      <c r="V50" s="314">
        <f t="shared" si="22"/>
        <v>3.0000000000000002E-2</v>
      </c>
      <c r="Y50" s="293">
        <v>5</v>
      </c>
      <c r="Z50" s="294">
        <v>6.93E-2</v>
      </c>
    </row>
    <row r="51" spans="1:26">
      <c r="B51" s="16"/>
      <c r="C51" s="16"/>
      <c r="D51" s="16"/>
      <c r="Y51" s="293">
        <v>6</v>
      </c>
      <c r="Z51" s="294">
        <v>6.2300000000000001E-2</v>
      </c>
    </row>
    <row r="52" spans="1:26">
      <c r="A52" s="16" t="s">
        <v>117</v>
      </c>
      <c r="B52" s="120">
        <f>SUM('Summary Output'!$G$8,'Summary Output'!$G$9)*Allocation!$C$14+'Contract Amortization'!$C$41</f>
        <v>360805.195376402</v>
      </c>
      <c r="C52" s="19">
        <f>B54</f>
        <v>360805.195376402</v>
      </c>
      <c r="D52" s="19">
        <f>C54</f>
        <v>349981.03951510997</v>
      </c>
      <c r="E52" s="19">
        <f t="shared" ref="E52:V52" si="23">D54</f>
        <v>339156.88365381793</v>
      </c>
      <c r="F52" s="19">
        <f t="shared" si="23"/>
        <v>328332.7277925259</v>
      </c>
      <c r="G52" s="19">
        <f t="shared" si="23"/>
        <v>317508.57193123386</v>
      </c>
      <c r="H52" s="19">
        <f t="shared" si="23"/>
        <v>306684.41606994183</v>
      </c>
      <c r="I52" s="19">
        <f t="shared" si="23"/>
        <v>295860.26020864979</v>
      </c>
      <c r="J52" s="19">
        <f t="shared" si="23"/>
        <v>285036.10434735776</v>
      </c>
      <c r="K52" s="19">
        <f t="shared" si="23"/>
        <v>274211.94848606572</v>
      </c>
      <c r="L52" s="19">
        <f t="shared" si="23"/>
        <v>263387.79262477369</v>
      </c>
      <c r="M52" s="19">
        <f t="shared" si="23"/>
        <v>252563.63676348163</v>
      </c>
      <c r="N52" s="19">
        <f t="shared" si="23"/>
        <v>241739.48090218956</v>
      </c>
      <c r="O52" s="19">
        <f t="shared" si="23"/>
        <v>230915.3250408975</v>
      </c>
      <c r="P52" s="19">
        <f t="shared" si="23"/>
        <v>220091.16917960544</v>
      </c>
      <c r="Q52" s="19">
        <f t="shared" si="23"/>
        <v>209267.01331831337</v>
      </c>
      <c r="R52" s="19">
        <f t="shared" si="23"/>
        <v>198442.85745702131</v>
      </c>
      <c r="S52" s="19">
        <f t="shared" si="23"/>
        <v>187618.70159572925</v>
      </c>
      <c r="T52" s="19">
        <f t="shared" si="23"/>
        <v>176794.54573443718</v>
      </c>
      <c r="U52" s="19">
        <f t="shared" si="23"/>
        <v>165970.38987314512</v>
      </c>
      <c r="V52" s="19">
        <f t="shared" si="23"/>
        <v>155146.23401185306</v>
      </c>
      <c r="Y52" s="293">
        <v>7</v>
      </c>
      <c r="Z52" s="294">
        <v>5.8999999999999997E-2</v>
      </c>
    </row>
    <row r="53" spans="1:26">
      <c r="A53" s="16" t="s">
        <v>118</v>
      </c>
      <c r="B53" s="51">
        <f t="shared" ref="B53:V53" si="24">$B$52*B50</f>
        <v>0</v>
      </c>
      <c r="C53" s="51">
        <f t="shared" si="24"/>
        <v>10824.155861292062</v>
      </c>
      <c r="D53" s="51">
        <f t="shared" si="24"/>
        <v>10824.155861292062</v>
      </c>
      <c r="E53" s="51">
        <f t="shared" si="24"/>
        <v>10824.155861292062</v>
      </c>
      <c r="F53" s="51">
        <f t="shared" si="24"/>
        <v>10824.155861292062</v>
      </c>
      <c r="G53" s="51">
        <f t="shared" si="24"/>
        <v>10824.155861292062</v>
      </c>
      <c r="H53" s="51">
        <f t="shared" si="24"/>
        <v>10824.155861292062</v>
      </c>
      <c r="I53" s="51">
        <f t="shared" si="24"/>
        <v>10824.155861292062</v>
      </c>
      <c r="J53" s="51">
        <f t="shared" si="24"/>
        <v>10824.155861292062</v>
      </c>
      <c r="K53" s="51">
        <f t="shared" si="24"/>
        <v>10824.155861292062</v>
      </c>
      <c r="L53" s="51">
        <f t="shared" si="24"/>
        <v>10824.155861292062</v>
      </c>
      <c r="M53" s="51">
        <f t="shared" si="24"/>
        <v>10824.155861292062</v>
      </c>
      <c r="N53" s="51">
        <f t="shared" si="24"/>
        <v>10824.155861292062</v>
      </c>
      <c r="O53" s="51">
        <f t="shared" si="24"/>
        <v>10824.155861292062</v>
      </c>
      <c r="P53" s="51">
        <f t="shared" si="24"/>
        <v>10824.155861292062</v>
      </c>
      <c r="Q53" s="51">
        <f t="shared" si="24"/>
        <v>10824.155861292062</v>
      </c>
      <c r="R53" s="51">
        <f t="shared" si="24"/>
        <v>10824.155861292062</v>
      </c>
      <c r="S53" s="51">
        <f t="shared" si="24"/>
        <v>10824.155861292062</v>
      </c>
      <c r="T53" s="51">
        <f t="shared" si="24"/>
        <v>10824.155861292062</v>
      </c>
      <c r="U53" s="51">
        <f t="shared" si="24"/>
        <v>10824.155861292062</v>
      </c>
      <c r="V53" s="51">
        <f t="shared" si="24"/>
        <v>10824.155861292062</v>
      </c>
      <c r="Y53" s="293">
        <v>8</v>
      </c>
      <c r="Z53" s="294">
        <v>5.91E-2</v>
      </c>
    </row>
    <row r="54" spans="1:26">
      <c r="A54" s="16" t="s">
        <v>119</v>
      </c>
      <c r="B54" s="19">
        <f>B52-B53</f>
        <v>360805.195376402</v>
      </c>
      <c r="C54" s="19">
        <f t="shared" ref="C54:V54" si="25">C52-C53</f>
        <v>349981.03951510997</v>
      </c>
      <c r="D54" s="19">
        <f t="shared" si="25"/>
        <v>339156.88365381793</v>
      </c>
      <c r="E54" s="19">
        <f t="shared" si="25"/>
        <v>328332.7277925259</v>
      </c>
      <c r="F54" s="19">
        <f t="shared" si="25"/>
        <v>317508.57193123386</v>
      </c>
      <c r="G54" s="19">
        <f t="shared" si="25"/>
        <v>306684.41606994183</v>
      </c>
      <c r="H54" s="19">
        <f t="shared" si="25"/>
        <v>295860.26020864979</v>
      </c>
      <c r="I54" s="19">
        <f t="shared" si="25"/>
        <v>285036.10434735776</v>
      </c>
      <c r="J54" s="19">
        <f t="shared" si="25"/>
        <v>274211.94848606572</v>
      </c>
      <c r="K54" s="19">
        <f t="shared" si="25"/>
        <v>263387.79262477369</v>
      </c>
      <c r="L54" s="19">
        <f t="shared" si="25"/>
        <v>252563.63676348163</v>
      </c>
      <c r="M54" s="19">
        <f t="shared" si="25"/>
        <v>241739.48090218956</v>
      </c>
      <c r="N54" s="19">
        <f t="shared" si="25"/>
        <v>230915.3250408975</v>
      </c>
      <c r="O54" s="19">
        <f t="shared" si="25"/>
        <v>220091.16917960544</v>
      </c>
      <c r="P54" s="19">
        <f t="shared" si="25"/>
        <v>209267.01331831337</v>
      </c>
      <c r="Q54" s="19">
        <f t="shared" si="25"/>
        <v>198442.85745702131</v>
      </c>
      <c r="R54" s="19">
        <f t="shared" si="25"/>
        <v>187618.70159572925</v>
      </c>
      <c r="S54" s="19">
        <f t="shared" si="25"/>
        <v>176794.54573443718</v>
      </c>
      <c r="T54" s="19">
        <f t="shared" si="25"/>
        <v>165970.38987314512</v>
      </c>
      <c r="U54" s="19">
        <f t="shared" si="25"/>
        <v>155146.23401185306</v>
      </c>
      <c r="V54" s="19">
        <f t="shared" si="25"/>
        <v>144322.07815056099</v>
      </c>
      <c r="Y54" s="293">
        <v>9</v>
      </c>
      <c r="Z54" s="294">
        <v>5.8999999999999997E-2</v>
      </c>
    </row>
    <row r="55" spans="1:26">
      <c r="B55" s="16"/>
      <c r="C55" s="16"/>
      <c r="D55" s="16"/>
      <c r="Y55" s="293">
        <v>10</v>
      </c>
      <c r="Z55" s="294">
        <v>5.91E-2</v>
      </c>
    </row>
    <row r="56" spans="1:26">
      <c r="A56" s="39" t="s">
        <v>120</v>
      </c>
      <c r="B56" s="16"/>
      <c r="C56" s="16"/>
      <c r="D56" s="16"/>
      <c r="Y56" s="293">
        <v>11</v>
      </c>
      <c r="Z56" s="294">
        <v>5.8999999999999997E-2</v>
      </c>
    </row>
    <row r="57" spans="1:26">
      <c r="A57" s="16" t="s">
        <v>117</v>
      </c>
      <c r="B57" s="232">
        <f>SUM(B20,B28,B44,B52,B36,B12)</f>
        <v>1451201.1372140872</v>
      </c>
      <c r="C57" s="232">
        <f>B59</f>
        <v>1451201.1372140872</v>
      </c>
      <c r="D57" s="232">
        <f t="shared" ref="D57:V57" si="26">C59</f>
        <v>1407665.1030976647</v>
      </c>
      <c r="E57" s="232">
        <f t="shared" si="26"/>
        <v>1364129.0689812421</v>
      </c>
      <c r="F57" s="232">
        <f t="shared" si="26"/>
        <v>1320593.0348648196</v>
      </c>
      <c r="G57" s="232">
        <f t="shared" si="26"/>
        <v>1277057.0007483971</v>
      </c>
      <c r="H57" s="232">
        <f t="shared" si="26"/>
        <v>1233520.9666319746</v>
      </c>
      <c r="I57" s="232">
        <f t="shared" si="26"/>
        <v>1189984.932515552</v>
      </c>
      <c r="J57" s="232">
        <f t="shared" si="26"/>
        <v>1146448.8983991295</v>
      </c>
      <c r="K57" s="232">
        <f t="shared" si="26"/>
        <v>1102912.864282707</v>
      </c>
      <c r="L57" s="232">
        <f t="shared" si="26"/>
        <v>1059376.8301662845</v>
      </c>
      <c r="M57" s="232">
        <f t="shared" si="26"/>
        <v>1015840.7960498618</v>
      </c>
      <c r="N57" s="232">
        <f t="shared" si="26"/>
        <v>972304.76193343918</v>
      </c>
      <c r="O57" s="232">
        <f t="shared" si="26"/>
        <v>928768.72781701654</v>
      </c>
      <c r="P57" s="232">
        <f t="shared" si="26"/>
        <v>885232.6937005939</v>
      </c>
      <c r="Q57" s="232">
        <f t="shared" si="26"/>
        <v>841696.65958417126</v>
      </c>
      <c r="R57" s="232">
        <f t="shared" si="26"/>
        <v>798160.62546774861</v>
      </c>
      <c r="S57" s="232">
        <f t="shared" si="26"/>
        <v>754624.59135132597</v>
      </c>
      <c r="T57" s="232">
        <f t="shared" si="26"/>
        <v>711088.55723490333</v>
      </c>
      <c r="U57" s="232">
        <f t="shared" si="26"/>
        <v>667552.52311848069</v>
      </c>
      <c r="V57" s="232">
        <f t="shared" si="26"/>
        <v>624016.48900205805</v>
      </c>
      <c r="Y57" s="293">
        <v>12</v>
      </c>
      <c r="Z57" s="294">
        <v>5.91E-2</v>
      </c>
    </row>
    <row r="58" spans="1:26">
      <c r="A58" s="16" t="s">
        <v>118</v>
      </c>
      <c r="B58" s="346">
        <f>SUM(B21,B29,B45,B53,B37,B13)</f>
        <v>0</v>
      </c>
      <c r="C58" s="346">
        <f t="shared" ref="C58:V58" si="27">SUM(C21,C29,C45,C53,C37,C13)</f>
        <v>43536.034116422612</v>
      </c>
      <c r="D58" s="346">
        <f t="shared" si="27"/>
        <v>43536.034116422612</v>
      </c>
      <c r="E58" s="346">
        <f t="shared" si="27"/>
        <v>43536.034116422612</v>
      </c>
      <c r="F58" s="346">
        <f t="shared" si="27"/>
        <v>43536.034116422612</v>
      </c>
      <c r="G58" s="346">
        <f t="shared" si="27"/>
        <v>43536.034116422612</v>
      </c>
      <c r="H58" s="346">
        <f t="shared" si="27"/>
        <v>43536.034116422612</v>
      </c>
      <c r="I58" s="346">
        <f t="shared" si="27"/>
        <v>43536.034116422612</v>
      </c>
      <c r="J58" s="346">
        <f t="shared" si="27"/>
        <v>43536.034116422612</v>
      </c>
      <c r="K58" s="346">
        <f t="shared" si="27"/>
        <v>43536.034116422612</v>
      </c>
      <c r="L58" s="346">
        <f t="shared" si="27"/>
        <v>43536.034116422612</v>
      </c>
      <c r="M58" s="346">
        <f t="shared" si="27"/>
        <v>43536.034116422612</v>
      </c>
      <c r="N58" s="346">
        <f t="shared" si="27"/>
        <v>43536.034116422612</v>
      </c>
      <c r="O58" s="346">
        <f t="shared" si="27"/>
        <v>43536.034116422612</v>
      </c>
      <c r="P58" s="346">
        <f t="shared" si="27"/>
        <v>43536.034116422612</v>
      </c>
      <c r="Q58" s="346">
        <f t="shared" si="27"/>
        <v>43536.034116422612</v>
      </c>
      <c r="R58" s="346">
        <f t="shared" si="27"/>
        <v>43536.034116422612</v>
      </c>
      <c r="S58" s="346">
        <f t="shared" si="27"/>
        <v>43536.034116422612</v>
      </c>
      <c r="T58" s="346">
        <f t="shared" si="27"/>
        <v>43536.034116422612</v>
      </c>
      <c r="U58" s="346">
        <f t="shared" si="27"/>
        <v>43536.034116422612</v>
      </c>
      <c r="V58" s="346">
        <f t="shared" si="27"/>
        <v>43536.034116422612</v>
      </c>
      <c r="Y58" s="293">
        <v>13</v>
      </c>
      <c r="Z58" s="294">
        <v>5.8999999999999997E-2</v>
      </c>
    </row>
    <row r="59" spans="1:26">
      <c r="A59" s="16" t="s">
        <v>119</v>
      </c>
      <c r="B59" s="232">
        <f>B57-B58</f>
        <v>1451201.1372140872</v>
      </c>
      <c r="C59" s="232">
        <f t="shared" ref="C59:V59" si="28">C57-C58</f>
        <v>1407665.1030976647</v>
      </c>
      <c r="D59" s="232">
        <f t="shared" si="28"/>
        <v>1364129.0689812421</v>
      </c>
      <c r="E59" s="232">
        <f t="shared" si="28"/>
        <v>1320593.0348648196</v>
      </c>
      <c r="F59" s="232">
        <f t="shared" si="28"/>
        <v>1277057.0007483971</v>
      </c>
      <c r="G59" s="232">
        <f t="shared" si="28"/>
        <v>1233520.9666319746</v>
      </c>
      <c r="H59" s="232">
        <f t="shared" si="28"/>
        <v>1189984.932515552</v>
      </c>
      <c r="I59" s="232">
        <f t="shared" si="28"/>
        <v>1146448.8983991295</v>
      </c>
      <c r="J59" s="232">
        <f t="shared" si="28"/>
        <v>1102912.864282707</v>
      </c>
      <c r="K59" s="232">
        <f t="shared" si="28"/>
        <v>1059376.8301662845</v>
      </c>
      <c r="L59" s="232">
        <f t="shared" si="28"/>
        <v>1015840.7960498618</v>
      </c>
      <c r="M59" s="232">
        <f t="shared" si="28"/>
        <v>972304.76193343918</v>
      </c>
      <c r="N59" s="232">
        <f t="shared" si="28"/>
        <v>928768.72781701654</v>
      </c>
      <c r="O59" s="232">
        <f t="shared" si="28"/>
        <v>885232.6937005939</v>
      </c>
      <c r="P59" s="232">
        <f t="shared" si="28"/>
        <v>841696.65958417126</v>
      </c>
      <c r="Q59" s="232">
        <f t="shared" si="28"/>
        <v>798160.62546774861</v>
      </c>
      <c r="R59" s="232">
        <f t="shared" si="28"/>
        <v>754624.59135132597</v>
      </c>
      <c r="S59" s="232">
        <f t="shared" si="28"/>
        <v>711088.55723490333</v>
      </c>
      <c r="T59" s="232">
        <f t="shared" si="28"/>
        <v>667552.52311848069</v>
      </c>
      <c r="U59" s="232">
        <f t="shared" si="28"/>
        <v>624016.48900205805</v>
      </c>
      <c r="V59" s="232">
        <f t="shared" si="28"/>
        <v>580480.45488563541</v>
      </c>
      <c r="Y59" s="293">
        <v>14</v>
      </c>
      <c r="Z59" s="294">
        <v>5.91E-2</v>
      </c>
    </row>
    <row r="60" spans="1:26">
      <c r="B60" s="492"/>
      <c r="C60" s="16"/>
      <c r="D60" s="16"/>
      <c r="Y60" s="293">
        <v>15</v>
      </c>
      <c r="Z60" s="294">
        <v>5.8999999999999997E-2</v>
      </c>
    </row>
    <row r="61" spans="1:26">
      <c r="B61" s="16"/>
      <c r="C61" s="16"/>
      <c r="D61" s="16"/>
      <c r="Y61" s="293">
        <v>16</v>
      </c>
      <c r="Z61" s="295">
        <v>2.9499999999999998E-2</v>
      </c>
    </row>
    <row r="62" spans="1:26">
      <c r="A62" s="319" t="s">
        <v>128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14"/>
      <c r="X62" s="14"/>
      <c r="Y62" s="296"/>
      <c r="Z62" s="297">
        <f>SUM(Z46:Z61)</f>
        <v>1.0000000000000004</v>
      </c>
    </row>
    <row r="63" spans="1:26">
      <c r="A63" s="14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14"/>
      <c r="X63" s="14"/>
    </row>
    <row r="64" spans="1:26">
      <c r="A64" s="39" t="s">
        <v>130</v>
      </c>
      <c r="B64" s="16"/>
      <c r="C64" s="16"/>
      <c r="D64" s="16"/>
    </row>
    <row r="65" spans="1:22">
      <c r="A65" s="39"/>
      <c r="B65" s="16"/>
      <c r="C65" s="16"/>
      <c r="D65" s="16"/>
    </row>
    <row r="66" spans="1:22">
      <c r="A66" s="244" t="s">
        <v>9</v>
      </c>
    </row>
    <row r="67" spans="1:22">
      <c r="A67" s="16" t="s">
        <v>133</v>
      </c>
      <c r="B67" s="123">
        <f>SUM('Summary Output'!$G$8:$G$9)*Allocation!$C$7</f>
        <v>160582.36940447919</v>
      </c>
      <c r="C67" s="123">
        <f t="shared" ref="C67:V67" si="29">B70</f>
        <v>160582.36940447919</v>
      </c>
      <c r="D67" s="123">
        <f t="shared" si="29"/>
        <v>152553.25093425522</v>
      </c>
      <c r="E67" s="123">
        <f t="shared" si="29"/>
        <v>137297.9258408297</v>
      </c>
      <c r="F67" s="123">
        <f t="shared" si="29"/>
        <v>123568.13325674673</v>
      </c>
      <c r="G67" s="123">
        <f t="shared" si="29"/>
        <v>111203.29081260183</v>
      </c>
      <c r="H67" s="123">
        <f t="shared" si="29"/>
        <v>100074.93261287142</v>
      </c>
      <c r="I67" s="123">
        <f t="shared" si="29"/>
        <v>90070.650998972356</v>
      </c>
      <c r="J67" s="123">
        <f t="shared" si="29"/>
        <v>80596.291204108085</v>
      </c>
      <c r="K67" s="123">
        <f t="shared" si="29"/>
        <v>71105.873172303371</v>
      </c>
      <c r="L67" s="123">
        <f t="shared" si="29"/>
        <v>61631.5133774391</v>
      </c>
      <c r="M67" s="123">
        <f t="shared" si="29"/>
        <v>52141.095345634378</v>
      </c>
      <c r="N67" s="123">
        <f t="shared" si="29"/>
        <v>42666.735550770107</v>
      </c>
      <c r="O67" s="123">
        <f t="shared" si="29"/>
        <v>33176.317518965385</v>
      </c>
      <c r="P67" s="123">
        <f t="shared" si="29"/>
        <v>23701.957724101114</v>
      </c>
      <c r="Q67" s="123">
        <f t="shared" si="29"/>
        <v>14211.539692296394</v>
      </c>
      <c r="R67" s="123">
        <f t="shared" si="29"/>
        <v>4737.1798974321227</v>
      </c>
      <c r="S67" s="123">
        <f t="shared" si="29"/>
        <v>-1.2732925824820995E-11</v>
      </c>
      <c r="T67" s="123">
        <f t="shared" si="29"/>
        <v>-1.2732925824820995E-11</v>
      </c>
      <c r="U67" s="123">
        <f t="shared" si="29"/>
        <v>-1.2732925824820995E-11</v>
      </c>
      <c r="V67" s="123">
        <f t="shared" si="29"/>
        <v>-1.2732925824820995E-11</v>
      </c>
    </row>
    <row r="68" spans="1:22">
      <c r="A68" s="16" t="s">
        <v>116</v>
      </c>
      <c r="B68" s="321">
        <f t="shared" ref="B68:R68" si="30">VLOOKUP(B5,$Y$45:$Z$61,2)</f>
        <v>0</v>
      </c>
      <c r="C68" s="321">
        <f t="shared" si="30"/>
        <v>0.05</v>
      </c>
      <c r="D68" s="321">
        <f t="shared" si="30"/>
        <v>9.5000000000000001E-2</v>
      </c>
      <c r="E68" s="321">
        <f t="shared" si="30"/>
        <v>8.5500000000000007E-2</v>
      </c>
      <c r="F68" s="321">
        <f t="shared" si="30"/>
        <v>7.6999999999999999E-2</v>
      </c>
      <c r="G68" s="321">
        <f t="shared" si="30"/>
        <v>6.93E-2</v>
      </c>
      <c r="H68" s="321">
        <f t="shared" si="30"/>
        <v>6.2300000000000001E-2</v>
      </c>
      <c r="I68" s="321">
        <f t="shared" si="30"/>
        <v>5.8999999999999997E-2</v>
      </c>
      <c r="J68" s="321">
        <f t="shared" si="30"/>
        <v>5.91E-2</v>
      </c>
      <c r="K68" s="321">
        <f t="shared" si="30"/>
        <v>5.8999999999999997E-2</v>
      </c>
      <c r="L68" s="321">
        <f t="shared" si="30"/>
        <v>5.91E-2</v>
      </c>
      <c r="M68" s="321">
        <f t="shared" si="30"/>
        <v>5.8999999999999997E-2</v>
      </c>
      <c r="N68" s="321">
        <f t="shared" si="30"/>
        <v>5.91E-2</v>
      </c>
      <c r="O68" s="321">
        <f t="shared" si="30"/>
        <v>5.8999999999999997E-2</v>
      </c>
      <c r="P68" s="321">
        <f t="shared" si="30"/>
        <v>5.91E-2</v>
      </c>
      <c r="Q68" s="321">
        <f t="shared" si="30"/>
        <v>5.8999999999999997E-2</v>
      </c>
      <c r="R68" s="321">
        <f t="shared" si="30"/>
        <v>2.9499999999999998E-2</v>
      </c>
      <c r="S68" s="321">
        <v>0</v>
      </c>
      <c r="T68" s="321">
        <v>0</v>
      </c>
      <c r="U68" s="321">
        <v>0</v>
      </c>
      <c r="V68" s="321">
        <v>0</v>
      </c>
    </row>
    <row r="69" spans="1:22">
      <c r="A69" s="16" t="s">
        <v>118</v>
      </c>
      <c r="B69" s="201">
        <f>$B$67*B68</f>
        <v>0</v>
      </c>
      <c r="C69" s="201">
        <f t="shared" ref="C69:V69" si="31">$B$67*C68</f>
        <v>8029.1184702239598</v>
      </c>
      <c r="D69" s="201">
        <f t="shared" si="31"/>
        <v>15255.325093425523</v>
      </c>
      <c r="E69" s="201">
        <f t="shared" si="31"/>
        <v>13729.792584082972</v>
      </c>
      <c r="F69" s="201">
        <f t="shared" si="31"/>
        <v>12364.842444144897</v>
      </c>
      <c r="G69" s="201">
        <f t="shared" si="31"/>
        <v>11128.358199730408</v>
      </c>
      <c r="H69" s="201">
        <f t="shared" si="31"/>
        <v>10004.281613899055</v>
      </c>
      <c r="I69" s="201">
        <f t="shared" si="31"/>
        <v>9474.359794864271</v>
      </c>
      <c r="J69" s="201">
        <f t="shared" si="31"/>
        <v>9490.4180318047202</v>
      </c>
      <c r="K69" s="201">
        <f t="shared" si="31"/>
        <v>9474.359794864271</v>
      </c>
      <c r="L69" s="201">
        <f t="shared" si="31"/>
        <v>9490.4180318047202</v>
      </c>
      <c r="M69" s="201">
        <f t="shared" si="31"/>
        <v>9474.359794864271</v>
      </c>
      <c r="N69" s="201">
        <f t="shared" si="31"/>
        <v>9490.4180318047202</v>
      </c>
      <c r="O69" s="201">
        <f t="shared" si="31"/>
        <v>9474.359794864271</v>
      </c>
      <c r="P69" s="201">
        <f t="shared" si="31"/>
        <v>9490.4180318047202</v>
      </c>
      <c r="Q69" s="201">
        <f t="shared" si="31"/>
        <v>9474.359794864271</v>
      </c>
      <c r="R69" s="201">
        <f t="shared" si="31"/>
        <v>4737.1798974321355</v>
      </c>
      <c r="S69" s="201">
        <f t="shared" si="31"/>
        <v>0</v>
      </c>
      <c r="T69" s="201">
        <f t="shared" si="31"/>
        <v>0</v>
      </c>
      <c r="U69" s="201">
        <f t="shared" si="31"/>
        <v>0</v>
      </c>
      <c r="V69" s="201">
        <f t="shared" si="31"/>
        <v>0</v>
      </c>
    </row>
    <row r="70" spans="1:22">
      <c r="A70" s="16" t="s">
        <v>131</v>
      </c>
      <c r="B70" s="19">
        <f t="shared" ref="B70:V70" si="32">B67-B69</f>
        <v>160582.36940447919</v>
      </c>
      <c r="C70" s="19">
        <f t="shared" si="32"/>
        <v>152553.25093425522</v>
      </c>
      <c r="D70" s="19">
        <f t="shared" si="32"/>
        <v>137297.9258408297</v>
      </c>
      <c r="E70" s="19">
        <f t="shared" si="32"/>
        <v>123568.13325674673</v>
      </c>
      <c r="F70" s="19">
        <f t="shared" si="32"/>
        <v>111203.29081260183</v>
      </c>
      <c r="G70" s="19">
        <f t="shared" si="32"/>
        <v>100074.93261287142</v>
      </c>
      <c r="H70" s="19">
        <f t="shared" si="32"/>
        <v>90070.650998972356</v>
      </c>
      <c r="I70" s="19">
        <f t="shared" si="32"/>
        <v>80596.291204108085</v>
      </c>
      <c r="J70" s="19">
        <f t="shared" si="32"/>
        <v>71105.873172303371</v>
      </c>
      <c r="K70" s="19">
        <f t="shared" si="32"/>
        <v>61631.5133774391</v>
      </c>
      <c r="L70" s="19">
        <f t="shared" si="32"/>
        <v>52141.095345634378</v>
      </c>
      <c r="M70" s="19">
        <f t="shared" si="32"/>
        <v>42666.735550770107</v>
      </c>
      <c r="N70" s="19">
        <f t="shared" si="32"/>
        <v>33176.317518965385</v>
      </c>
      <c r="O70" s="19">
        <f t="shared" si="32"/>
        <v>23701.957724101114</v>
      </c>
      <c r="P70" s="19">
        <f t="shared" si="32"/>
        <v>14211.539692296394</v>
      </c>
      <c r="Q70" s="19">
        <f t="shared" si="32"/>
        <v>4737.1798974321227</v>
      </c>
      <c r="R70" s="19">
        <f t="shared" si="32"/>
        <v>-1.2732925824820995E-11</v>
      </c>
      <c r="S70" s="19">
        <f t="shared" si="32"/>
        <v>-1.2732925824820995E-11</v>
      </c>
      <c r="T70" s="19">
        <f t="shared" si="32"/>
        <v>-1.2732925824820995E-11</v>
      </c>
      <c r="U70" s="19">
        <f t="shared" si="32"/>
        <v>-1.2732925824820995E-11</v>
      </c>
      <c r="V70" s="19">
        <f t="shared" si="32"/>
        <v>-1.2732925824820995E-11</v>
      </c>
    </row>
    <row r="72" spans="1:22">
      <c r="A72" s="244" t="s">
        <v>10</v>
      </c>
    </row>
    <row r="73" spans="1:22">
      <c r="A73" s="16" t="s">
        <v>133</v>
      </c>
      <c r="B73" s="123">
        <f>SUM('Summary Output'!$G$8:$G$9)*Allocation!$C$8</f>
        <v>194158.007652692</v>
      </c>
      <c r="C73" s="123">
        <f t="shared" ref="C73:V73" si="33">B76</f>
        <v>194158.007652692</v>
      </c>
      <c r="D73" s="123">
        <f t="shared" si="33"/>
        <v>184450.1072700574</v>
      </c>
      <c r="E73" s="123">
        <f t="shared" si="33"/>
        <v>166005.09654305165</v>
      </c>
      <c r="F73" s="123">
        <f t="shared" si="33"/>
        <v>149404.58688874647</v>
      </c>
      <c r="G73" s="123">
        <f t="shared" si="33"/>
        <v>134454.4202994892</v>
      </c>
      <c r="H73" s="123">
        <f t="shared" si="33"/>
        <v>120999.27036915765</v>
      </c>
      <c r="I73" s="123">
        <f t="shared" si="33"/>
        <v>108903.22649239494</v>
      </c>
      <c r="J73" s="123">
        <f t="shared" si="33"/>
        <v>97447.904040886118</v>
      </c>
      <c r="K73" s="123">
        <f t="shared" si="33"/>
        <v>85973.165788612023</v>
      </c>
      <c r="L73" s="123">
        <f t="shared" si="33"/>
        <v>74517.843337103201</v>
      </c>
      <c r="M73" s="123">
        <f t="shared" si="33"/>
        <v>63043.105084829105</v>
      </c>
      <c r="N73" s="123">
        <f t="shared" si="33"/>
        <v>51587.782633320276</v>
      </c>
      <c r="O73" s="123">
        <f t="shared" si="33"/>
        <v>40113.04438104618</v>
      </c>
      <c r="P73" s="123">
        <f t="shared" si="33"/>
        <v>28657.721929537351</v>
      </c>
      <c r="Q73" s="123">
        <f t="shared" si="33"/>
        <v>17182.983677263255</v>
      </c>
      <c r="R73" s="123">
        <f t="shared" si="33"/>
        <v>5727.6612257544275</v>
      </c>
      <c r="S73" s="123">
        <f t="shared" si="33"/>
        <v>1.3642420526593924E-11</v>
      </c>
      <c r="T73" s="123">
        <f t="shared" si="33"/>
        <v>1.3642420526593924E-11</v>
      </c>
      <c r="U73" s="123">
        <f t="shared" si="33"/>
        <v>1.3642420526593924E-11</v>
      </c>
      <c r="V73" s="123">
        <f t="shared" si="33"/>
        <v>1.3642420526593924E-11</v>
      </c>
    </row>
    <row r="74" spans="1:22">
      <c r="A74" s="16" t="s">
        <v>116</v>
      </c>
      <c r="B74" s="321">
        <f t="shared" ref="B74:R74" si="34">VLOOKUP(B5,$Y$45:$Z$61,2)</f>
        <v>0</v>
      </c>
      <c r="C74" s="321">
        <f t="shared" si="34"/>
        <v>0.05</v>
      </c>
      <c r="D74" s="321">
        <f t="shared" si="34"/>
        <v>9.5000000000000001E-2</v>
      </c>
      <c r="E74" s="321">
        <f t="shared" si="34"/>
        <v>8.5500000000000007E-2</v>
      </c>
      <c r="F74" s="321">
        <f t="shared" si="34"/>
        <v>7.6999999999999999E-2</v>
      </c>
      <c r="G74" s="321">
        <f t="shared" si="34"/>
        <v>6.93E-2</v>
      </c>
      <c r="H74" s="321">
        <f t="shared" si="34"/>
        <v>6.2300000000000001E-2</v>
      </c>
      <c r="I74" s="321">
        <f t="shared" si="34"/>
        <v>5.8999999999999997E-2</v>
      </c>
      <c r="J74" s="321">
        <f t="shared" si="34"/>
        <v>5.91E-2</v>
      </c>
      <c r="K74" s="321">
        <f t="shared" si="34"/>
        <v>5.8999999999999997E-2</v>
      </c>
      <c r="L74" s="321">
        <f t="shared" si="34"/>
        <v>5.91E-2</v>
      </c>
      <c r="M74" s="321">
        <f t="shared" si="34"/>
        <v>5.8999999999999997E-2</v>
      </c>
      <c r="N74" s="321">
        <f t="shared" si="34"/>
        <v>5.91E-2</v>
      </c>
      <c r="O74" s="321">
        <f t="shared" si="34"/>
        <v>5.8999999999999997E-2</v>
      </c>
      <c r="P74" s="321">
        <f t="shared" si="34"/>
        <v>5.91E-2</v>
      </c>
      <c r="Q74" s="321">
        <f t="shared" si="34"/>
        <v>5.8999999999999997E-2</v>
      </c>
      <c r="R74" s="321">
        <f t="shared" si="34"/>
        <v>2.9499999999999998E-2</v>
      </c>
      <c r="S74" s="321">
        <v>0</v>
      </c>
      <c r="T74" s="321">
        <v>0</v>
      </c>
      <c r="U74" s="321">
        <v>0</v>
      </c>
      <c r="V74" s="321">
        <v>0</v>
      </c>
    </row>
    <row r="75" spans="1:22">
      <c r="A75" s="16" t="s">
        <v>118</v>
      </c>
      <c r="B75" s="201">
        <f>$B$73*B74</f>
        <v>0</v>
      </c>
      <c r="C75" s="201">
        <f t="shared" ref="C75:V75" si="35">$B$73*C74</f>
        <v>9707.9003826345997</v>
      </c>
      <c r="D75" s="201">
        <f t="shared" si="35"/>
        <v>18445.010727005742</v>
      </c>
      <c r="E75" s="201">
        <f t="shared" si="35"/>
        <v>16600.509654305166</v>
      </c>
      <c r="F75" s="201">
        <f t="shared" si="35"/>
        <v>14950.166589257284</v>
      </c>
      <c r="G75" s="201">
        <f t="shared" si="35"/>
        <v>13455.149930331556</v>
      </c>
      <c r="H75" s="201">
        <f t="shared" si="35"/>
        <v>12096.043876762711</v>
      </c>
      <c r="I75" s="201">
        <f t="shared" si="35"/>
        <v>11455.322451508828</v>
      </c>
      <c r="J75" s="201">
        <f t="shared" si="35"/>
        <v>11474.738252274097</v>
      </c>
      <c r="K75" s="201">
        <f t="shared" si="35"/>
        <v>11455.322451508828</v>
      </c>
      <c r="L75" s="201">
        <f t="shared" si="35"/>
        <v>11474.738252274097</v>
      </c>
      <c r="M75" s="201">
        <f t="shared" si="35"/>
        <v>11455.322451508828</v>
      </c>
      <c r="N75" s="201">
        <f t="shared" si="35"/>
        <v>11474.738252274097</v>
      </c>
      <c r="O75" s="201">
        <f t="shared" si="35"/>
        <v>11455.322451508828</v>
      </c>
      <c r="P75" s="201">
        <f t="shared" si="35"/>
        <v>11474.738252274097</v>
      </c>
      <c r="Q75" s="201">
        <f t="shared" si="35"/>
        <v>11455.322451508828</v>
      </c>
      <c r="R75" s="201">
        <f t="shared" si="35"/>
        <v>5727.6612257544139</v>
      </c>
      <c r="S75" s="201">
        <f t="shared" si="35"/>
        <v>0</v>
      </c>
      <c r="T75" s="201">
        <f t="shared" si="35"/>
        <v>0</v>
      </c>
      <c r="U75" s="201">
        <f t="shared" si="35"/>
        <v>0</v>
      </c>
      <c r="V75" s="201">
        <f t="shared" si="35"/>
        <v>0</v>
      </c>
    </row>
    <row r="76" spans="1:22">
      <c r="A76" s="16" t="s">
        <v>131</v>
      </c>
      <c r="B76" s="19">
        <f t="shared" ref="B76:V76" si="36">B73-B75</f>
        <v>194158.007652692</v>
      </c>
      <c r="C76" s="19">
        <f t="shared" si="36"/>
        <v>184450.1072700574</v>
      </c>
      <c r="D76" s="19">
        <f t="shared" si="36"/>
        <v>166005.09654305165</v>
      </c>
      <c r="E76" s="19">
        <f t="shared" si="36"/>
        <v>149404.58688874647</v>
      </c>
      <c r="F76" s="19">
        <f t="shared" si="36"/>
        <v>134454.4202994892</v>
      </c>
      <c r="G76" s="19">
        <f t="shared" si="36"/>
        <v>120999.27036915765</v>
      </c>
      <c r="H76" s="19">
        <f t="shared" si="36"/>
        <v>108903.22649239494</v>
      </c>
      <c r="I76" s="19">
        <f t="shared" si="36"/>
        <v>97447.904040886118</v>
      </c>
      <c r="J76" s="19">
        <f t="shared" si="36"/>
        <v>85973.165788612023</v>
      </c>
      <c r="K76" s="19">
        <f t="shared" si="36"/>
        <v>74517.843337103201</v>
      </c>
      <c r="L76" s="19">
        <f t="shared" si="36"/>
        <v>63043.105084829105</v>
      </c>
      <c r="M76" s="19">
        <f t="shared" si="36"/>
        <v>51587.782633320276</v>
      </c>
      <c r="N76" s="19">
        <f t="shared" si="36"/>
        <v>40113.04438104618</v>
      </c>
      <c r="O76" s="19">
        <f t="shared" si="36"/>
        <v>28657.721929537351</v>
      </c>
      <c r="P76" s="19">
        <f t="shared" si="36"/>
        <v>17182.983677263255</v>
      </c>
      <c r="Q76" s="19">
        <f t="shared" si="36"/>
        <v>5727.6612257544275</v>
      </c>
      <c r="R76" s="19">
        <f t="shared" si="36"/>
        <v>1.3642420526593924E-11</v>
      </c>
      <c r="S76" s="19">
        <f t="shared" si="36"/>
        <v>1.3642420526593924E-11</v>
      </c>
      <c r="T76" s="19">
        <f t="shared" si="36"/>
        <v>1.3642420526593924E-11</v>
      </c>
      <c r="U76" s="19">
        <f t="shared" si="36"/>
        <v>1.3642420526593924E-11</v>
      </c>
      <c r="V76" s="19">
        <f t="shared" si="36"/>
        <v>1.3642420526593924E-11</v>
      </c>
    </row>
    <row r="78" spans="1:22">
      <c r="A78" s="244" t="s">
        <v>11</v>
      </c>
    </row>
    <row r="79" spans="1:22">
      <c r="A79" s="16" t="s">
        <v>133</v>
      </c>
      <c r="B79" s="123">
        <f>SUM('Summary Output'!$G$8:$G$9)*Allocation!$C$9</f>
        <v>186720.44758360457</v>
      </c>
      <c r="C79" s="123">
        <f t="shared" ref="C79:V79" si="37">B82</f>
        <v>186720.44758360457</v>
      </c>
      <c r="D79" s="123">
        <f t="shared" si="37"/>
        <v>177384.42520442433</v>
      </c>
      <c r="E79" s="123">
        <f t="shared" si="37"/>
        <v>159645.98268398189</v>
      </c>
      <c r="F79" s="123">
        <f t="shared" si="37"/>
        <v>143681.38441558369</v>
      </c>
      <c r="G79" s="123">
        <f t="shared" si="37"/>
        <v>129303.90995164613</v>
      </c>
      <c r="H79" s="123">
        <f t="shared" si="37"/>
        <v>116364.18293410233</v>
      </c>
      <c r="I79" s="123">
        <f t="shared" si="37"/>
        <v>104731.49904964375</v>
      </c>
      <c r="J79" s="123">
        <f t="shared" si="37"/>
        <v>93714.992642211088</v>
      </c>
      <c r="K79" s="123">
        <f t="shared" si="37"/>
        <v>82679.814190020057</v>
      </c>
      <c r="L79" s="123">
        <f t="shared" si="37"/>
        <v>71663.307782587392</v>
      </c>
      <c r="M79" s="123">
        <f t="shared" si="37"/>
        <v>60628.129330396361</v>
      </c>
      <c r="N79" s="123">
        <f t="shared" si="37"/>
        <v>49611.622922963696</v>
      </c>
      <c r="O79" s="123">
        <f t="shared" si="37"/>
        <v>38576.444470772665</v>
      </c>
      <c r="P79" s="123">
        <f t="shared" si="37"/>
        <v>27559.938063339996</v>
      </c>
      <c r="Q79" s="123">
        <f t="shared" si="37"/>
        <v>16524.759611148966</v>
      </c>
      <c r="R79" s="123">
        <f t="shared" si="37"/>
        <v>5508.2532037162964</v>
      </c>
      <c r="S79" s="123">
        <f t="shared" si="37"/>
        <v>-3.8198777474462986E-11</v>
      </c>
      <c r="T79" s="123">
        <f t="shared" si="37"/>
        <v>-3.8198777474462986E-11</v>
      </c>
      <c r="U79" s="123">
        <f t="shared" si="37"/>
        <v>-3.8198777474462986E-11</v>
      </c>
      <c r="V79" s="123">
        <f t="shared" si="37"/>
        <v>-3.8198777474462986E-11</v>
      </c>
    </row>
    <row r="80" spans="1:22">
      <c r="A80" s="16" t="s">
        <v>116</v>
      </c>
      <c r="B80" s="321">
        <f t="shared" ref="B80:R80" si="38">VLOOKUP(B5,$Y$45:$Z$61,2)</f>
        <v>0</v>
      </c>
      <c r="C80" s="321">
        <f t="shared" si="38"/>
        <v>0.05</v>
      </c>
      <c r="D80" s="321">
        <f t="shared" si="38"/>
        <v>9.5000000000000001E-2</v>
      </c>
      <c r="E80" s="321">
        <f t="shared" si="38"/>
        <v>8.5500000000000007E-2</v>
      </c>
      <c r="F80" s="321">
        <f t="shared" si="38"/>
        <v>7.6999999999999999E-2</v>
      </c>
      <c r="G80" s="321">
        <f t="shared" si="38"/>
        <v>6.93E-2</v>
      </c>
      <c r="H80" s="321">
        <f t="shared" si="38"/>
        <v>6.2300000000000001E-2</v>
      </c>
      <c r="I80" s="321">
        <f t="shared" si="38"/>
        <v>5.8999999999999997E-2</v>
      </c>
      <c r="J80" s="321">
        <f t="shared" si="38"/>
        <v>5.91E-2</v>
      </c>
      <c r="K80" s="321">
        <f t="shared" si="38"/>
        <v>5.8999999999999997E-2</v>
      </c>
      <c r="L80" s="321">
        <f t="shared" si="38"/>
        <v>5.91E-2</v>
      </c>
      <c r="M80" s="321">
        <f t="shared" si="38"/>
        <v>5.8999999999999997E-2</v>
      </c>
      <c r="N80" s="321">
        <f t="shared" si="38"/>
        <v>5.91E-2</v>
      </c>
      <c r="O80" s="321">
        <f t="shared" si="38"/>
        <v>5.8999999999999997E-2</v>
      </c>
      <c r="P80" s="321">
        <f t="shared" si="38"/>
        <v>5.91E-2</v>
      </c>
      <c r="Q80" s="321">
        <f t="shared" si="38"/>
        <v>5.8999999999999997E-2</v>
      </c>
      <c r="R80" s="321">
        <f t="shared" si="38"/>
        <v>2.9499999999999998E-2</v>
      </c>
      <c r="S80" s="321">
        <v>0</v>
      </c>
      <c r="T80" s="321">
        <v>0</v>
      </c>
      <c r="U80" s="321">
        <v>0</v>
      </c>
      <c r="V80" s="321">
        <v>0</v>
      </c>
    </row>
    <row r="81" spans="1:22">
      <c r="A81" s="16" t="s">
        <v>118</v>
      </c>
      <c r="B81" s="201">
        <f>$B$79*B80</f>
        <v>0</v>
      </c>
      <c r="C81" s="201">
        <f t="shared" ref="C81:V81" si="39">$B$79*C80</f>
        <v>9336.0223791802291</v>
      </c>
      <c r="D81" s="201">
        <f t="shared" si="39"/>
        <v>17738.442520442433</v>
      </c>
      <c r="E81" s="201">
        <f t="shared" si="39"/>
        <v>15964.598268398193</v>
      </c>
      <c r="F81" s="201">
        <f t="shared" si="39"/>
        <v>14377.474463937551</v>
      </c>
      <c r="G81" s="201">
        <f t="shared" si="39"/>
        <v>12939.727017543797</v>
      </c>
      <c r="H81" s="201">
        <f t="shared" si="39"/>
        <v>11632.683884458565</v>
      </c>
      <c r="I81" s="201">
        <f t="shared" si="39"/>
        <v>11016.506407432669</v>
      </c>
      <c r="J81" s="201">
        <f t="shared" si="39"/>
        <v>11035.17845219103</v>
      </c>
      <c r="K81" s="201">
        <f t="shared" si="39"/>
        <v>11016.506407432669</v>
      </c>
      <c r="L81" s="201">
        <f t="shared" si="39"/>
        <v>11035.17845219103</v>
      </c>
      <c r="M81" s="201">
        <f t="shared" si="39"/>
        <v>11016.506407432669</v>
      </c>
      <c r="N81" s="201">
        <f t="shared" si="39"/>
        <v>11035.17845219103</v>
      </c>
      <c r="O81" s="201">
        <f t="shared" si="39"/>
        <v>11016.506407432669</v>
      </c>
      <c r="P81" s="201">
        <f t="shared" si="39"/>
        <v>11035.17845219103</v>
      </c>
      <c r="Q81" s="201">
        <f t="shared" si="39"/>
        <v>11016.506407432669</v>
      </c>
      <c r="R81" s="201">
        <f t="shared" si="39"/>
        <v>5508.2532037163346</v>
      </c>
      <c r="S81" s="201">
        <f t="shared" si="39"/>
        <v>0</v>
      </c>
      <c r="T81" s="201">
        <f t="shared" si="39"/>
        <v>0</v>
      </c>
      <c r="U81" s="201">
        <f t="shared" si="39"/>
        <v>0</v>
      </c>
      <c r="V81" s="201">
        <f t="shared" si="39"/>
        <v>0</v>
      </c>
    </row>
    <row r="82" spans="1:22">
      <c r="A82" s="16" t="s">
        <v>131</v>
      </c>
      <c r="B82" s="19">
        <f t="shared" ref="B82:V82" si="40">B79-B81</f>
        <v>186720.44758360457</v>
      </c>
      <c r="C82" s="19">
        <f t="shared" si="40"/>
        <v>177384.42520442433</v>
      </c>
      <c r="D82" s="19">
        <f t="shared" si="40"/>
        <v>159645.98268398189</v>
      </c>
      <c r="E82" s="19">
        <f t="shared" si="40"/>
        <v>143681.38441558369</v>
      </c>
      <c r="F82" s="19">
        <f t="shared" si="40"/>
        <v>129303.90995164613</v>
      </c>
      <c r="G82" s="19">
        <f t="shared" si="40"/>
        <v>116364.18293410233</v>
      </c>
      <c r="H82" s="19">
        <f t="shared" si="40"/>
        <v>104731.49904964375</v>
      </c>
      <c r="I82" s="19">
        <f t="shared" si="40"/>
        <v>93714.992642211088</v>
      </c>
      <c r="J82" s="19">
        <f t="shared" si="40"/>
        <v>82679.814190020057</v>
      </c>
      <c r="K82" s="19">
        <f t="shared" si="40"/>
        <v>71663.307782587392</v>
      </c>
      <c r="L82" s="19">
        <f t="shared" si="40"/>
        <v>60628.129330396361</v>
      </c>
      <c r="M82" s="19">
        <f t="shared" si="40"/>
        <v>49611.622922963696</v>
      </c>
      <c r="N82" s="19">
        <f t="shared" si="40"/>
        <v>38576.444470772665</v>
      </c>
      <c r="O82" s="19">
        <f t="shared" si="40"/>
        <v>27559.938063339996</v>
      </c>
      <c r="P82" s="19">
        <f t="shared" si="40"/>
        <v>16524.759611148966</v>
      </c>
      <c r="Q82" s="19">
        <f t="shared" si="40"/>
        <v>5508.2532037162964</v>
      </c>
      <c r="R82" s="19">
        <f t="shared" si="40"/>
        <v>-3.8198777474462986E-11</v>
      </c>
      <c r="S82" s="19">
        <f t="shared" si="40"/>
        <v>-3.8198777474462986E-11</v>
      </c>
      <c r="T82" s="19">
        <f t="shared" si="40"/>
        <v>-3.8198777474462986E-11</v>
      </c>
      <c r="U82" s="19">
        <f t="shared" si="40"/>
        <v>-3.8198777474462986E-11</v>
      </c>
      <c r="V82" s="19">
        <f t="shared" si="40"/>
        <v>-3.8198777474462986E-11</v>
      </c>
    </row>
    <row r="84" spans="1:22">
      <c r="A84" s="244" t="s">
        <v>113</v>
      </c>
    </row>
    <row r="85" spans="1:22">
      <c r="A85" s="16" t="s">
        <v>133</v>
      </c>
      <c r="B85" s="123">
        <f>SUM('Summary Output'!$G$8:$G$9)*Allocation!$C$12</f>
        <v>219276.14016132685</v>
      </c>
      <c r="C85" s="123">
        <f t="shared" ref="C85:V85" si="41">B88</f>
        <v>219276.14016132685</v>
      </c>
      <c r="D85" s="123">
        <f t="shared" si="41"/>
        <v>208312.33315326052</v>
      </c>
      <c r="E85" s="123">
        <f t="shared" si="41"/>
        <v>187481.09983793448</v>
      </c>
      <c r="F85" s="123">
        <f t="shared" si="41"/>
        <v>168732.98985414102</v>
      </c>
      <c r="G85" s="123">
        <f t="shared" si="41"/>
        <v>151848.72706171885</v>
      </c>
      <c r="H85" s="123">
        <f t="shared" si="41"/>
        <v>136652.89054853888</v>
      </c>
      <c r="I85" s="123">
        <f t="shared" si="41"/>
        <v>122991.98701648822</v>
      </c>
      <c r="J85" s="123">
        <f t="shared" si="41"/>
        <v>110054.69474696994</v>
      </c>
      <c r="K85" s="123">
        <f t="shared" si="41"/>
        <v>97095.47486343552</v>
      </c>
      <c r="L85" s="123">
        <f t="shared" si="41"/>
        <v>84158.182593917241</v>
      </c>
      <c r="M85" s="123">
        <f t="shared" si="41"/>
        <v>71198.962710382824</v>
      </c>
      <c r="N85" s="123">
        <f t="shared" si="41"/>
        <v>58261.670440864538</v>
      </c>
      <c r="O85" s="123">
        <f t="shared" si="41"/>
        <v>45302.450557330121</v>
      </c>
      <c r="P85" s="123">
        <f t="shared" si="41"/>
        <v>32365.158287811835</v>
      </c>
      <c r="Q85" s="123">
        <f t="shared" si="41"/>
        <v>19405.938404277418</v>
      </c>
      <c r="R85" s="123">
        <f t="shared" si="41"/>
        <v>6468.6461347591339</v>
      </c>
      <c r="S85" s="123">
        <f t="shared" si="41"/>
        <v>-8.1854523159563541E-12</v>
      </c>
      <c r="T85" s="123">
        <f t="shared" si="41"/>
        <v>-8.1854523159563541E-12</v>
      </c>
      <c r="U85" s="123">
        <f t="shared" si="41"/>
        <v>-8.1854523159563541E-12</v>
      </c>
      <c r="V85" s="123">
        <f t="shared" si="41"/>
        <v>-8.1854523159563541E-12</v>
      </c>
    </row>
    <row r="86" spans="1:22">
      <c r="A86" s="16" t="s">
        <v>116</v>
      </c>
      <c r="B86" s="321">
        <f t="shared" ref="B86:R86" si="42">VLOOKUP(B6,$Y$45:$Z$61,2)</f>
        <v>0</v>
      </c>
      <c r="C86" s="321">
        <f t="shared" si="42"/>
        <v>0.05</v>
      </c>
      <c r="D86" s="321">
        <f t="shared" si="42"/>
        <v>9.5000000000000001E-2</v>
      </c>
      <c r="E86" s="321">
        <f t="shared" si="42"/>
        <v>8.5500000000000007E-2</v>
      </c>
      <c r="F86" s="321">
        <f t="shared" si="42"/>
        <v>7.6999999999999999E-2</v>
      </c>
      <c r="G86" s="321">
        <f t="shared" si="42"/>
        <v>6.93E-2</v>
      </c>
      <c r="H86" s="321">
        <f t="shared" si="42"/>
        <v>6.2300000000000001E-2</v>
      </c>
      <c r="I86" s="321">
        <f t="shared" si="42"/>
        <v>5.8999999999999997E-2</v>
      </c>
      <c r="J86" s="321">
        <f t="shared" si="42"/>
        <v>5.91E-2</v>
      </c>
      <c r="K86" s="321">
        <f t="shared" si="42"/>
        <v>5.8999999999999997E-2</v>
      </c>
      <c r="L86" s="321">
        <f t="shared" si="42"/>
        <v>5.91E-2</v>
      </c>
      <c r="M86" s="321">
        <f t="shared" si="42"/>
        <v>5.8999999999999997E-2</v>
      </c>
      <c r="N86" s="321">
        <f t="shared" si="42"/>
        <v>5.91E-2</v>
      </c>
      <c r="O86" s="321">
        <f t="shared" si="42"/>
        <v>5.8999999999999997E-2</v>
      </c>
      <c r="P86" s="321">
        <f t="shared" si="42"/>
        <v>5.91E-2</v>
      </c>
      <c r="Q86" s="321">
        <f t="shared" si="42"/>
        <v>5.8999999999999997E-2</v>
      </c>
      <c r="R86" s="321">
        <f t="shared" si="42"/>
        <v>2.9499999999999998E-2</v>
      </c>
      <c r="S86" s="321">
        <v>0</v>
      </c>
      <c r="T86" s="321">
        <v>0</v>
      </c>
      <c r="U86" s="321">
        <v>0</v>
      </c>
      <c r="V86" s="321">
        <v>0</v>
      </c>
    </row>
    <row r="87" spans="1:22">
      <c r="A87" s="16" t="s">
        <v>118</v>
      </c>
      <c r="B87" s="201">
        <f>$B$85*B86</f>
        <v>0</v>
      </c>
      <c r="C87" s="201">
        <f t="shared" ref="C87:V87" si="43">$B$85*C86</f>
        <v>10963.807008066344</v>
      </c>
      <c r="D87" s="201">
        <f t="shared" si="43"/>
        <v>20831.233315326052</v>
      </c>
      <c r="E87" s="201">
        <f t="shared" si="43"/>
        <v>18748.109983793449</v>
      </c>
      <c r="F87" s="201">
        <f t="shared" si="43"/>
        <v>16884.262792422167</v>
      </c>
      <c r="G87" s="201">
        <f t="shared" si="43"/>
        <v>15195.836513179951</v>
      </c>
      <c r="H87" s="201">
        <f t="shared" si="43"/>
        <v>13660.903532050663</v>
      </c>
      <c r="I87" s="201">
        <f t="shared" si="43"/>
        <v>12937.292269518284</v>
      </c>
      <c r="J87" s="201">
        <f t="shared" si="43"/>
        <v>12959.219883534417</v>
      </c>
      <c r="K87" s="201">
        <f t="shared" si="43"/>
        <v>12937.292269518284</v>
      </c>
      <c r="L87" s="201">
        <f t="shared" si="43"/>
        <v>12959.219883534417</v>
      </c>
      <c r="M87" s="201">
        <f t="shared" si="43"/>
        <v>12937.292269518284</v>
      </c>
      <c r="N87" s="201">
        <f t="shared" si="43"/>
        <v>12959.219883534417</v>
      </c>
      <c r="O87" s="201">
        <f t="shared" si="43"/>
        <v>12937.292269518284</v>
      </c>
      <c r="P87" s="201">
        <f t="shared" si="43"/>
        <v>12959.219883534417</v>
      </c>
      <c r="Q87" s="201">
        <f t="shared" si="43"/>
        <v>12937.292269518284</v>
      </c>
      <c r="R87" s="201">
        <f t="shared" si="43"/>
        <v>6468.6461347591421</v>
      </c>
      <c r="S87" s="201">
        <f t="shared" si="43"/>
        <v>0</v>
      </c>
      <c r="T87" s="201">
        <f t="shared" si="43"/>
        <v>0</v>
      </c>
      <c r="U87" s="201">
        <f t="shared" si="43"/>
        <v>0</v>
      </c>
      <c r="V87" s="201">
        <f t="shared" si="43"/>
        <v>0</v>
      </c>
    </row>
    <row r="88" spans="1:22">
      <c r="A88" s="16" t="s">
        <v>131</v>
      </c>
      <c r="B88" s="19">
        <f t="shared" ref="B88:V88" si="44">B85-B87</f>
        <v>219276.14016132685</v>
      </c>
      <c r="C88" s="19">
        <f t="shared" si="44"/>
        <v>208312.33315326052</v>
      </c>
      <c r="D88" s="19">
        <f t="shared" si="44"/>
        <v>187481.09983793448</v>
      </c>
      <c r="E88" s="19">
        <f t="shared" si="44"/>
        <v>168732.98985414102</v>
      </c>
      <c r="F88" s="19">
        <f t="shared" si="44"/>
        <v>151848.72706171885</v>
      </c>
      <c r="G88" s="19">
        <f t="shared" si="44"/>
        <v>136652.89054853888</v>
      </c>
      <c r="H88" s="19">
        <f t="shared" si="44"/>
        <v>122991.98701648822</v>
      </c>
      <c r="I88" s="19">
        <f t="shared" si="44"/>
        <v>110054.69474696994</v>
      </c>
      <c r="J88" s="19">
        <f t="shared" si="44"/>
        <v>97095.47486343552</v>
      </c>
      <c r="K88" s="19">
        <f t="shared" si="44"/>
        <v>84158.182593917241</v>
      </c>
      <c r="L88" s="19">
        <f t="shared" si="44"/>
        <v>71198.962710382824</v>
      </c>
      <c r="M88" s="19">
        <f t="shared" si="44"/>
        <v>58261.670440864538</v>
      </c>
      <c r="N88" s="19">
        <f t="shared" si="44"/>
        <v>45302.450557330121</v>
      </c>
      <c r="O88" s="19">
        <f t="shared" si="44"/>
        <v>32365.158287811835</v>
      </c>
      <c r="P88" s="19">
        <f t="shared" si="44"/>
        <v>19405.938404277418</v>
      </c>
      <c r="Q88" s="19">
        <f t="shared" si="44"/>
        <v>6468.6461347591339</v>
      </c>
      <c r="R88" s="19">
        <f t="shared" si="44"/>
        <v>-8.1854523159563541E-12</v>
      </c>
      <c r="S88" s="19">
        <f t="shared" si="44"/>
        <v>-8.1854523159563541E-12</v>
      </c>
      <c r="T88" s="19">
        <f t="shared" si="44"/>
        <v>-8.1854523159563541E-12</v>
      </c>
      <c r="U88" s="19">
        <f t="shared" si="44"/>
        <v>-8.1854523159563541E-12</v>
      </c>
      <c r="V88" s="19">
        <f t="shared" si="44"/>
        <v>-8.1854523159563541E-12</v>
      </c>
    </row>
    <row r="90" spans="1:22">
      <c r="A90" s="244" t="s">
        <v>12</v>
      </c>
    </row>
    <row r="91" spans="1:22">
      <c r="A91" s="16" t="s">
        <v>133</v>
      </c>
      <c r="B91" s="123">
        <f>SUM('Summary Output'!$G$8:$G$9)*Allocation!$C$13</f>
        <v>200580.92317622254</v>
      </c>
      <c r="C91" s="123">
        <f t="shared" ref="C91:V91" si="45">B94</f>
        <v>200580.92317622254</v>
      </c>
      <c r="D91" s="123">
        <f t="shared" si="45"/>
        <v>190551.8770174114</v>
      </c>
      <c r="E91" s="123">
        <f t="shared" si="45"/>
        <v>171496.68931567026</v>
      </c>
      <c r="F91" s="123">
        <f t="shared" si="45"/>
        <v>154347.02038410323</v>
      </c>
      <c r="G91" s="123">
        <f t="shared" si="45"/>
        <v>138902.28929953411</v>
      </c>
      <c r="H91" s="123">
        <f t="shared" si="45"/>
        <v>125002.03132342189</v>
      </c>
      <c r="I91" s="123">
        <f t="shared" si="45"/>
        <v>112505.83980954322</v>
      </c>
      <c r="J91" s="123">
        <f t="shared" si="45"/>
        <v>100671.56534214609</v>
      </c>
      <c r="K91" s="123">
        <f t="shared" si="45"/>
        <v>88817.23278243134</v>
      </c>
      <c r="L91" s="123">
        <f t="shared" si="45"/>
        <v>76982.958315034208</v>
      </c>
      <c r="M91" s="123">
        <f t="shared" si="45"/>
        <v>65128.625755319459</v>
      </c>
      <c r="N91" s="123">
        <f t="shared" si="45"/>
        <v>53294.351287922327</v>
      </c>
      <c r="O91" s="123">
        <f t="shared" si="45"/>
        <v>41440.018728207579</v>
      </c>
      <c r="P91" s="123">
        <f t="shared" si="45"/>
        <v>29605.74426081045</v>
      </c>
      <c r="Q91" s="123">
        <f t="shared" si="45"/>
        <v>17751.411701095698</v>
      </c>
      <c r="R91" s="123">
        <f t="shared" si="45"/>
        <v>5917.1372336985696</v>
      </c>
      <c r="S91" s="123">
        <f t="shared" si="45"/>
        <v>0</v>
      </c>
      <c r="T91" s="123">
        <f t="shared" si="45"/>
        <v>0</v>
      </c>
      <c r="U91" s="123">
        <f t="shared" si="45"/>
        <v>0</v>
      </c>
      <c r="V91" s="123">
        <f t="shared" si="45"/>
        <v>0</v>
      </c>
    </row>
    <row r="92" spans="1:22">
      <c r="A92" s="16" t="s">
        <v>116</v>
      </c>
      <c r="B92" s="321">
        <f t="shared" ref="B92:R92" si="46">VLOOKUP(B6,$Y$45:$Z$61,2)</f>
        <v>0</v>
      </c>
      <c r="C92" s="321">
        <f t="shared" si="46"/>
        <v>0.05</v>
      </c>
      <c r="D92" s="321">
        <f t="shared" si="46"/>
        <v>9.5000000000000001E-2</v>
      </c>
      <c r="E92" s="321">
        <f t="shared" si="46"/>
        <v>8.5500000000000007E-2</v>
      </c>
      <c r="F92" s="321">
        <f t="shared" si="46"/>
        <v>7.6999999999999999E-2</v>
      </c>
      <c r="G92" s="321">
        <f t="shared" si="46"/>
        <v>6.93E-2</v>
      </c>
      <c r="H92" s="321">
        <f t="shared" si="46"/>
        <v>6.2300000000000001E-2</v>
      </c>
      <c r="I92" s="321">
        <f t="shared" si="46"/>
        <v>5.8999999999999997E-2</v>
      </c>
      <c r="J92" s="321">
        <f t="shared" si="46"/>
        <v>5.91E-2</v>
      </c>
      <c r="K92" s="321">
        <f t="shared" si="46"/>
        <v>5.8999999999999997E-2</v>
      </c>
      <c r="L92" s="321">
        <f t="shared" si="46"/>
        <v>5.91E-2</v>
      </c>
      <c r="M92" s="321">
        <f t="shared" si="46"/>
        <v>5.8999999999999997E-2</v>
      </c>
      <c r="N92" s="321">
        <f t="shared" si="46"/>
        <v>5.91E-2</v>
      </c>
      <c r="O92" s="321">
        <f t="shared" si="46"/>
        <v>5.8999999999999997E-2</v>
      </c>
      <c r="P92" s="321">
        <f t="shared" si="46"/>
        <v>5.91E-2</v>
      </c>
      <c r="Q92" s="321">
        <f t="shared" si="46"/>
        <v>5.8999999999999997E-2</v>
      </c>
      <c r="R92" s="321">
        <f t="shared" si="46"/>
        <v>2.9499999999999998E-2</v>
      </c>
      <c r="S92" s="321">
        <v>0</v>
      </c>
      <c r="T92" s="321">
        <v>0</v>
      </c>
      <c r="U92" s="321">
        <v>0</v>
      </c>
      <c r="V92" s="321">
        <v>0</v>
      </c>
    </row>
    <row r="93" spans="1:22">
      <c r="A93" s="16" t="s">
        <v>118</v>
      </c>
      <c r="B93" s="201">
        <f>$B$91*B92</f>
        <v>0</v>
      </c>
      <c r="C93" s="201">
        <f t="shared" ref="C93:V93" si="47">$B$91*C92</f>
        <v>10029.046158811128</v>
      </c>
      <c r="D93" s="201">
        <f t="shared" si="47"/>
        <v>19055.187701741143</v>
      </c>
      <c r="E93" s="201">
        <f t="shared" si="47"/>
        <v>17149.66893156703</v>
      </c>
      <c r="F93" s="201">
        <f t="shared" si="47"/>
        <v>15444.731084569135</v>
      </c>
      <c r="G93" s="201">
        <f t="shared" si="47"/>
        <v>13900.257976112222</v>
      </c>
      <c r="H93" s="201">
        <f t="shared" si="47"/>
        <v>12496.191513878664</v>
      </c>
      <c r="I93" s="201">
        <f t="shared" si="47"/>
        <v>11834.274467397128</v>
      </c>
      <c r="J93" s="201">
        <f t="shared" si="47"/>
        <v>11854.332559714752</v>
      </c>
      <c r="K93" s="201">
        <f t="shared" si="47"/>
        <v>11834.274467397128</v>
      </c>
      <c r="L93" s="201">
        <f t="shared" si="47"/>
        <v>11854.332559714752</v>
      </c>
      <c r="M93" s="201">
        <f t="shared" si="47"/>
        <v>11834.274467397128</v>
      </c>
      <c r="N93" s="201">
        <f t="shared" si="47"/>
        <v>11854.332559714752</v>
      </c>
      <c r="O93" s="201">
        <f t="shared" si="47"/>
        <v>11834.274467397128</v>
      </c>
      <c r="P93" s="201">
        <f t="shared" si="47"/>
        <v>11854.332559714752</v>
      </c>
      <c r="Q93" s="201">
        <f t="shared" si="47"/>
        <v>11834.274467397128</v>
      </c>
      <c r="R93" s="201">
        <f t="shared" si="47"/>
        <v>5917.1372336985642</v>
      </c>
      <c r="S93" s="201">
        <f t="shared" si="47"/>
        <v>0</v>
      </c>
      <c r="T93" s="201">
        <f t="shared" si="47"/>
        <v>0</v>
      </c>
      <c r="U93" s="201">
        <f t="shared" si="47"/>
        <v>0</v>
      </c>
      <c r="V93" s="201">
        <f t="shared" si="47"/>
        <v>0</v>
      </c>
    </row>
    <row r="94" spans="1:22">
      <c r="A94" s="16" t="s">
        <v>131</v>
      </c>
      <c r="B94" s="19">
        <f t="shared" ref="B94:V94" si="48">B91-B93</f>
        <v>200580.92317622254</v>
      </c>
      <c r="C94" s="19">
        <f t="shared" si="48"/>
        <v>190551.8770174114</v>
      </c>
      <c r="D94" s="19">
        <f t="shared" si="48"/>
        <v>171496.68931567026</v>
      </c>
      <c r="E94" s="19">
        <f t="shared" si="48"/>
        <v>154347.02038410323</v>
      </c>
      <c r="F94" s="19">
        <f t="shared" si="48"/>
        <v>138902.28929953411</v>
      </c>
      <c r="G94" s="19">
        <f t="shared" si="48"/>
        <v>125002.03132342189</v>
      </c>
      <c r="H94" s="19">
        <f t="shared" si="48"/>
        <v>112505.83980954322</v>
      </c>
      <c r="I94" s="19">
        <f t="shared" si="48"/>
        <v>100671.56534214609</v>
      </c>
      <c r="J94" s="19">
        <f t="shared" si="48"/>
        <v>88817.23278243134</v>
      </c>
      <c r="K94" s="19">
        <f t="shared" si="48"/>
        <v>76982.958315034208</v>
      </c>
      <c r="L94" s="19">
        <f t="shared" si="48"/>
        <v>65128.625755319459</v>
      </c>
      <c r="M94" s="19">
        <f t="shared" si="48"/>
        <v>53294.351287922327</v>
      </c>
      <c r="N94" s="19">
        <f t="shared" si="48"/>
        <v>41440.018728207579</v>
      </c>
      <c r="O94" s="19">
        <f t="shared" si="48"/>
        <v>29605.74426081045</v>
      </c>
      <c r="P94" s="19">
        <f t="shared" si="48"/>
        <v>17751.411701095698</v>
      </c>
      <c r="Q94" s="19">
        <f t="shared" si="48"/>
        <v>5917.1372336985696</v>
      </c>
      <c r="R94" s="19">
        <f t="shared" si="48"/>
        <v>0</v>
      </c>
      <c r="S94" s="19">
        <f t="shared" si="48"/>
        <v>0</v>
      </c>
      <c r="T94" s="19">
        <f t="shared" si="48"/>
        <v>0</v>
      </c>
      <c r="U94" s="19">
        <f t="shared" si="48"/>
        <v>0</v>
      </c>
      <c r="V94" s="19">
        <f t="shared" si="48"/>
        <v>0</v>
      </c>
    </row>
    <row r="96" spans="1:22">
      <c r="A96" s="244" t="s">
        <v>13</v>
      </c>
    </row>
    <row r="97" spans="1:22">
      <c r="A97" s="16" t="s">
        <v>133</v>
      </c>
      <c r="B97" s="123">
        <f>SUM('Summary Output'!$G$8:$G$9)*Allocation!$C$14</f>
        <v>322935.87513467961</v>
      </c>
      <c r="C97" s="19">
        <f t="shared" ref="C97:V97" si="49">B100</f>
        <v>322935.87513467961</v>
      </c>
      <c r="D97" s="19">
        <f t="shared" si="49"/>
        <v>306789.08137794561</v>
      </c>
      <c r="E97" s="19">
        <f t="shared" si="49"/>
        <v>276110.17324015102</v>
      </c>
      <c r="F97" s="19">
        <f t="shared" si="49"/>
        <v>248499.1559161359</v>
      </c>
      <c r="G97" s="19">
        <f t="shared" si="49"/>
        <v>223633.09353076556</v>
      </c>
      <c r="H97" s="19">
        <f t="shared" si="49"/>
        <v>201253.63738393225</v>
      </c>
      <c r="I97" s="19">
        <f t="shared" si="49"/>
        <v>181134.73236304172</v>
      </c>
      <c r="J97" s="19">
        <f t="shared" si="49"/>
        <v>162081.51573009562</v>
      </c>
      <c r="K97" s="19">
        <f t="shared" si="49"/>
        <v>142996.00550963604</v>
      </c>
      <c r="L97" s="19">
        <f t="shared" si="49"/>
        <v>123942.78887668994</v>
      </c>
      <c r="M97" s="19">
        <f t="shared" si="49"/>
        <v>104857.27865623038</v>
      </c>
      <c r="N97" s="19">
        <f t="shared" si="49"/>
        <v>85804.062023284292</v>
      </c>
      <c r="O97" s="19">
        <f t="shared" si="49"/>
        <v>66718.551802824732</v>
      </c>
      <c r="P97" s="19">
        <f t="shared" si="49"/>
        <v>47665.335169878635</v>
      </c>
      <c r="Q97" s="19">
        <f t="shared" si="49"/>
        <v>28579.824949419071</v>
      </c>
      <c r="R97" s="19">
        <f t="shared" si="49"/>
        <v>9526.6083164729753</v>
      </c>
      <c r="S97" s="19">
        <f t="shared" si="49"/>
        <v>-7.2759576141834259E-11</v>
      </c>
      <c r="T97" s="19">
        <f t="shared" si="49"/>
        <v>-7.2759576141834259E-11</v>
      </c>
      <c r="U97" s="19">
        <f t="shared" si="49"/>
        <v>-7.2759576141834259E-11</v>
      </c>
      <c r="V97" s="19">
        <f t="shared" si="49"/>
        <v>-7.2759576141834259E-11</v>
      </c>
    </row>
    <row r="98" spans="1:22">
      <c r="A98" s="16" t="s">
        <v>116</v>
      </c>
      <c r="B98" s="321">
        <f t="shared" ref="B98:R98" si="50">VLOOKUP(B6,$Y$45:$Z$61,2)</f>
        <v>0</v>
      </c>
      <c r="C98" s="321">
        <f t="shared" si="50"/>
        <v>0.05</v>
      </c>
      <c r="D98" s="321">
        <f t="shared" si="50"/>
        <v>9.5000000000000001E-2</v>
      </c>
      <c r="E98" s="321">
        <f t="shared" si="50"/>
        <v>8.5500000000000007E-2</v>
      </c>
      <c r="F98" s="321">
        <f t="shared" si="50"/>
        <v>7.6999999999999999E-2</v>
      </c>
      <c r="G98" s="321">
        <f t="shared" si="50"/>
        <v>6.93E-2</v>
      </c>
      <c r="H98" s="321">
        <f t="shared" si="50"/>
        <v>6.2300000000000001E-2</v>
      </c>
      <c r="I98" s="321">
        <f t="shared" si="50"/>
        <v>5.8999999999999997E-2</v>
      </c>
      <c r="J98" s="321">
        <f t="shared" si="50"/>
        <v>5.91E-2</v>
      </c>
      <c r="K98" s="321">
        <f t="shared" si="50"/>
        <v>5.8999999999999997E-2</v>
      </c>
      <c r="L98" s="321">
        <f t="shared" si="50"/>
        <v>5.91E-2</v>
      </c>
      <c r="M98" s="321">
        <f t="shared" si="50"/>
        <v>5.8999999999999997E-2</v>
      </c>
      <c r="N98" s="321">
        <f t="shared" si="50"/>
        <v>5.91E-2</v>
      </c>
      <c r="O98" s="321">
        <f t="shared" si="50"/>
        <v>5.8999999999999997E-2</v>
      </c>
      <c r="P98" s="321">
        <f t="shared" si="50"/>
        <v>5.91E-2</v>
      </c>
      <c r="Q98" s="321">
        <f t="shared" si="50"/>
        <v>5.8999999999999997E-2</v>
      </c>
      <c r="R98" s="321">
        <f t="shared" si="50"/>
        <v>2.9499999999999998E-2</v>
      </c>
      <c r="S98" s="321">
        <v>0</v>
      </c>
      <c r="T98" s="321">
        <v>0</v>
      </c>
      <c r="U98" s="321">
        <v>0</v>
      </c>
      <c r="V98" s="321">
        <v>0</v>
      </c>
    </row>
    <row r="99" spans="1:22">
      <c r="A99" s="16" t="s">
        <v>118</v>
      </c>
      <c r="B99" s="201">
        <f>$B$97*B98</f>
        <v>0</v>
      </c>
      <c r="C99" s="201">
        <f t="shared" ref="C99:V99" si="51">$B$97*C98</f>
        <v>16146.793756733981</v>
      </c>
      <c r="D99" s="201">
        <f t="shared" si="51"/>
        <v>30678.908137794562</v>
      </c>
      <c r="E99" s="201">
        <f t="shared" si="51"/>
        <v>27611.017324015109</v>
      </c>
      <c r="F99" s="201">
        <f t="shared" si="51"/>
        <v>24866.062385370329</v>
      </c>
      <c r="G99" s="201">
        <f t="shared" si="51"/>
        <v>22379.456146833298</v>
      </c>
      <c r="H99" s="201">
        <f t="shared" si="51"/>
        <v>20118.905020890539</v>
      </c>
      <c r="I99" s="201">
        <f t="shared" si="51"/>
        <v>19053.216632946096</v>
      </c>
      <c r="J99" s="201">
        <f t="shared" si="51"/>
        <v>19085.510220459564</v>
      </c>
      <c r="K99" s="201">
        <f t="shared" si="51"/>
        <v>19053.216632946096</v>
      </c>
      <c r="L99" s="201">
        <f t="shared" si="51"/>
        <v>19085.510220459564</v>
      </c>
      <c r="M99" s="201">
        <f t="shared" si="51"/>
        <v>19053.216632946096</v>
      </c>
      <c r="N99" s="201">
        <f t="shared" si="51"/>
        <v>19085.510220459564</v>
      </c>
      <c r="O99" s="201">
        <f t="shared" si="51"/>
        <v>19053.216632946096</v>
      </c>
      <c r="P99" s="201">
        <f t="shared" si="51"/>
        <v>19085.510220459564</v>
      </c>
      <c r="Q99" s="201">
        <f t="shared" si="51"/>
        <v>19053.216632946096</v>
      </c>
      <c r="R99" s="201">
        <f t="shared" si="51"/>
        <v>9526.608316473048</v>
      </c>
      <c r="S99" s="201">
        <f t="shared" si="51"/>
        <v>0</v>
      </c>
      <c r="T99" s="201">
        <f t="shared" si="51"/>
        <v>0</v>
      </c>
      <c r="U99" s="201">
        <f t="shared" si="51"/>
        <v>0</v>
      </c>
      <c r="V99" s="201">
        <f t="shared" si="51"/>
        <v>0</v>
      </c>
    </row>
    <row r="100" spans="1:22">
      <c r="A100" s="16" t="s">
        <v>131</v>
      </c>
      <c r="B100" s="19">
        <f t="shared" ref="B100:V100" si="52">B97-B99</f>
        <v>322935.87513467961</v>
      </c>
      <c r="C100" s="19">
        <f t="shared" si="52"/>
        <v>306789.08137794561</v>
      </c>
      <c r="D100" s="19">
        <f t="shared" si="52"/>
        <v>276110.17324015102</v>
      </c>
      <c r="E100" s="19">
        <f t="shared" si="52"/>
        <v>248499.1559161359</v>
      </c>
      <c r="F100" s="19">
        <f t="shared" si="52"/>
        <v>223633.09353076556</v>
      </c>
      <c r="G100" s="19">
        <f t="shared" si="52"/>
        <v>201253.63738393225</v>
      </c>
      <c r="H100" s="19">
        <f t="shared" si="52"/>
        <v>181134.73236304172</v>
      </c>
      <c r="I100" s="19">
        <f t="shared" si="52"/>
        <v>162081.51573009562</v>
      </c>
      <c r="J100" s="19">
        <f t="shared" si="52"/>
        <v>142996.00550963604</v>
      </c>
      <c r="K100" s="19">
        <f t="shared" si="52"/>
        <v>123942.78887668994</v>
      </c>
      <c r="L100" s="19">
        <f t="shared" si="52"/>
        <v>104857.27865623038</v>
      </c>
      <c r="M100" s="19">
        <f t="shared" si="52"/>
        <v>85804.062023284292</v>
      </c>
      <c r="N100" s="19">
        <f t="shared" si="52"/>
        <v>66718.551802824732</v>
      </c>
      <c r="O100" s="19">
        <f t="shared" si="52"/>
        <v>47665.335169878635</v>
      </c>
      <c r="P100" s="19">
        <f t="shared" si="52"/>
        <v>28579.824949419071</v>
      </c>
      <c r="Q100" s="19">
        <f t="shared" si="52"/>
        <v>9526.6083164729753</v>
      </c>
      <c r="R100" s="19">
        <f t="shared" si="52"/>
        <v>-7.2759576141834259E-11</v>
      </c>
      <c r="S100" s="19">
        <f t="shared" si="52"/>
        <v>-7.2759576141834259E-11</v>
      </c>
      <c r="T100" s="19">
        <f t="shared" si="52"/>
        <v>-7.2759576141834259E-11</v>
      </c>
      <c r="U100" s="19">
        <f t="shared" si="52"/>
        <v>-7.2759576141834259E-11</v>
      </c>
      <c r="V100" s="19">
        <f t="shared" si="52"/>
        <v>-7.2759576141834259E-11</v>
      </c>
    </row>
    <row r="102" spans="1:22">
      <c r="A102" s="244" t="s">
        <v>120</v>
      </c>
    </row>
    <row r="103" spans="1:22">
      <c r="A103" s="16" t="s">
        <v>133</v>
      </c>
      <c r="B103" s="19">
        <f>SUM(B67,B73,B79,B85,B91,B97)</f>
        <v>1284253.7631130046</v>
      </c>
      <c r="C103" s="19">
        <f>B105</f>
        <v>1284253.7631130046</v>
      </c>
      <c r="D103" s="19">
        <f t="shared" ref="D103:V103" si="53">C105</f>
        <v>1220041.0749573545</v>
      </c>
      <c r="E103" s="19">
        <f t="shared" si="53"/>
        <v>1098036.9674616191</v>
      </c>
      <c r="F103" s="19">
        <f t="shared" si="53"/>
        <v>988233.27071545715</v>
      </c>
      <c r="G103" s="19">
        <f t="shared" si="53"/>
        <v>889345.7309557558</v>
      </c>
      <c r="H103" s="19">
        <f t="shared" si="53"/>
        <v>800346.94517202454</v>
      </c>
      <c r="I103" s="19">
        <f t="shared" si="53"/>
        <v>720337.93573008431</v>
      </c>
      <c r="J103" s="19">
        <f t="shared" si="53"/>
        <v>644566.96370641701</v>
      </c>
      <c r="K103" s="19">
        <f t="shared" si="53"/>
        <v>568667.56630643841</v>
      </c>
      <c r="L103" s="19">
        <f t="shared" si="53"/>
        <v>492896.59428277111</v>
      </c>
      <c r="M103" s="19">
        <f t="shared" si="53"/>
        <v>416997.19688279252</v>
      </c>
      <c r="N103" s="19">
        <f t="shared" si="53"/>
        <v>341226.22485912521</v>
      </c>
      <c r="O103" s="19">
        <f t="shared" si="53"/>
        <v>265326.82745914662</v>
      </c>
      <c r="P103" s="19">
        <f t="shared" si="53"/>
        <v>189555.85543547935</v>
      </c>
      <c r="Q103" s="19">
        <f t="shared" si="53"/>
        <v>113656.45803550076</v>
      </c>
      <c r="R103" s="19">
        <f t="shared" si="53"/>
        <v>37885.486011833491</v>
      </c>
      <c r="S103" s="19">
        <f t="shared" si="53"/>
        <v>-1.4551915228366852E-10</v>
      </c>
      <c r="T103" s="19">
        <f t="shared" si="53"/>
        <v>-1.4551915228366852E-10</v>
      </c>
      <c r="U103" s="19">
        <f t="shared" si="53"/>
        <v>-1.4551915228366852E-10</v>
      </c>
      <c r="V103" s="19">
        <f t="shared" si="53"/>
        <v>-1.4551915228366852E-10</v>
      </c>
    </row>
    <row r="104" spans="1:22">
      <c r="A104" s="16" t="s">
        <v>118</v>
      </c>
      <c r="B104" s="201">
        <f>SUM(B69,B75,B81,B87,B93,B99)</f>
        <v>0</v>
      </c>
      <c r="C104" s="201">
        <f t="shared" ref="C104:V104" si="54">SUM(C69,C75,C81,C87,C93,C99)</f>
        <v>64212.688155650249</v>
      </c>
      <c r="D104" s="201">
        <f t="shared" si="54"/>
        <v>122004.10749573546</v>
      </c>
      <c r="E104" s="201">
        <f t="shared" si="54"/>
        <v>109803.69674616192</v>
      </c>
      <c r="F104" s="201">
        <f t="shared" si="54"/>
        <v>98887.539759701365</v>
      </c>
      <c r="G104" s="201">
        <f t="shared" si="54"/>
        <v>88998.785783731233</v>
      </c>
      <c r="H104" s="201">
        <f t="shared" si="54"/>
        <v>80009.009441940201</v>
      </c>
      <c r="I104" s="201">
        <f t="shared" si="54"/>
        <v>75770.972023667273</v>
      </c>
      <c r="J104" s="201">
        <f t="shared" si="54"/>
        <v>75899.397399978581</v>
      </c>
      <c r="K104" s="201">
        <f t="shared" si="54"/>
        <v>75770.972023667273</v>
      </c>
      <c r="L104" s="201">
        <f t="shared" si="54"/>
        <v>75899.397399978581</v>
      </c>
      <c r="M104" s="201">
        <f t="shared" si="54"/>
        <v>75770.972023667273</v>
      </c>
      <c r="N104" s="201">
        <f t="shared" si="54"/>
        <v>75899.397399978581</v>
      </c>
      <c r="O104" s="201">
        <f t="shared" si="54"/>
        <v>75770.972023667273</v>
      </c>
      <c r="P104" s="201">
        <f t="shared" si="54"/>
        <v>75899.397399978581</v>
      </c>
      <c r="Q104" s="201">
        <f t="shared" si="54"/>
        <v>75770.972023667273</v>
      </c>
      <c r="R104" s="201">
        <f t="shared" si="54"/>
        <v>37885.486011833636</v>
      </c>
      <c r="S104" s="201">
        <f t="shared" si="54"/>
        <v>0</v>
      </c>
      <c r="T104" s="201">
        <f t="shared" si="54"/>
        <v>0</v>
      </c>
      <c r="U104" s="201">
        <f t="shared" si="54"/>
        <v>0</v>
      </c>
      <c r="V104" s="201">
        <f t="shared" si="54"/>
        <v>0</v>
      </c>
    </row>
    <row r="105" spans="1:22">
      <c r="A105" s="16" t="s">
        <v>131</v>
      </c>
      <c r="B105" s="19">
        <f>B103-B104</f>
        <v>1284253.7631130046</v>
      </c>
      <c r="C105" s="19">
        <f t="shared" ref="C105:V105" si="55">C103-C104</f>
        <v>1220041.0749573545</v>
      </c>
      <c r="D105" s="19">
        <f t="shared" si="55"/>
        <v>1098036.9674616191</v>
      </c>
      <c r="E105" s="19">
        <f t="shared" si="55"/>
        <v>988233.27071545715</v>
      </c>
      <c r="F105" s="19">
        <f t="shared" si="55"/>
        <v>889345.7309557558</v>
      </c>
      <c r="G105" s="19">
        <f t="shared" si="55"/>
        <v>800346.94517202454</v>
      </c>
      <c r="H105" s="19">
        <f t="shared" si="55"/>
        <v>720337.93573008431</v>
      </c>
      <c r="I105" s="19">
        <f t="shared" si="55"/>
        <v>644566.96370641701</v>
      </c>
      <c r="J105" s="19">
        <f t="shared" si="55"/>
        <v>568667.56630643841</v>
      </c>
      <c r="K105" s="19">
        <f t="shared" si="55"/>
        <v>492896.59428277111</v>
      </c>
      <c r="L105" s="19">
        <f t="shared" si="55"/>
        <v>416997.19688279252</v>
      </c>
      <c r="M105" s="19">
        <f t="shared" si="55"/>
        <v>341226.22485912521</v>
      </c>
      <c r="N105" s="19">
        <f t="shared" si="55"/>
        <v>265326.82745914662</v>
      </c>
      <c r="O105" s="19">
        <f t="shared" si="55"/>
        <v>189555.85543547935</v>
      </c>
      <c r="P105" s="19">
        <f t="shared" si="55"/>
        <v>113656.45803550076</v>
      </c>
      <c r="Q105" s="19">
        <f t="shared" si="55"/>
        <v>37885.486011833491</v>
      </c>
      <c r="R105" s="19">
        <f t="shared" si="55"/>
        <v>-1.4551915228366852E-10</v>
      </c>
      <c r="S105" s="19">
        <f t="shared" si="55"/>
        <v>-1.4551915228366852E-10</v>
      </c>
      <c r="T105" s="19">
        <f t="shared" si="55"/>
        <v>-1.4551915228366852E-10</v>
      </c>
      <c r="U105" s="19">
        <f t="shared" si="55"/>
        <v>-1.4551915228366852E-10</v>
      </c>
      <c r="V105" s="19">
        <f t="shared" si="55"/>
        <v>-1.4551915228366852E-10</v>
      </c>
    </row>
    <row r="108" spans="1:22" ht="15" customHeight="1">
      <c r="A108" s="39" t="s">
        <v>132</v>
      </c>
    </row>
    <row r="110" spans="1:22">
      <c r="A110" s="16" t="s">
        <v>133</v>
      </c>
      <c r="B110" s="19">
        <f>'Summary Output'!$G$12</f>
        <v>0</v>
      </c>
      <c r="C110" s="19">
        <f t="shared" ref="C110:V110" si="56">B113</f>
        <v>0</v>
      </c>
      <c r="D110" s="19">
        <f t="shared" si="56"/>
        <v>0</v>
      </c>
      <c r="E110" s="19">
        <f t="shared" si="56"/>
        <v>0</v>
      </c>
      <c r="F110" s="19">
        <f t="shared" si="56"/>
        <v>0</v>
      </c>
      <c r="G110" s="19">
        <f t="shared" si="56"/>
        <v>0</v>
      </c>
      <c r="H110" s="19">
        <f t="shared" si="56"/>
        <v>0</v>
      </c>
      <c r="I110" s="19">
        <f t="shared" si="56"/>
        <v>0</v>
      </c>
      <c r="J110" s="19">
        <f t="shared" si="56"/>
        <v>0</v>
      </c>
      <c r="K110" s="19">
        <f t="shared" si="56"/>
        <v>0</v>
      </c>
      <c r="L110" s="19">
        <f t="shared" si="56"/>
        <v>0</v>
      </c>
      <c r="M110" s="19">
        <f t="shared" si="56"/>
        <v>0</v>
      </c>
      <c r="N110" s="19">
        <f t="shared" si="56"/>
        <v>0</v>
      </c>
      <c r="O110" s="19">
        <f t="shared" si="56"/>
        <v>0</v>
      </c>
      <c r="P110" s="19">
        <f t="shared" si="56"/>
        <v>0</v>
      </c>
      <c r="Q110" s="19">
        <f t="shared" si="56"/>
        <v>0</v>
      </c>
      <c r="R110" s="19">
        <f t="shared" si="56"/>
        <v>0</v>
      </c>
      <c r="S110" s="19">
        <f t="shared" si="56"/>
        <v>0</v>
      </c>
      <c r="T110" s="19">
        <f t="shared" si="56"/>
        <v>0</v>
      </c>
      <c r="U110" s="19">
        <f t="shared" si="56"/>
        <v>0</v>
      </c>
      <c r="V110" s="19">
        <f t="shared" si="56"/>
        <v>0</v>
      </c>
    </row>
    <row r="111" spans="1:22">
      <c r="A111" s="16" t="s">
        <v>116</v>
      </c>
      <c r="B111" s="314">
        <v>0</v>
      </c>
      <c r="C111" s="314">
        <f t="shared" ref="C111:V111" si="57">1/20</f>
        <v>0.05</v>
      </c>
      <c r="D111" s="314">
        <f t="shared" si="57"/>
        <v>0.05</v>
      </c>
      <c r="E111" s="314">
        <f t="shared" si="57"/>
        <v>0.05</v>
      </c>
      <c r="F111" s="314">
        <f t="shared" si="57"/>
        <v>0.05</v>
      </c>
      <c r="G111" s="314">
        <f t="shared" si="57"/>
        <v>0.05</v>
      </c>
      <c r="H111" s="314">
        <f t="shared" si="57"/>
        <v>0.05</v>
      </c>
      <c r="I111" s="314">
        <f t="shared" si="57"/>
        <v>0.05</v>
      </c>
      <c r="J111" s="314">
        <f t="shared" si="57"/>
        <v>0.05</v>
      </c>
      <c r="K111" s="314">
        <f t="shared" si="57"/>
        <v>0.05</v>
      </c>
      <c r="L111" s="314">
        <f t="shared" si="57"/>
        <v>0.05</v>
      </c>
      <c r="M111" s="314">
        <f t="shared" si="57"/>
        <v>0.05</v>
      </c>
      <c r="N111" s="314">
        <f t="shared" si="57"/>
        <v>0.05</v>
      </c>
      <c r="O111" s="314">
        <f t="shared" si="57"/>
        <v>0.05</v>
      </c>
      <c r="P111" s="314">
        <f t="shared" si="57"/>
        <v>0.05</v>
      </c>
      <c r="Q111" s="314">
        <f t="shared" si="57"/>
        <v>0.05</v>
      </c>
      <c r="R111" s="314">
        <f t="shared" si="57"/>
        <v>0.05</v>
      </c>
      <c r="S111" s="314">
        <f t="shared" si="57"/>
        <v>0.05</v>
      </c>
      <c r="T111" s="314">
        <f t="shared" si="57"/>
        <v>0.05</v>
      </c>
      <c r="U111" s="314">
        <f t="shared" si="57"/>
        <v>0.05</v>
      </c>
      <c r="V111" s="314">
        <f t="shared" si="57"/>
        <v>0.05</v>
      </c>
    </row>
    <row r="112" spans="1:22">
      <c r="A112" s="16" t="s">
        <v>118</v>
      </c>
      <c r="B112" s="201">
        <f>B110*B111</f>
        <v>0</v>
      </c>
      <c r="C112" s="201">
        <f t="shared" ref="C112:V112" si="58">$B$110*C111</f>
        <v>0</v>
      </c>
      <c r="D112" s="201">
        <f t="shared" si="58"/>
        <v>0</v>
      </c>
      <c r="E112" s="201">
        <f t="shared" si="58"/>
        <v>0</v>
      </c>
      <c r="F112" s="201">
        <f t="shared" si="58"/>
        <v>0</v>
      </c>
      <c r="G112" s="201">
        <f t="shared" si="58"/>
        <v>0</v>
      </c>
      <c r="H112" s="201">
        <f t="shared" si="58"/>
        <v>0</v>
      </c>
      <c r="I112" s="201">
        <f t="shared" si="58"/>
        <v>0</v>
      </c>
      <c r="J112" s="201">
        <f t="shared" si="58"/>
        <v>0</v>
      </c>
      <c r="K112" s="201">
        <f t="shared" si="58"/>
        <v>0</v>
      </c>
      <c r="L112" s="201">
        <f t="shared" si="58"/>
        <v>0</v>
      </c>
      <c r="M112" s="201">
        <f t="shared" si="58"/>
        <v>0</v>
      </c>
      <c r="N112" s="201">
        <f t="shared" si="58"/>
        <v>0</v>
      </c>
      <c r="O112" s="201">
        <f t="shared" si="58"/>
        <v>0</v>
      </c>
      <c r="P112" s="201">
        <f t="shared" si="58"/>
        <v>0</v>
      </c>
      <c r="Q112" s="201">
        <f t="shared" si="58"/>
        <v>0</v>
      </c>
      <c r="R112" s="201">
        <f t="shared" si="58"/>
        <v>0</v>
      </c>
      <c r="S112" s="201">
        <f t="shared" si="58"/>
        <v>0</v>
      </c>
      <c r="T112" s="201">
        <f t="shared" si="58"/>
        <v>0</v>
      </c>
      <c r="U112" s="201">
        <f t="shared" si="58"/>
        <v>0</v>
      </c>
      <c r="V112" s="201">
        <f t="shared" si="58"/>
        <v>0</v>
      </c>
    </row>
    <row r="113" spans="1:22">
      <c r="A113" s="16" t="s">
        <v>131</v>
      </c>
      <c r="B113" s="19">
        <f t="shared" ref="B113:V113" si="59">B110-B112</f>
        <v>0</v>
      </c>
      <c r="C113" s="19">
        <f t="shared" si="59"/>
        <v>0</v>
      </c>
      <c r="D113" s="19">
        <f t="shared" si="59"/>
        <v>0</v>
      </c>
      <c r="E113" s="19">
        <f t="shared" si="59"/>
        <v>0</v>
      </c>
      <c r="F113" s="19">
        <f t="shared" si="59"/>
        <v>0</v>
      </c>
      <c r="G113" s="19">
        <f t="shared" si="59"/>
        <v>0</v>
      </c>
      <c r="H113" s="19">
        <f t="shared" si="59"/>
        <v>0</v>
      </c>
      <c r="I113" s="19">
        <f t="shared" si="59"/>
        <v>0</v>
      </c>
      <c r="J113" s="19">
        <f t="shared" si="59"/>
        <v>0</v>
      </c>
      <c r="K113" s="19">
        <f t="shared" si="59"/>
        <v>0</v>
      </c>
      <c r="L113" s="19">
        <f t="shared" si="59"/>
        <v>0</v>
      </c>
      <c r="M113" s="19">
        <f t="shared" si="59"/>
        <v>0</v>
      </c>
      <c r="N113" s="19">
        <f t="shared" si="59"/>
        <v>0</v>
      </c>
      <c r="O113" s="19">
        <f t="shared" si="59"/>
        <v>0</v>
      </c>
      <c r="P113" s="19">
        <f t="shared" si="59"/>
        <v>0</v>
      </c>
      <c r="Q113" s="19">
        <f t="shared" si="59"/>
        <v>0</v>
      </c>
      <c r="R113" s="19">
        <f t="shared" si="59"/>
        <v>0</v>
      </c>
      <c r="S113" s="19">
        <f t="shared" si="59"/>
        <v>0</v>
      </c>
      <c r="T113" s="19">
        <f t="shared" si="59"/>
        <v>0</v>
      </c>
      <c r="U113" s="19">
        <f t="shared" si="59"/>
        <v>0</v>
      </c>
      <c r="V113" s="19">
        <f t="shared" si="59"/>
        <v>0</v>
      </c>
    </row>
    <row r="117" spans="1:22">
      <c r="A117" s="44" t="s">
        <v>238</v>
      </c>
      <c r="B117" s="496">
        <f>SUM(B112,B104)</f>
        <v>0</v>
      </c>
      <c r="C117" s="496">
        <f t="shared" ref="C117:V117" si="60">SUM(C112,C104)</f>
        <v>64212.688155650249</v>
      </c>
      <c r="D117" s="496">
        <f t="shared" si="60"/>
        <v>122004.10749573546</v>
      </c>
      <c r="E117" s="496">
        <f t="shared" si="60"/>
        <v>109803.69674616192</v>
      </c>
      <c r="F117" s="496">
        <f t="shared" si="60"/>
        <v>98887.539759701365</v>
      </c>
      <c r="G117" s="496">
        <f t="shared" si="60"/>
        <v>88998.785783731233</v>
      </c>
      <c r="H117" s="496">
        <f t="shared" si="60"/>
        <v>80009.009441940201</v>
      </c>
      <c r="I117" s="496">
        <f t="shared" si="60"/>
        <v>75770.972023667273</v>
      </c>
      <c r="J117" s="496">
        <f t="shared" si="60"/>
        <v>75899.397399978581</v>
      </c>
      <c r="K117" s="496">
        <f t="shared" si="60"/>
        <v>75770.972023667273</v>
      </c>
      <c r="L117" s="496">
        <f t="shared" si="60"/>
        <v>75899.397399978581</v>
      </c>
      <c r="M117" s="496">
        <f t="shared" si="60"/>
        <v>75770.972023667273</v>
      </c>
      <c r="N117" s="496">
        <f t="shared" si="60"/>
        <v>75899.397399978581</v>
      </c>
      <c r="O117" s="496">
        <f t="shared" si="60"/>
        <v>75770.972023667273</v>
      </c>
      <c r="P117" s="496">
        <f t="shared" si="60"/>
        <v>75899.397399978581</v>
      </c>
      <c r="Q117" s="496">
        <f t="shared" si="60"/>
        <v>75770.972023667273</v>
      </c>
      <c r="R117" s="496">
        <f t="shared" si="60"/>
        <v>37885.486011833636</v>
      </c>
      <c r="S117" s="496">
        <f t="shared" si="60"/>
        <v>0</v>
      </c>
      <c r="T117" s="496">
        <f t="shared" si="60"/>
        <v>0</v>
      </c>
      <c r="U117" s="496">
        <f t="shared" si="60"/>
        <v>0</v>
      </c>
      <c r="V117" s="496">
        <f t="shared" si="60"/>
        <v>0</v>
      </c>
    </row>
    <row r="118" spans="1:22">
      <c r="A118" s="425" t="s">
        <v>239</v>
      </c>
      <c r="B118" s="497">
        <v>0</v>
      </c>
      <c r="C118" s="497">
        <f>SUM(Brownsville!B93,Caledonia!B90,'New Albany'!B90,Gleason!B93,Wheatland!B94,Wilton!B87)</f>
        <v>-64212.688155650249</v>
      </c>
      <c r="D118" s="497">
        <f>SUM(Brownsville!C93,Caledonia!C90,'New Albany'!C90,Gleason!C93,Wheatland!C94,Wilton!C87)</f>
        <v>-122004.10749573546</v>
      </c>
      <c r="E118" s="497">
        <f>SUM(Brownsville!D93,Caledonia!D90,'New Albany'!D90,Gleason!D93,Wheatland!D94,Wilton!D87)</f>
        <v>-109803.69674616192</v>
      </c>
      <c r="F118" s="497">
        <f>SUM(Brownsville!E93,Caledonia!E90,'New Albany'!E90,Gleason!E93,Wheatland!E94,Wilton!E87)</f>
        <v>-98887.539759701365</v>
      </c>
      <c r="G118" s="497">
        <f>SUM(Brownsville!F93,Caledonia!F90,'New Albany'!F90,Gleason!F93,Wheatland!F94,Wilton!F87)</f>
        <v>-88998.785783731233</v>
      </c>
      <c r="H118" s="497">
        <f>SUM(Brownsville!G93,Caledonia!G90,'New Albany'!G90,Gleason!G93,Wheatland!G94,Wilton!G87)</f>
        <v>-80009.009441940201</v>
      </c>
      <c r="I118" s="497">
        <f>SUM(Brownsville!H93,Caledonia!H90,'New Albany'!H90,Gleason!H93,Wheatland!H94,Wilton!H87)</f>
        <v>-75770.972023667273</v>
      </c>
      <c r="J118" s="497">
        <f>SUM(Brownsville!I93,Caledonia!I90,'New Albany'!I90,Gleason!I93,Wheatland!I94,Wilton!I87)</f>
        <v>-75899.397399978581</v>
      </c>
      <c r="K118" s="497">
        <f>SUM(Brownsville!J93,Caledonia!J90,'New Albany'!J90,Gleason!J93,Wheatland!J94,Wilton!J87)</f>
        <v>-75770.972023667273</v>
      </c>
      <c r="L118" s="497">
        <f>SUM(Brownsville!K93,Caledonia!K90,'New Albany'!K90,Gleason!K93,Wheatland!K94,Wilton!K87)</f>
        <v>-75899.397399978581</v>
      </c>
      <c r="M118" s="497">
        <f>SUM(Brownsville!L93,Caledonia!L90,'New Albany'!L90,Gleason!L93,Wheatland!L94,Wilton!L87)</f>
        <v>-75770.972023667273</v>
      </c>
      <c r="N118" s="497">
        <f>SUM(Brownsville!M93,Caledonia!M90,'New Albany'!M90,Gleason!M93,Wheatland!M94,Wilton!M87)</f>
        <v>-75899.397399978581</v>
      </c>
      <c r="O118" s="497">
        <f>SUM(Brownsville!N93,Caledonia!N90,'New Albany'!N90,Gleason!N93,Wheatland!N94,Wilton!N87)</f>
        <v>-75770.972023667273</v>
      </c>
      <c r="P118" s="497">
        <f>SUM(Brownsville!O93,Caledonia!O90,'New Albany'!O90,Gleason!O93,Wheatland!O94,Wilton!O87)</f>
        <v>-75899.397399978581</v>
      </c>
      <c r="Q118" s="497">
        <f>SUM(Brownsville!P93,Caledonia!P90,'New Albany'!P90,Gleason!P93,Wheatland!P94,Wilton!P87)</f>
        <v>-75770.972023667273</v>
      </c>
      <c r="R118" s="497">
        <f>SUM(Brownsville!Q93,Caledonia!Q90,'New Albany'!Q90,Gleason!Q93,Wheatland!Q94,Wilton!Q87)</f>
        <v>-37885.486011833636</v>
      </c>
      <c r="S118" s="497">
        <f>SUM(Brownsville!R93,Caledonia!R90,'New Albany'!R90,Gleason!R93,Wheatland!R94,Wilton!R87)</f>
        <v>0</v>
      </c>
      <c r="T118" s="497">
        <f>SUM(Brownsville!S93,Caledonia!S90,'New Albany'!S90,Gleason!S93,Wheatland!S94,Wilton!S87)</f>
        <v>0</v>
      </c>
      <c r="U118" s="497">
        <f>SUM(Brownsville!T93,Caledonia!T90,'New Albany'!T90,Gleason!T93,Wheatland!T94,Wilton!T87)</f>
        <v>0</v>
      </c>
      <c r="V118" s="497">
        <f>SUM(Brownsville!U93,Caledonia!U90,'New Albany'!U90,Gleason!U93,Wheatland!U94,Wilton!U87)</f>
        <v>0</v>
      </c>
    </row>
    <row r="119" spans="1:22">
      <c r="A119" s="44" t="s">
        <v>240</v>
      </c>
      <c r="B119" s="496">
        <f>B117+B118</f>
        <v>0</v>
      </c>
      <c r="C119" s="496">
        <f t="shared" ref="C119:V119" si="61">C117+C118</f>
        <v>0</v>
      </c>
      <c r="D119" s="496">
        <f t="shared" si="61"/>
        <v>0</v>
      </c>
      <c r="E119" s="496">
        <f t="shared" si="61"/>
        <v>0</v>
      </c>
      <c r="F119" s="496">
        <f t="shared" si="61"/>
        <v>0</v>
      </c>
      <c r="G119" s="496">
        <f t="shared" si="61"/>
        <v>0</v>
      </c>
      <c r="H119" s="496">
        <f t="shared" si="61"/>
        <v>0</v>
      </c>
      <c r="I119" s="496">
        <f t="shared" si="61"/>
        <v>0</v>
      </c>
      <c r="J119" s="496">
        <f t="shared" si="61"/>
        <v>0</v>
      </c>
      <c r="K119" s="496">
        <f t="shared" si="61"/>
        <v>0</v>
      </c>
      <c r="L119" s="496">
        <f t="shared" si="61"/>
        <v>0</v>
      </c>
      <c r="M119" s="496">
        <f t="shared" si="61"/>
        <v>0</v>
      </c>
      <c r="N119" s="496">
        <f t="shared" si="61"/>
        <v>0</v>
      </c>
      <c r="O119" s="496">
        <f t="shared" si="61"/>
        <v>0</v>
      </c>
      <c r="P119" s="496">
        <f t="shared" si="61"/>
        <v>0</v>
      </c>
      <c r="Q119" s="496">
        <f t="shared" si="61"/>
        <v>0</v>
      </c>
      <c r="R119" s="496">
        <f t="shared" si="61"/>
        <v>0</v>
      </c>
      <c r="S119" s="496">
        <f t="shared" si="61"/>
        <v>0</v>
      </c>
      <c r="T119" s="496">
        <f t="shared" si="61"/>
        <v>0</v>
      </c>
      <c r="U119" s="496">
        <f t="shared" si="61"/>
        <v>0</v>
      </c>
      <c r="V119" s="496">
        <f t="shared" si="61"/>
        <v>0</v>
      </c>
    </row>
  </sheetData>
  <pageMargins left="0.18" right="0.17" top="0.37" bottom="0.4" header="0.17" footer="0.21"/>
  <pageSetup scale="38" orientation="landscape" r:id="rId1"/>
  <headerFooter alignWithMargins="0">
    <oddHeader>&amp;L&amp;12Enron's Generation</oddHeader>
    <oddFooter>&amp;L&amp;T, &amp;D&amp;C&amp;F&amp;RPage &amp;P</oddFooter>
  </headerFooter>
  <rowBreaks count="1" manualBreakCount="1">
    <brk id="61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2:K56"/>
  <sheetViews>
    <sheetView zoomScale="75" zoomScaleNormal="75" workbookViewId="0"/>
  </sheetViews>
  <sheetFormatPr defaultRowHeight="12.75"/>
  <cols>
    <col min="1" max="1" width="51.140625" bestFit="1" customWidth="1"/>
    <col min="2" max="2" width="12.7109375" customWidth="1"/>
    <col min="3" max="3" width="12.42578125" customWidth="1"/>
    <col min="4" max="6" width="12.7109375" customWidth="1"/>
    <col min="9" max="9" width="20.28515625" bestFit="1" customWidth="1"/>
    <col min="10" max="10" width="12" bestFit="1" customWidth="1"/>
    <col min="11" max="11" width="20.28515625" bestFit="1" customWidth="1"/>
  </cols>
  <sheetData>
    <row r="2" spans="1:11" ht="18.75">
      <c r="A2" s="52" t="s">
        <v>306</v>
      </c>
      <c r="B2" s="55"/>
      <c r="C2" s="55"/>
      <c r="D2" s="23"/>
      <c r="E2" s="445"/>
      <c r="F2" s="23"/>
    </row>
    <row r="3" spans="1:11">
      <c r="A3" s="16"/>
      <c r="B3" s="16"/>
      <c r="C3" s="16"/>
      <c r="D3" s="23"/>
      <c r="E3" s="23"/>
      <c r="F3" s="23"/>
    </row>
    <row r="4" spans="1:11" ht="13.5" thickBot="1">
      <c r="A4" s="197" t="s">
        <v>65</v>
      </c>
      <c r="B4" s="197"/>
      <c r="C4" s="523">
        <v>36892</v>
      </c>
      <c r="D4" s="270">
        <v>37256</v>
      </c>
      <c r="E4" s="270">
        <v>37621</v>
      </c>
      <c r="F4" s="270">
        <v>37986</v>
      </c>
    </row>
    <row r="5" spans="1:11">
      <c r="A5" s="16"/>
      <c r="B5" s="16"/>
      <c r="C5" s="16"/>
      <c r="D5" s="320"/>
      <c r="E5" s="320"/>
      <c r="F5" s="320"/>
    </row>
    <row r="6" spans="1:11">
      <c r="A6" s="14"/>
      <c r="B6" s="14"/>
      <c r="C6" s="14"/>
      <c r="D6" s="23"/>
      <c r="E6" s="23"/>
      <c r="F6" s="23"/>
      <c r="K6" s="527" t="s">
        <v>277</v>
      </c>
    </row>
    <row r="7" spans="1:11">
      <c r="A7" s="39" t="s">
        <v>9</v>
      </c>
      <c r="B7" s="39"/>
      <c r="C7" s="39"/>
      <c r="D7" s="16"/>
      <c r="E7" s="16"/>
      <c r="F7" s="16"/>
      <c r="I7" t="s">
        <v>274</v>
      </c>
      <c r="J7" s="528">
        <f>0.65*'Summary Output'!E29</f>
        <v>7.1153804347826088E-2</v>
      </c>
      <c r="K7" s="528">
        <f>'Summary Output'!C9/SUM('Summary Output'!C8:C9)</f>
        <v>0.53727699292658015</v>
      </c>
    </row>
    <row r="8" spans="1:11">
      <c r="A8" s="21" t="s">
        <v>298</v>
      </c>
      <c r="B8" s="21"/>
      <c r="C8" s="21"/>
      <c r="D8" s="323">
        <f>'Power Price Assumption'!D28-'Power Price Assumption'!D11</f>
        <v>1.5522235785780234</v>
      </c>
      <c r="E8" s="323">
        <f>'Power Price Assumption'!E28-'Power Price Assumption'!E11</f>
        <v>1.827495938313942</v>
      </c>
      <c r="F8" s="323">
        <f>'Power Price Assumption'!F28-'Power Price Assumption'!F11</f>
        <v>2.1164284954295463</v>
      </c>
      <c r="I8" t="s">
        <v>275</v>
      </c>
      <c r="J8" s="528">
        <f>'Summary Output'!B36</f>
        <v>0.14000000000000001</v>
      </c>
      <c r="K8" s="528">
        <f>SUM('Summary Output'!C8)/SUM('Summary Output'!C8:C9)</f>
        <v>0.46272300707341985</v>
      </c>
    </row>
    <row r="9" spans="1:11">
      <c r="A9" s="16" t="s">
        <v>273</v>
      </c>
      <c r="B9" s="16"/>
      <c r="C9" s="16"/>
      <c r="D9" s="19">
        <f>Assumptions!$C$9</f>
        <v>458</v>
      </c>
      <c r="E9" s="19">
        <f>Assumptions!$C$9</f>
        <v>458</v>
      </c>
      <c r="F9" s="19">
        <f>Assumptions!$C$9</f>
        <v>458</v>
      </c>
      <c r="I9" t="s">
        <v>276</v>
      </c>
      <c r="J9" s="528"/>
      <c r="K9" s="528">
        <f>K7*J7+K8*J8</f>
        <v>0.10301052302556502</v>
      </c>
    </row>
    <row r="10" spans="1:11">
      <c r="A10" s="16" t="s">
        <v>290</v>
      </c>
      <c r="B10" s="16"/>
      <c r="C10" s="16">
        <v>0</v>
      </c>
      <c r="D10" s="19">
        <f>D8*D9*12</f>
        <v>8531.0207878648162</v>
      </c>
      <c r="E10" s="19">
        <f>E8*E9*12</f>
        <v>10043.917676973426</v>
      </c>
      <c r="F10" s="19">
        <f>F8*F9*12</f>
        <v>11631.891010880787</v>
      </c>
      <c r="J10" s="528"/>
      <c r="K10" s="528"/>
    </row>
    <row r="11" spans="1:11">
      <c r="A11" t="s">
        <v>291</v>
      </c>
      <c r="B11" s="529">
        <f>$K$9</f>
        <v>0.10301052302556502</v>
      </c>
      <c r="C11" s="530">
        <f>XNPV(B11,C10:F10,C4:F4)</f>
        <v>24664.288096342134</v>
      </c>
      <c r="J11" s="528"/>
      <c r="K11" s="528"/>
    </row>
    <row r="13" spans="1:11">
      <c r="A13" s="39" t="s">
        <v>10</v>
      </c>
      <c r="B13" s="39"/>
      <c r="C13" s="39"/>
      <c r="D13" s="16"/>
      <c r="E13" s="16"/>
      <c r="F13" s="16"/>
    </row>
    <row r="14" spans="1:11">
      <c r="A14" s="21" t="s">
        <v>298</v>
      </c>
      <c r="B14" s="21"/>
      <c r="C14" s="21"/>
      <c r="D14" s="323">
        <f>D8</f>
        <v>1.5522235785780234</v>
      </c>
      <c r="E14" s="323">
        <f>E8</f>
        <v>1.827495938313942</v>
      </c>
      <c r="F14" s="323">
        <f>F8</f>
        <v>2.1164284954295463</v>
      </c>
    </row>
    <row r="15" spans="1:11">
      <c r="A15" s="16" t="s">
        <v>273</v>
      </c>
      <c r="B15" s="16"/>
      <c r="C15" s="16"/>
      <c r="D15" s="19">
        <f>Assumptions!$D$9</f>
        <v>466</v>
      </c>
      <c r="E15" s="19">
        <f>Assumptions!$D$9</f>
        <v>466</v>
      </c>
      <c r="F15" s="19">
        <f>Assumptions!$D$9</f>
        <v>466</v>
      </c>
    </row>
    <row r="16" spans="1:11">
      <c r="A16" s="16" t="s">
        <v>290</v>
      </c>
      <c r="B16" s="16"/>
      <c r="C16" s="16">
        <v>0</v>
      </c>
      <c r="D16" s="19">
        <f>D14*D15*12</f>
        <v>8680.0342514083059</v>
      </c>
      <c r="E16" s="19">
        <f>E14*E15*12</f>
        <v>10219.357287051564</v>
      </c>
      <c r="F16" s="19">
        <f>F14*F15*12</f>
        <v>11835.068146442023</v>
      </c>
    </row>
    <row r="17" spans="1:6">
      <c r="A17" t="s">
        <v>291</v>
      </c>
      <c r="B17" s="529">
        <f>$K$9</f>
        <v>0.10301052302556502</v>
      </c>
      <c r="C17" s="530">
        <f>XNPV(B17,C16:F16,C4:F4)</f>
        <v>25095.105355666888</v>
      </c>
    </row>
    <row r="19" spans="1:6">
      <c r="A19" s="39" t="s">
        <v>11</v>
      </c>
      <c r="B19" s="39"/>
      <c r="C19" s="39"/>
      <c r="D19" s="16"/>
      <c r="E19" s="16"/>
      <c r="F19" s="16"/>
    </row>
    <row r="20" spans="1:6">
      <c r="A20" s="21" t="s">
        <v>298</v>
      </c>
      <c r="B20" s="21"/>
      <c r="C20" s="21"/>
      <c r="D20" s="323">
        <f>D8</f>
        <v>1.5522235785780234</v>
      </c>
      <c r="E20" s="323">
        <f>E8</f>
        <v>1.827495938313942</v>
      </c>
      <c r="F20" s="323">
        <f>F8</f>
        <v>2.1164284954295463</v>
      </c>
    </row>
    <row r="21" spans="1:6">
      <c r="A21" s="16" t="s">
        <v>273</v>
      </c>
      <c r="B21" s="16"/>
      <c r="C21" s="16"/>
      <c r="D21" s="19">
        <f>Assumptions!$E$9</f>
        <v>371</v>
      </c>
      <c r="E21" s="19">
        <f>Assumptions!$E$9</f>
        <v>371</v>
      </c>
      <c r="F21" s="19">
        <f>Assumptions!$E$9</f>
        <v>371</v>
      </c>
    </row>
    <row r="22" spans="1:6">
      <c r="A22" s="16" t="s">
        <v>290</v>
      </c>
      <c r="B22" s="16"/>
      <c r="C22" s="16">
        <v>0</v>
      </c>
      <c r="D22" s="19">
        <f>D20*D21*12</f>
        <v>6910.4993718293608</v>
      </c>
      <c r="E22" s="19">
        <f>E20*E21*12</f>
        <v>8136.0119173736703</v>
      </c>
      <c r="F22" s="19">
        <f>F20*F21*12</f>
        <v>9422.3396616523405</v>
      </c>
    </row>
    <row r="23" spans="1:6">
      <c r="A23" t="s">
        <v>291</v>
      </c>
      <c r="B23" s="529">
        <f>$K$9</f>
        <v>0.10301052302556502</v>
      </c>
      <c r="C23" s="530">
        <f>XNPV(B23,C22:F22,$C$4:$F$4)</f>
        <v>19979.150401185441</v>
      </c>
    </row>
    <row r="25" spans="1:6">
      <c r="A25" s="39" t="s">
        <v>113</v>
      </c>
      <c r="B25" s="39"/>
      <c r="C25" s="39"/>
      <c r="D25" s="16"/>
      <c r="E25" s="16"/>
      <c r="F25" s="16"/>
    </row>
    <row r="26" spans="1:6">
      <c r="A26" s="21" t="s">
        <v>298</v>
      </c>
      <c r="B26" s="21"/>
      <c r="C26" s="21"/>
      <c r="D26" s="323">
        <f>D8</f>
        <v>1.5522235785780234</v>
      </c>
      <c r="E26" s="323">
        <f>E8</f>
        <v>1.827495938313942</v>
      </c>
      <c r="F26" s="323">
        <f>F8</f>
        <v>2.1164284954295463</v>
      </c>
    </row>
    <row r="27" spans="1:6">
      <c r="A27" s="16" t="s">
        <v>273</v>
      </c>
      <c r="B27" s="16"/>
      <c r="C27" s="16"/>
      <c r="D27" s="19">
        <f>Assumptions!$G$9</f>
        <v>510</v>
      </c>
      <c r="E27" s="19">
        <f>Assumptions!$G$9</f>
        <v>510</v>
      </c>
      <c r="F27" s="19">
        <f>Assumptions!$G$9</f>
        <v>510</v>
      </c>
    </row>
    <row r="28" spans="1:6">
      <c r="A28" s="16" t="s">
        <v>290</v>
      </c>
      <c r="B28" s="16"/>
      <c r="C28" s="16">
        <v>0</v>
      </c>
      <c r="D28" s="19">
        <f>D26*D27*12</f>
        <v>9499.6083008975038</v>
      </c>
      <c r="E28" s="19">
        <f>E26*E27*12</f>
        <v>11184.275142481325</v>
      </c>
      <c r="F28" s="19">
        <f>F26*F27*12</f>
        <v>12952.542392028823</v>
      </c>
    </row>
    <row r="29" spans="1:6">
      <c r="A29" t="s">
        <v>291</v>
      </c>
      <c r="B29" s="529">
        <f>$K$9</f>
        <v>0.10301052302556502</v>
      </c>
      <c r="C29" s="530">
        <f>XNPV(B29,C28:F28,$C$4:$F$4)</f>
        <v>27464.600281953033</v>
      </c>
    </row>
    <row r="31" spans="1:6">
      <c r="A31" s="39" t="s">
        <v>12</v>
      </c>
      <c r="B31" s="39"/>
      <c r="C31" s="39"/>
      <c r="D31" s="16"/>
      <c r="E31" s="16"/>
      <c r="F31" s="16"/>
    </row>
    <row r="32" spans="1:6">
      <c r="A32" s="21" t="s">
        <v>298</v>
      </c>
      <c r="B32" s="21"/>
      <c r="C32" s="21"/>
      <c r="D32" s="323">
        <f>'Power Price Assumption'!D45-'Power Price Assumption'!D11</f>
        <v>2.0421603230496457</v>
      </c>
      <c r="E32" s="323">
        <f>'Power Price Assumption'!E45-'Power Price Assumption'!E11</f>
        <v>2.2974612619095742</v>
      </c>
      <c r="F32" s="323">
        <f>'Power Price Assumption'!F45-'Power Price Assumption'!F11</f>
        <v>2.5634644930048935</v>
      </c>
    </row>
    <row r="33" spans="1:6">
      <c r="A33" s="16" t="s">
        <v>273</v>
      </c>
      <c r="B33" s="16"/>
      <c r="C33" s="16"/>
      <c r="D33" s="19">
        <f>Assumptions!$H$9</f>
        <v>470</v>
      </c>
      <c r="E33" s="19">
        <f>Assumptions!$H$9</f>
        <v>470</v>
      </c>
      <c r="F33" s="19">
        <f>Assumptions!$H$9</f>
        <v>470</v>
      </c>
    </row>
    <row r="34" spans="1:6">
      <c r="A34" s="16" t="s">
        <v>290</v>
      </c>
      <c r="B34" s="16"/>
      <c r="C34" s="16">
        <v>0</v>
      </c>
      <c r="D34" s="19">
        <f>D32*D33*12</f>
        <v>11517.784222000002</v>
      </c>
      <c r="E34" s="19">
        <f>E32*E33*12</f>
        <v>12957.681517169998</v>
      </c>
      <c r="F34" s="19">
        <f>F32*F33*12</f>
        <v>14457.939740547597</v>
      </c>
    </row>
    <row r="35" spans="1:6">
      <c r="A35" t="s">
        <v>291</v>
      </c>
      <c r="B35" s="529">
        <f>$K$9</f>
        <v>0.10301052302556502</v>
      </c>
      <c r="C35" s="530">
        <f>XNPV(B35,C34:F34,$C$4:$F$4)</f>
        <v>31874.909724212303</v>
      </c>
    </row>
    <row r="37" spans="1:6">
      <c r="A37" s="39" t="s">
        <v>13</v>
      </c>
      <c r="B37" s="39"/>
      <c r="C37" s="39"/>
      <c r="D37" s="16"/>
      <c r="E37" s="16"/>
      <c r="F37" s="16"/>
    </row>
    <row r="38" spans="1:6">
      <c r="A38" s="21" t="s">
        <v>298</v>
      </c>
      <c r="B38" s="21"/>
      <c r="C38" s="21"/>
      <c r="D38" s="323">
        <f>'Power Price Assumption'!D62-'Power Price Assumption'!D11</f>
        <v>1.8379119699835522</v>
      </c>
      <c r="E38" s="323">
        <f>'Power Price Assumption'!E62-'Power Price Assumption'!E11</f>
        <v>2.1116239082483546</v>
      </c>
      <c r="F38" s="323">
        <f>'Power Price Assumption'!F62-'Power Price Assumption'!F11</f>
        <v>2.3982522510844833</v>
      </c>
    </row>
    <row r="39" spans="1:6">
      <c r="A39" s="16" t="s">
        <v>273</v>
      </c>
      <c r="B39" s="16"/>
      <c r="C39" s="16"/>
      <c r="D39" s="19">
        <f>Assumptions!$I$9</f>
        <v>608</v>
      </c>
      <c r="E39" s="19">
        <f>Assumptions!$I$9</f>
        <v>608</v>
      </c>
      <c r="F39" s="19">
        <f>Assumptions!$I$9</f>
        <v>608</v>
      </c>
    </row>
    <row r="40" spans="1:6">
      <c r="A40" s="16" t="s">
        <v>290</v>
      </c>
      <c r="B40" s="16"/>
      <c r="C40" s="16">
        <v>0</v>
      </c>
      <c r="D40" s="19">
        <f>D38*D39*12</f>
        <v>13409.405732999996</v>
      </c>
      <c r="E40" s="19">
        <f>E38*E39*12</f>
        <v>15406.408034579996</v>
      </c>
      <c r="F40" s="19">
        <f>F38*F39*12</f>
        <v>17497.648423912389</v>
      </c>
    </row>
    <row r="41" spans="1:6">
      <c r="A41" t="s">
        <v>291</v>
      </c>
      <c r="B41" s="529">
        <f>$K$9</f>
        <v>0.10301052302556502</v>
      </c>
      <c r="C41" s="530">
        <f>XNPV(B41,C40:F40,$C$4:$F$4)</f>
        <v>37869.320241722417</v>
      </c>
    </row>
    <row r="44" spans="1:6">
      <c r="A44" s="39" t="s">
        <v>281</v>
      </c>
      <c r="B44" s="39"/>
      <c r="C44" s="39"/>
      <c r="D44" s="16"/>
      <c r="E44" s="16"/>
      <c r="F44" s="16"/>
    </row>
    <row r="45" spans="1:6">
      <c r="A45" s="16" t="s">
        <v>290</v>
      </c>
      <c r="B45" s="16"/>
      <c r="C45" s="123">
        <f>SUM(C10,C16,C22)</f>
        <v>0</v>
      </c>
      <c r="D45" s="123">
        <f>SUM(D10,D16,D22)</f>
        <v>24121.554411102486</v>
      </c>
      <c r="E45" s="123">
        <f>SUM(E10,E16,E22)</f>
        <v>28399.286881398661</v>
      </c>
      <c r="F45" s="123">
        <f>SUM(F10,F16,F22)</f>
        <v>32889.298818975149</v>
      </c>
    </row>
    <row r="46" spans="1:6">
      <c r="A46" t="s">
        <v>291</v>
      </c>
      <c r="B46" s="529">
        <f>$K$9</f>
        <v>0.10301052302556502</v>
      </c>
      <c r="C46" s="530">
        <f>XNPV(B46,C45:F45,$C$4:$F$4)</f>
        <v>69738.543853194467</v>
      </c>
    </row>
    <row r="48" spans="1:6">
      <c r="A48" s="39" t="s">
        <v>282</v>
      </c>
      <c r="B48" s="39"/>
      <c r="C48" s="39"/>
      <c r="D48" s="16"/>
      <c r="E48" s="16"/>
      <c r="F48" s="16"/>
    </row>
    <row r="49" spans="1:6">
      <c r="A49" s="16" t="s">
        <v>290</v>
      </c>
      <c r="B49" s="16"/>
      <c r="C49" s="16">
        <f>SUM(C28,C34,C40)</f>
        <v>0</v>
      </c>
      <c r="D49" s="19">
        <f>SUM(D28,D34,D40)</f>
        <v>34426.798255897505</v>
      </c>
      <c r="E49" s="19">
        <f>SUM(E28,E34,E40)</f>
        <v>39548.364694231321</v>
      </c>
      <c r="F49" s="19">
        <f>SUM(F28,F34,F40)</f>
        <v>44908.13055648881</v>
      </c>
    </row>
    <row r="50" spans="1:6">
      <c r="A50" t="s">
        <v>291</v>
      </c>
      <c r="B50" s="529">
        <f>$K$9</f>
        <v>0.10301052302556502</v>
      </c>
      <c r="C50" s="530">
        <f>XNPV(B50,C49:F49,$C$4:$F$4)</f>
        <v>97208.830247887759</v>
      </c>
    </row>
    <row r="52" spans="1:6">
      <c r="A52" s="39" t="s">
        <v>120</v>
      </c>
      <c r="B52" s="39"/>
      <c r="C52" s="39"/>
      <c r="D52" s="16"/>
      <c r="E52" s="16"/>
      <c r="F52" s="16"/>
    </row>
    <row r="53" spans="1:6">
      <c r="A53" s="16" t="s">
        <v>290</v>
      </c>
      <c r="B53" s="16"/>
      <c r="C53" s="16">
        <f>SUM(C40,C34,C28,C22,C16,C10)</f>
        <v>0</v>
      </c>
      <c r="D53" s="19">
        <f>SUM(D40,D34,D28,D22,D16,D10)</f>
        <v>58548.352666999992</v>
      </c>
      <c r="E53" s="19">
        <f>SUM(E40,E34,E28,E22,E16,E10)</f>
        <v>67947.651575629978</v>
      </c>
      <c r="F53" s="19">
        <f>SUM(F40,F34,F28,F22,F16,F10)</f>
        <v>77797.429375463966</v>
      </c>
    </row>
    <row r="54" spans="1:6">
      <c r="A54" t="s">
        <v>291</v>
      </c>
      <c r="B54" s="529">
        <f>$K$9</f>
        <v>0.10301052302556502</v>
      </c>
      <c r="C54" s="530">
        <f>XNPV(B54,C53:F53,$C$4:$F$4)</f>
        <v>166947.37410108224</v>
      </c>
    </row>
    <row r="56" spans="1:6">
      <c r="C56" s="532"/>
    </row>
  </sheetData>
  <pageMargins left="0.18" right="0.17" top="0.37" bottom="0.4" header="0.17" footer="0.21"/>
  <pageSetup scale="83" orientation="landscape" verticalDpi="0" r:id="rId1"/>
  <headerFooter alignWithMargins="0">
    <oddHeader>&amp;L&amp;12Enron's Generation</oddHeader>
    <oddFooter>&amp;L&amp;T, &amp;D&amp;C&amp;F&amp;RPage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Y32"/>
  <sheetViews>
    <sheetView zoomScale="75" zoomScaleNormal="75" workbookViewId="0"/>
  </sheetViews>
  <sheetFormatPr defaultRowHeight="12.75"/>
  <cols>
    <col min="1" max="1" width="43.42578125" style="16" customWidth="1"/>
    <col min="2" max="3" width="10.42578125" style="16" customWidth="1"/>
    <col min="4" max="7" width="10.140625" style="16" customWidth="1"/>
    <col min="8" max="21" width="10" style="16" customWidth="1"/>
    <col min="22" max="22" width="10" style="6" customWidth="1"/>
    <col min="23" max="23" width="12.7109375" style="6" bestFit="1" customWidth="1"/>
    <col min="24" max="24" width="12.28515625" style="6" bestFit="1" customWidth="1"/>
    <col min="25" max="25" width="9.7109375" style="6" bestFit="1" customWidth="1"/>
    <col min="26" max="16384" width="9.140625" style="6"/>
  </cols>
  <sheetData>
    <row r="2" spans="1:25" ht="18.75">
      <c r="A2" s="53" t="s">
        <v>202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26"/>
      <c r="W2" s="126"/>
    </row>
    <row r="3" spans="1:25">
      <c r="A3" s="57"/>
      <c r="B3" s="18"/>
      <c r="C3" s="18"/>
      <c r="D3" s="18"/>
      <c r="E3" s="18"/>
      <c r="F3" s="18"/>
      <c r="G3" s="138"/>
      <c r="H3" s="18"/>
      <c r="I3" s="18"/>
      <c r="J3" s="18"/>
      <c r="K3" s="18"/>
      <c r="L3" s="18"/>
      <c r="M3" s="138"/>
      <c r="N3" s="18"/>
      <c r="O3" s="18"/>
      <c r="P3" s="18"/>
      <c r="Q3" s="18"/>
      <c r="R3" s="18"/>
      <c r="S3" s="138"/>
      <c r="T3" s="18"/>
      <c r="U3" s="18"/>
      <c r="V3" s="155"/>
      <c r="W3" s="155"/>
    </row>
    <row r="4" spans="1:25">
      <c r="A4" s="230"/>
      <c r="B4" s="248">
        <v>3</v>
      </c>
      <c r="C4" s="248">
        <v>4</v>
      </c>
      <c r="D4" s="248">
        <v>5</v>
      </c>
      <c r="E4" s="249">
        <v>6</v>
      </c>
      <c r="F4" s="248">
        <v>7</v>
      </c>
      <c r="G4" s="248">
        <v>8</v>
      </c>
      <c r="H4" s="248">
        <v>9</v>
      </c>
      <c r="I4" s="248">
        <v>10</v>
      </c>
      <c r="J4" s="248">
        <v>11</v>
      </c>
      <c r="K4" s="249">
        <v>12</v>
      </c>
      <c r="L4" s="248">
        <v>13</v>
      </c>
      <c r="M4" s="248">
        <v>14</v>
      </c>
      <c r="N4" s="248">
        <v>15</v>
      </c>
      <c r="O4" s="248">
        <v>16</v>
      </c>
      <c r="P4" s="248">
        <v>17</v>
      </c>
      <c r="Q4" s="249">
        <v>18</v>
      </c>
      <c r="R4" s="248">
        <v>19</v>
      </c>
      <c r="S4" s="248">
        <v>20</v>
      </c>
      <c r="T4" s="248">
        <v>21</v>
      </c>
      <c r="U4" s="248">
        <v>22</v>
      </c>
      <c r="V4" s="156"/>
      <c r="W4" s="155"/>
    </row>
    <row r="5" spans="1:25" ht="13.5" thickBot="1">
      <c r="A5" s="197" t="s">
        <v>65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</row>
    <row r="6" spans="1:25">
      <c r="A6" s="230"/>
      <c r="B6" s="25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5">
      <c r="A7" s="231" t="s">
        <v>93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39"/>
      <c r="W7" s="139"/>
    </row>
    <row r="8" spans="1:25" ht="13.5" thickBot="1">
      <c r="A8" s="32" t="s">
        <v>144</v>
      </c>
      <c r="B8" s="347">
        <f>SUM(Caledonia!B102,'New Albany'!B102,Wheatland!B108,Wilton!B99,Brownsville!B105,Gleason!B105)</f>
        <v>397.13451113759282</v>
      </c>
      <c r="C8" s="347">
        <f>SUM(Caledonia!C102,'New Albany'!C102,Wheatland!C108,Wilton!C99,Brownsville!C105,Gleason!C105)</f>
        <v>397.36523817150567</v>
      </c>
      <c r="D8" s="347">
        <f>SUM(Caledonia!D102,'New Albany'!D102,Wheatland!D108,Wilton!D99,Brownsville!D105,Gleason!D105)</f>
        <v>397.60628760793594</v>
      </c>
      <c r="E8" s="347">
        <f>SUM(Caledonia!E102,'New Albany'!E102,Wheatland!E108,Wilton!E99,Brownsville!E105,Gleason!E105)</f>
        <v>585.43248001006452</v>
      </c>
      <c r="F8" s="347">
        <f>SUM(Caledonia!F102,'New Albany'!F102,Wheatland!F108,Wilton!F99,Brownsville!F105,Gleason!F105)</f>
        <v>1105.2195148493238</v>
      </c>
      <c r="G8" s="347">
        <f>SUM(Caledonia!G102,'New Albany'!G102,Wheatland!G108,Wilton!G99,Brownsville!G105,Gleason!G105)</f>
        <v>3008.3577733396241</v>
      </c>
      <c r="H8" s="347">
        <f>SUM(Caledonia!H102,'New Albany'!H102,Wheatland!H108,Wilton!H99,Brownsville!H105,Gleason!H105)</f>
        <v>4265.1077803574644</v>
      </c>
      <c r="I8" s="347">
        <f>SUM(Caledonia!I102,'New Albany'!I102,Wheatland!I108,Wilton!I99,Brownsville!I105,Gleason!I105)</f>
        <v>5920.8571822886906</v>
      </c>
      <c r="J8" s="347">
        <f>SUM(Caledonia!J102,'New Albany'!J102,Wheatland!J108,Wilton!J99,Brownsville!J105,Gleason!J105)</f>
        <v>6474.4734544552348</v>
      </c>
      <c r="K8" s="347">
        <f>SUM(Caledonia!K102,'New Albany'!K102,Wheatland!K108,Wilton!K99,Brownsville!K105,Gleason!K105)</f>
        <v>6894.2595970630919</v>
      </c>
      <c r="L8" s="347">
        <f>SUM(Caledonia!L102,'New Albany'!L102,Wheatland!L108,Wilton!L99,Brownsville!L105,Gleason!L105)</f>
        <v>7443.3949728665802</v>
      </c>
      <c r="M8" s="347">
        <f>SUM(Caledonia!M102,'New Albany'!M102,Wheatland!M108,Wilton!M99,Brownsville!M105,Gleason!M105)</f>
        <v>8041.1268893756496</v>
      </c>
      <c r="N8" s="347">
        <f>SUM(Caledonia!N102,'New Albany'!N102,Wheatland!N108,Wilton!N99,Brownsville!N105,Gleason!N105)</f>
        <v>8645.144533643559</v>
      </c>
      <c r="O8" s="347">
        <f>SUM(Caledonia!O102,'New Albany'!O102,Wheatland!O108,Wilton!O99,Brownsville!O105,Gleason!O105)</f>
        <v>9239.5224535770412</v>
      </c>
      <c r="P8" s="347">
        <f>SUM(Caledonia!P102,'New Albany'!P102,Wheatland!P108,Wilton!P99,Brownsville!P105,Gleason!P105)</f>
        <v>9827.7318819384855</v>
      </c>
      <c r="Q8" s="347">
        <f>SUM(Caledonia!Q102,'New Albany'!Q102,Wheatland!Q108,Wilton!Q99,Brownsville!Q105,Gleason!Q105)</f>
        <v>12590.095363325327</v>
      </c>
      <c r="R8" s="347">
        <f>SUM(Caledonia!R102,'New Albany'!R102,Wheatland!R108,Wilton!R99,Brownsville!R105,Gleason!R105)</f>
        <v>15339.499791005357</v>
      </c>
      <c r="S8" s="347">
        <f>SUM(Caledonia!S102,'New Albany'!S102,Wheatland!S108,Wilton!S99,Brownsville!S105,Gleason!S105)</f>
        <v>15886.126295991722</v>
      </c>
      <c r="T8" s="347">
        <f>SUM(Caledonia!T102,'New Albany'!T102,Wheatland!T108,Wilton!T99,Brownsville!T105,Gleason!T105)</f>
        <v>16387.52597651814</v>
      </c>
      <c r="U8" s="347">
        <f>SUM(Caledonia!U102,'New Albany'!U102,Wheatland!U108,Wilton!U99,Brownsville!U105,Gleason!U105)</f>
        <v>16891.138350382891</v>
      </c>
      <c r="V8" s="227"/>
      <c r="W8" s="449">
        <f>SUM(B8:U8)</f>
        <v>149737.12032790526</v>
      </c>
      <c r="X8" s="448">
        <f>SUM(Brownsville!W105,Caledonia!W102,'New Albany'!W102,Gleason!W105,Wheatland!W108,Wilton!W99)</f>
        <v>149737.12032790529</v>
      </c>
      <c r="Y8" s="443">
        <f>W8-X8</f>
        <v>0</v>
      </c>
    </row>
    <row r="9" spans="1:25">
      <c r="A9" s="32"/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27"/>
      <c r="W9" s="227"/>
    </row>
    <row r="10" spans="1:25">
      <c r="A10" s="2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157"/>
      <c r="W10" s="157"/>
    </row>
    <row r="11" spans="1:25">
      <c r="A11" s="231" t="s">
        <v>94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154"/>
      <c r="W11" s="154"/>
    </row>
    <row r="12" spans="1:25">
      <c r="A12" s="21" t="s">
        <v>294</v>
      </c>
      <c r="B12" s="20">
        <f>IS!B42-IS!B13</f>
        <v>3564.9261388812665</v>
      </c>
      <c r="C12" s="20">
        <f>IS!C42-IS!C13</f>
        <v>4572.0660573600544</v>
      </c>
      <c r="D12" s="20">
        <f>IS!D42-IS!D13</f>
        <v>6210.7907987611761</v>
      </c>
      <c r="E12" s="20">
        <f>IS!E42</f>
        <v>95014.815526326274</v>
      </c>
      <c r="F12" s="20">
        <f>IS!F42</f>
        <v>107470.28761543412</v>
      </c>
      <c r="G12" s="20">
        <f>IS!G42</f>
        <v>112913.0744813434</v>
      </c>
      <c r="H12" s="20">
        <f>IS!H42</f>
        <v>118753.53213021174</v>
      </c>
      <c r="I12" s="20">
        <f>IS!I42</f>
        <v>124804.16369161234</v>
      </c>
      <c r="J12" s="20">
        <f>IS!J42</f>
        <v>131726.24425505701</v>
      </c>
      <c r="K12" s="20">
        <f>IS!K42</f>
        <v>138147.79461125084</v>
      </c>
      <c r="L12" s="20">
        <f>IS!L42</f>
        <v>146867.84776609374</v>
      </c>
      <c r="M12" s="20">
        <f>IS!M42</f>
        <v>156561.53350896179</v>
      </c>
      <c r="N12" s="20">
        <f>IS!N42</f>
        <v>166072.16079673555</v>
      </c>
      <c r="O12" s="20">
        <f>IS!O42</f>
        <v>175628.86295564898</v>
      </c>
      <c r="P12" s="20">
        <f>IS!P42</f>
        <v>184829.23894528029</v>
      </c>
      <c r="Q12" s="20">
        <f>IS!Q42</f>
        <v>194030.98634524006</v>
      </c>
      <c r="R12" s="20">
        <f>IS!R42</f>
        <v>202997.07010228559</v>
      </c>
      <c r="S12" s="20">
        <f>IS!S42</f>
        <v>211672.05946998508</v>
      </c>
      <c r="T12" s="20">
        <f>IS!T42</f>
        <v>219630.99803703642</v>
      </c>
      <c r="U12" s="20">
        <f>IS!U42</f>
        <v>227625.24349080064</v>
      </c>
      <c r="V12" s="157"/>
      <c r="W12" s="449">
        <f>SUM(B12:U12)</f>
        <v>2729093.6967243063</v>
      </c>
      <c r="X12" s="448">
        <f>SUM(Caledonia!W88,'New Albany'!W88,Wheatland!W92,Wilton!W85,Brownsville!W91,Gleason!W91)</f>
        <v>2729093.6967243059</v>
      </c>
      <c r="Y12" s="443">
        <f>W12-X12</f>
        <v>0</v>
      </c>
    </row>
    <row r="13" spans="1:25">
      <c r="A13" s="21" t="s">
        <v>146</v>
      </c>
      <c r="B13" s="20">
        <f>IS!B36</f>
        <v>43536.034116422612</v>
      </c>
      <c r="C13" s="20">
        <f>IS!C36</f>
        <v>43536.034116422612</v>
      </c>
      <c r="D13" s="20">
        <f>IS!D36</f>
        <v>43536.034116422612</v>
      </c>
      <c r="E13" s="20">
        <f>IS!E36</f>
        <v>43536.034116422612</v>
      </c>
      <c r="F13" s="20">
        <f>IS!F36</f>
        <v>43536.034116422612</v>
      </c>
      <c r="G13" s="20">
        <f>IS!G36</f>
        <v>43536.034116422612</v>
      </c>
      <c r="H13" s="20">
        <f>IS!H36</f>
        <v>43536.034116422612</v>
      </c>
      <c r="I13" s="20">
        <f>IS!I36</f>
        <v>43536.034116422612</v>
      </c>
      <c r="J13" s="20">
        <f>IS!J36</f>
        <v>43536.034116422612</v>
      </c>
      <c r="K13" s="20">
        <f>IS!K36</f>
        <v>43536.034116422612</v>
      </c>
      <c r="L13" s="20">
        <f>IS!L36</f>
        <v>43536.034116422612</v>
      </c>
      <c r="M13" s="20">
        <f>IS!M36</f>
        <v>43536.034116422612</v>
      </c>
      <c r="N13" s="20">
        <f>IS!N36</f>
        <v>43536.034116422612</v>
      </c>
      <c r="O13" s="20">
        <f>IS!O36</f>
        <v>43536.034116422612</v>
      </c>
      <c r="P13" s="20">
        <f>IS!P36</f>
        <v>43536.034116422612</v>
      </c>
      <c r="Q13" s="20">
        <f>IS!Q36</f>
        <v>43536.034116422612</v>
      </c>
      <c r="R13" s="20">
        <f>IS!R36</f>
        <v>43536.034116422612</v>
      </c>
      <c r="S13" s="20">
        <f>IS!S36</f>
        <v>43536.034116422612</v>
      </c>
      <c r="T13" s="20">
        <f>IS!T36</f>
        <v>43536.034116422612</v>
      </c>
      <c r="U13" s="20">
        <f>IS!U36</f>
        <v>43536.034116422612</v>
      </c>
      <c r="V13" s="157"/>
      <c r="W13" s="449">
        <f>SUM(B13:U13)</f>
        <v>870720.68232845259</v>
      </c>
      <c r="X13" s="448">
        <f>SUM(Caledonia!W89,'New Albany'!W89,Wheatland!W93,Wilton!W86,Brownsville!W92,Gleason!W92)</f>
        <v>870720.68232845236</v>
      </c>
      <c r="Y13" s="443">
        <f>W13-X13</f>
        <v>0</v>
      </c>
    </row>
    <row r="14" spans="1:25">
      <c r="A14" s="21" t="s">
        <v>236</v>
      </c>
      <c r="B14" s="22">
        <f>-Depreciation!C104-Depreciation!C112</f>
        <v>-64212.688155650249</v>
      </c>
      <c r="C14" s="22">
        <f>-Depreciation!D104-Depreciation!D112</f>
        <v>-122004.10749573546</v>
      </c>
      <c r="D14" s="22">
        <f>-Depreciation!E104-Depreciation!E112</f>
        <v>-109803.69674616192</v>
      </c>
      <c r="E14" s="22">
        <f>-Depreciation!F104-Depreciation!F112</f>
        <v>-98887.539759701365</v>
      </c>
      <c r="F14" s="22">
        <f>-Depreciation!G104-Depreciation!G112</f>
        <v>-88998.785783731233</v>
      </c>
      <c r="G14" s="22">
        <f>-Depreciation!H104-Depreciation!H112</f>
        <v>-80009.009441940201</v>
      </c>
      <c r="H14" s="22">
        <f>-Depreciation!I104-Depreciation!I112</f>
        <v>-75770.972023667273</v>
      </c>
      <c r="I14" s="22">
        <f>-Depreciation!J104-Depreciation!J112</f>
        <v>-75899.397399978581</v>
      </c>
      <c r="J14" s="22">
        <f>-Depreciation!K104-Depreciation!K112</f>
        <v>-75770.972023667273</v>
      </c>
      <c r="K14" s="22">
        <f>-Depreciation!L104-Depreciation!L112</f>
        <v>-75899.397399978581</v>
      </c>
      <c r="L14" s="22">
        <f>-Depreciation!M104-Depreciation!M112</f>
        <v>-75770.972023667273</v>
      </c>
      <c r="M14" s="22">
        <f>-Depreciation!N104-Depreciation!N112</f>
        <v>-75899.397399978581</v>
      </c>
      <c r="N14" s="22">
        <f>-Depreciation!O104-Depreciation!O112</f>
        <v>-75770.972023667273</v>
      </c>
      <c r="O14" s="22">
        <f>-Depreciation!P104-Depreciation!P112</f>
        <v>-75899.397399978581</v>
      </c>
      <c r="P14" s="22">
        <f>-Depreciation!Q104-Depreciation!Q112</f>
        <v>-75770.972023667273</v>
      </c>
      <c r="Q14" s="22">
        <f>-Depreciation!R104-Depreciation!R112</f>
        <v>-37885.486011833636</v>
      </c>
      <c r="R14" s="22">
        <f>-Depreciation!S104-Depreciation!S112</f>
        <v>0</v>
      </c>
      <c r="S14" s="22">
        <f>-Depreciation!T104-Depreciation!T112</f>
        <v>0</v>
      </c>
      <c r="T14" s="22">
        <f>-Depreciation!U104-Depreciation!U112</f>
        <v>0</v>
      </c>
      <c r="U14" s="22">
        <f>-Depreciation!V104-Depreciation!V112</f>
        <v>0</v>
      </c>
      <c r="V14" s="157"/>
      <c r="W14" s="449">
        <f>SUM(B14:U14)</f>
        <v>-1284253.7631130049</v>
      </c>
      <c r="X14" s="448">
        <f>SUM(Caledonia!W90,'New Albany'!W90,Wheatland!W94,Wilton!W87,Brownsville!W93,Gleason!W93)</f>
        <v>-1284253.7631130049</v>
      </c>
      <c r="Y14" s="443">
        <f>W14-X14</f>
        <v>0</v>
      </c>
    </row>
    <row r="15" spans="1:25" ht="15">
      <c r="A15" s="21" t="s">
        <v>153</v>
      </c>
      <c r="B15" s="238">
        <f>-B8</f>
        <v>-397.13451113759282</v>
      </c>
      <c r="C15" s="238">
        <f t="shared" ref="C15:U15" si="0">-C8</f>
        <v>-397.36523817150567</v>
      </c>
      <c r="D15" s="238">
        <f t="shared" si="0"/>
        <v>-397.60628760793594</v>
      </c>
      <c r="E15" s="238">
        <f t="shared" si="0"/>
        <v>-585.43248001006452</v>
      </c>
      <c r="F15" s="238">
        <f t="shared" si="0"/>
        <v>-1105.2195148493238</v>
      </c>
      <c r="G15" s="238">
        <f t="shared" si="0"/>
        <v>-3008.3577733396241</v>
      </c>
      <c r="H15" s="238">
        <f t="shared" si="0"/>
        <v>-4265.1077803574644</v>
      </c>
      <c r="I15" s="238">
        <f t="shared" si="0"/>
        <v>-5920.8571822886906</v>
      </c>
      <c r="J15" s="238">
        <f t="shared" si="0"/>
        <v>-6474.4734544552348</v>
      </c>
      <c r="K15" s="238">
        <f t="shared" si="0"/>
        <v>-6894.2595970630919</v>
      </c>
      <c r="L15" s="238">
        <f t="shared" si="0"/>
        <v>-7443.3949728665802</v>
      </c>
      <c r="M15" s="238">
        <f t="shared" si="0"/>
        <v>-8041.1268893756496</v>
      </c>
      <c r="N15" s="238">
        <f t="shared" si="0"/>
        <v>-8645.144533643559</v>
      </c>
      <c r="O15" s="238">
        <f t="shared" si="0"/>
        <v>-9239.5224535770412</v>
      </c>
      <c r="P15" s="238">
        <f t="shared" si="0"/>
        <v>-9827.7318819384855</v>
      </c>
      <c r="Q15" s="238">
        <f t="shared" si="0"/>
        <v>-12590.095363325327</v>
      </c>
      <c r="R15" s="238">
        <f t="shared" si="0"/>
        <v>-15339.499791005357</v>
      </c>
      <c r="S15" s="238">
        <f t="shared" si="0"/>
        <v>-15886.126295991722</v>
      </c>
      <c r="T15" s="238">
        <f t="shared" si="0"/>
        <v>-16387.52597651814</v>
      </c>
      <c r="U15" s="238">
        <f t="shared" si="0"/>
        <v>-16891.138350382891</v>
      </c>
      <c r="V15" s="159"/>
      <c r="W15" s="449">
        <f>SUM(B15:U15)</f>
        <v>-149737.12032790526</v>
      </c>
      <c r="X15" s="448">
        <f>SUM(Brownsville!W105,Caledonia!W102,'New Albany'!W102,Gleason!W105,Wheatland!W108,Wilton!W99)</f>
        <v>149737.12032790529</v>
      </c>
      <c r="Y15" s="443">
        <f>X15+W15</f>
        <v>0</v>
      </c>
    </row>
    <row r="16" spans="1:25">
      <c r="A16" s="233" t="s">
        <v>233</v>
      </c>
      <c r="B16" s="34">
        <f t="shared" ref="B16:U16" si="1">SUM(B12:B15)</f>
        <v>-17508.862411483962</v>
      </c>
      <c r="C16" s="34">
        <f t="shared" si="1"/>
        <v>-74293.372560124291</v>
      </c>
      <c r="D16" s="34">
        <f t="shared" si="1"/>
        <v>-60454.47811858607</v>
      </c>
      <c r="E16" s="34">
        <f t="shared" si="1"/>
        <v>39077.877403037455</v>
      </c>
      <c r="F16" s="34">
        <f t="shared" si="1"/>
        <v>60902.316433276173</v>
      </c>
      <c r="G16" s="34">
        <f t="shared" si="1"/>
        <v>73431.741382486201</v>
      </c>
      <c r="H16" s="34">
        <f t="shared" si="1"/>
        <v>82253.486442609617</v>
      </c>
      <c r="I16" s="34">
        <f t="shared" si="1"/>
        <v>86519.943225767682</v>
      </c>
      <c r="J16" s="34">
        <f t="shared" si="1"/>
        <v>93016.832893357117</v>
      </c>
      <c r="K16" s="34">
        <f t="shared" si="1"/>
        <v>98890.171730631773</v>
      </c>
      <c r="L16" s="34">
        <f t="shared" si="1"/>
        <v>107189.5148859825</v>
      </c>
      <c r="M16" s="34">
        <f t="shared" si="1"/>
        <v>116157.04333603017</v>
      </c>
      <c r="N16" s="34">
        <f t="shared" si="1"/>
        <v>125192.07835584733</v>
      </c>
      <c r="O16" s="34">
        <f t="shared" si="1"/>
        <v>134025.97721851597</v>
      </c>
      <c r="P16" s="34">
        <f t="shared" si="1"/>
        <v>142766.56915609713</v>
      </c>
      <c r="Q16" s="34">
        <f t="shared" si="1"/>
        <v>187091.4390865037</v>
      </c>
      <c r="R16" s="34">
        <f t="shared" si="1"/>
        <v>231193.60442770284</v>
      </c>
      <c r="S16" s="34">
        <f t="shared" si="1"/>
        <v>239321.96729041595</v>
      </c>
      <c r="T16" s="34">
        <f t="shared" si="1"/>
        <v>246779.50617694089</v>
      </c>
      <c r="U16" s="34">
        <f t="shared" si="1"/>
        <v>254270.13925684037</v>
      </c>
      <c r="V16" s="158"/>
      <c r="W16" s="449"/>
      <c r="X16" s="448"/>
      <c r="Y16" s="443"/>
    </row>
    <row r="17" spans="1:25">
      <c r="A17" s="2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158"/>
      <c r="W17" s="158"/>
    </row>
    <row r="18" spans="1:25">
      <c r="A18" s="21" t="s">
        <v>154</v>
      </c>
      <c r="B18" s="537">
        <f>Assumptions!$K$46</f>
        <v>0.35</v>
      </c>
      <c r="C18" s="537">
        <f>Assumptions!$K$46</f>
        <v>0.35</v>
      </c>
      <c r="D18" s="537">
        <f>Assumptions!$K$46</f>
        <v>0.35</v>
      </c>
      <c r="E18" s="537">
        <f>Assumptions!$K$46</f>
        <v>0.35</v>
      </c>
      <c r="F18" s="537">
        <f>Assumptions!$K$46</f>
        <v>0.35</v>
      </c>
      <c r="G18" s="537">
        <f>Assumptions!$K$46</f>
        <v>0.35</v>
      </c>
      <c r="H18" s="537">
        <f>Assumptions!$K$46</f>
        <v>0.35</v>
      </c>
      <c r="I18" s="537">
        <f>Assumptions!$K$46</f>
        <v>0.35</v>
      </c>
      <c r="J18" s="537">
        <f>Assumptions!$K$46</f>
        <v>0.35</v>
      </c>
      <c r="K18" s="537">
        <f>Assumptions!$K$46</f>
        <v>0.35</v>
      </c>
      <c r="L18" s="537">
        <f>Assumptions!$K$46</f>
        <v>0.35</v>
      </c>
      <c r="M18" s="537">
        <f>Assumptions!$K$46</f>
        <v>0.35</v>
      </c>
      <c r="N18" s="537">
        <f>Assumptions!$K$46</f>
        <v>0.35</v>
      </c>
      <c r="O18" s="537">
        <f>Assumptions!$K$46</f>
        <v>0.35</v>
      </c>
      <c r="P18" s="537">
        <f>Assumptions!$K$46</f>
        <v>0.35</v>
      </c>
      <c r="Q18" s="537">
        <f>Assumptions!$K$46</f>
        <v>0.35</v>
      </c>
      <c r="R18" s="537">
        <f>Assumptions!$K$46</f>
        <v>0.35</v>
      </c>
      <c r="S18" s="537">
        <f>Assumptions!$K$46</f>
        <v>0.35</v>
      </c>
      <c r="T18" s="537">
        <f>Assumptions!$K$46</f>
        <v>0.35</v>
      </c>
      <c r="U18" s="537">
        <f>Assumptions!$K$46</f>
        <v>0.35</v>
      </c>
      <c r="V18" s="160"/>
      <c r="W18" s="160"/>
    </row>
    <row r="19" spans="1:25">
      <c r="A19" s="233" t="s">
        <v>155</v>
      </c>
      <c r="B19" s="34">
        <f t="shared" ref="B19:U19" si="2">B16*B18</f>
        <v>-6128.1018440193866</v>
      </c>
      <c r="C19" s="34">
        <f t="shared" si="2"/>
        <v>-26002.680396043499</v>
      </c>
      <c r="D19" s="34">
        <f t="shared" si="2"/>
        <v>-21159.067341505124</v>
      </c>
      <c r="E19" s="34">
        <f t="shared" si="2"/>
        <v>13677.257091063109</v>
      </c>
      <c r="F19" s="34">
        <f t="shared" si="2"/>
        <v>21315.810751646659</v>
      </c>
      <c r="G19" s="34">
        <f t="shared" si="2"/>
        <v>25701.109483870168</v>
      </c>
      <c r="H19" s="34">
        <f t="shared" si="2"/>
        <v>28788.720254913365</v>
      </c>
      <c r="I19" s="34">
        <f t="shared" si="2"/>
        <v>30281.980129018688</v>
      </c>
      <c r="J19" s="34">
        <f t="shared" si="2"/>
        <v>32555.891512674989</v>
      </c>
      <c r="K19" s="34">
        <f t="shared" si="2"/>
        <v>34611.560105721117</v>
      </c>
      <c r="L19" s="34">
        <f t="shared" si="2"/>
        <v>37516.330210093874</v>
      </c>
      <c r="M19" s="34">
        <f t="shared" si="2"/>
        <v>40654.965167610557</v>
      </c>
      <c r="N19" s="34">
        <f t="shared" si="2"/>
        <v>43817.227424546567</v>
      </c>
      <c r="O19" s="34">
        <f t="shared" si="2"/>
        <v>46909.092026480583</v>
      </c>
      <c r="P19" s="34">
        <f t="shared" si="2"/>
        <v>49968.299204633993</v>
      </c>
      <c r="Q19" s="34">
        <f t="shared" si="2"/>
        <v>65482.003680276292</v>
      </c>
      <c r="R19" s="34">
        <f t="shared" si="2"/>
        <v>80917.761549695992</v>
      </c>
      <c r="S19" s="34">
        <f t="shared" si="2"/>
        <v>83762.68855164558</v>
      </c>
      <c r="T19" s="34">
        <f t="shared" si="2"/>
        <v>86372.827161929308</v>
      </c>
      <c r="U19" s="34">
        <f t="shared" si="2"/>
        <v>88994.548739894119</v>
      </c>
      <c r="V19" s="157"/>
      <c r="W19" s="157"/>
    </row>
    <row r="20" spans="1:25">
      <c r="A20" s="17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54"/>
      <c r="W20" s="154"/>
    </row>
    <row r="21" spans="1:25">
      <c r="A21" s="17" t="s">
        <v>270</v>
      </c>
      <c r="B21" s="247">
        <f>IF(B19&lt;0,-B19,0)</f>
        <v>6128.1018440193866</v>
      </c>
      <c r="C21" s="247">
        <f>IF(C19&lt;0,-C19+B21-B22,B21-B22)</f>
        <v>32130.782240062887</v>
      </c>
      <c r="D21" s="247">
        <f t="shared" ref="D21:U21" si="3">IF(D19&lt;0,-D19+C21-C22,C21-C22)</f>
        <v>53289.849581568007</v>
      </c>
      <c r="E21" s="247">
        <f t="shared" si="3"/>
        <v>53289.849581568007</v>
      </c>
      <c r="F21" s="247">
        <f t="shared" si="3"/>
        <v>39612.592490504896</v>
      </c>
      <c r="G21" s="247">
        <f t="shared" si="3"/>
        <v>18296.781738858237</v>
      </c>
      <c r="H21" s="247">
        <f t="shared" si="3"/>
        <v>0</v>
      </c>
      <c r="I21" s="247">
        <f t="shared" si="3"/>
        <v>0</v>
      </c>
      <c r="J21" s="247">
        <f t="shared" si="3"/>
        <v>0</v>
      </c>
      <c r="K21" s="247">
        <f t="shared" si="3"/>
        <v>0</v>
      </c>
      <c r="L21" s="247">
        <f t="shared" si="3"/>
        <v>0</v>
      </c>
      <c r="M21" s="247">
        <f t="shared" si="3"/>
        <v>0</v>
      </c>
      <c r="N21" s="247">
        <f t="shared" si="3"/>
        <v>0</v>
      </c>
      <c r="O21" s="247">
        <f t="shared" si="3"/>
        <v>0</v>
      </c>
      <c r="P21" s="247">
        <f t="shared" si="3"/>
        <v>0</v>
      </c>
      <c r="Q21" s="247">
        <f t="shared" si="3"/>
        <v>0</v>
      </c>
      <c r="R21" s="247">
        <f t="shared" si="3"/>
        <v>0</v>
      </c>
      <c r="S21" s="247">
        <f t="shared" si="3"/>
        <v>0</v>
      </c>
      <c r="T21" s="247">
        <f t="shared" si="3"/>
        <v>0</v>
      </c>
      <c r="U21" s="247">
        <f t="shared" si="3"/>
        <v>0</v>
      </c>
      <c r="V21" s="157"/>
      <c r="W21" s="157"/>
    </row>
    <row r="22" spans="1:25">
      <c r="A22" s="17" t="s">
        <v>151</v>
      </c>
      <c r="B22" s="20">
        <f t="shared" ref="B22:U22" si="4">IF(B19&lt;0,0,IF(B21&gt;B19,B19,B21))</f>
        <v>0</v>
      </c>
      <c r="C22" s="20">
        <f t="shared" si="4"/>
        <v>0</v>
      </c>
      <c r="D22" s="20">
        <f t="shared" si="4"/>
        <v>0</v>
      </c>
      <c r="E22" s="20">
        <f t="shared" si="4"/>
        <v>13677.257091063109</v>
      </c>
      <c r="F22" s="20">
        <f t="shared" si="4"/>
        <v>21315.810751646659</v>
      </c>
      <c r="G22" s="20">
        <f t="shared" si="4"/>
        <v>18296.781738858237</v>
      </c>
      <c r="H22" s="247">
        <f t="shared" si="4"/>
        <v>0</v>
      </c>
      <c r="I22" s="247">
        <f t="shared" si="4"/>
        <v>0</v>
      </c>
      <c r="J22" s="247">
        <f t="shared" si="4"/>
        <v>0</v>
      </c>
      <c r="K22" s="247">
        <f t="shared" si="4"/>
        <v>0</v>
      </c>
      <c r="L22" s="247">
        <f t="shared" si="4"/>
        <v>0</v>
      </c>
      <c r="M22" s="247">
        <f t="shared" si="4"/>
        <v>0</v>
      </c>
      <c r="N22" s="247">
        <f t="shared" si="4"/>
        <v>0</v>
      </c>
      <c r="O22" s="247">
        <f t="shared" si="4"/>
        <v>0</v>
      </c>
      <c r="P22" s="247">
        <f t="shared" si="4"/>
        <v>0</v>
      </c>
      <c r="Q22" s="247">
        <f t="shared" si="4"/>
        <v>0</v>
      </c>
      <c r="R22" s="247">
        <f t="shared" si="4"/>
        <v>0</v>
      </c>
      <c r="S22" s="247">
        <f t="shared" si="4"/>
        <v>0</v>
      </c>
      <c r="T22" s="247">
        <f t="shared" si="4"/>
        <v>0</v>
      </c>
      <c r="U22" s="247">
        <f t="shared" si="4"/>
        <v>0</v>
      </c>
      <c r="V22" s="522"/>
      <c r="W22" s="522"/>
    </row>
    <row r="23" spans="1:25">
      <c r="A23" s="1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157"/>
      <c r="W23" s="157"/>
    </row>
    <row r="24" spans="1:25" ht="13.5" thickBot="1">
      <c r="A24" s="32" t="s">
        <v>271</v>
      </c>
      <c r="B24" s="538">
        <f t="shared" ref="B24:T24" si="5">IF(B19&lt;0,0,(B19-B22))</f>
        <v>0</v>
      </c>
      <c r="C24" s="538">
        <f t="shared" si="5"/>
        <v>0</v>
      </c>
      <c r="D24" s="538">
        <f t="shared" si="5"/>
        <v>0</v>
      </c>
      <c r="E24" s="538">
        <f t="shared" si="5"/>
        <v>0</v>
      </c>
      <c r="F24" s="538">
        <f t="shared" si="5"/>
        <v>0</v>
      </c>
      <c r="G24" s="538">
        <f t="shared" si="5"/>
        <v>7404.3277450119313</v>
      </c>
      <c r="H24" s="538">
        <f t="shared" si="5"/>
        <v>28788.720254913365</v>
      </c>
      <c r="I24" s="538">
        <f t="shared" si="5"/>
        <v>30281.980129018688</v>
      </c>
      <c r="J24" s="538">
        <f t="shared" si="5"/>
        <v>32555.891512674989</v>
      </c>
      <c r="K24" s="538">
        <f t="shared" si="5"/>
        <v>34611.560105721117</v>
      </c>
      <c r="L24" s="538">
        <f t="shared" si="5"/>
        <v>37516.330210093874</v>
      </c>
      <c r="M24" s="538">
        <f t="shared" si="5"/>
        <v>40654.965167610557</v>
      </c>
      <c r="N24" s="538">
        <f t="shared" si="5"/>
        <v>43817.227424546567</v>
      </c>
      <c r="O24" s="538">
        <f t="shared" si="5"/>
        <v>46909.092026480583</v>
      </c>
      <c r="P24" s="538">
        <f t="shared" si="5"/>
        <v>49968.299204633993</v>
      </c>
      <c r="Q24" s="538">
        <f t="shared" si="5"/>
        <v>65482.003680276292</v>
      </c>
      <c r="R24" s="538">
        <f t="shared" si="5"/>
        <v>80917.761549695992</v>
      </c>
      <c r="S24" s="538">
        <f t="shared" si="5"/>
        <v>83762.68855164558</v>
      </c>
      <c r="T24" s="538">
        <f t="shared" si="5"/>
        <v>86372.827161929308</v>
      </c>
      <c r="U24" s="538">
        <f>IF(U19&lt;0,0,(U19-U22))</f>
        <v>88994.548739894119</v>
      </c>
      <c r="V24" s="161"/>
      <c r="W24" s="449">
        <f>SUM(B24:U24)</f>
        <v>758038.22346414695</v>
      </c>
      <c r="X24" s="448">
        <f>SUM(Brownsville!W64,Caledonia!W64,'New Albany'!W64,Gleason!W64,Wheatland!W64,Wilton!W64)</f>
        <v>-758038.22346414695</v>
      </c>
      <c r="Y24" s="443">
        <f>X24+W24</f>
        <v>0</v>
      </c>
    </row>
    <row r="25" spans="1:25" ht="13.5" thickTop="1">
      <c r="V25" s="7"/>
      <c r="W25" s="7"/>
    </row>
    <row r="26" spans="1:25">
      <c r="E26" s="123"/>
      <c r="F26" s="123"/>
      <c r="V26" s="7"/>
      <c r="W26" s="7"/>
    </row>
    <row r="27" spans="1:25">
      <c r="V27" s="7"/>
      <c r="W27" s="7"/>
    </row>
    <row r="28" spans="1:25">
      <c r="V28" s="7"/>
      <c r="W28" s="7"/>
    </row>
    <row r="29" spans="1:25">
      <c r="V29" s="7"/>
      <c r="W29" s="7"/>
    </row>
    <row r="30" spans="1:25">
      <c r="V30" s="7"/>
      <c r="W30" s="7"/>
    </row>
    <row r="31" spans="1:25">
      <c r="V31" s="7"/>
      <c r="W31" s="7"/>
    </row>
    <row r="32" spans="1:25">
      <c r="V32" s="7"/>
      <c r="W32" s="7"/>
    </row>
  </sheetData>
  <pageMargins left="0.18" right="0.17" top="0.37" bottom="0.4" header="0.17" footer="0.21"/>
  <pageSetup scale="56" orientation="landscape" r:id="rId1"/>
  <headerFooter alignWithMargins="0">
    <oddHeader>&amp;L&amp;12Enron's Generation</oddHeader>
    <oddFooter>&amp;L&amp;T, &amp;D&amp;C&amp;F&amp;RPage &amp;P</oddFooter>
  </headerFooter>
  <colBreaks count="1" manualBreakCount="1">
    <brk id="11" min="1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102</vt:i4>
      </vt:variant>
    </vt:vector>
  </HeadingPairs>
  <TitlesOfParts>
    <vt:vector size="118" baseType="lpstr">
      <vt:lpstr>Summary Output</vt:lpstr>
      <vt:lpstr>Assumptions</vt:lpstr>
      <vt:lpstr>Power Price Assumption</vt:lpstr>
      <vt:lpstr>IS</vt:lpstr>
      <vt:lpstr>Debt</vt:lpstr>
      <vt:lpstr>CF</vt:lpstr>
      <vt:lpstr>Depreciation</vt:lpstr>
      <vt:lpstr>Contract Amortization</vt:lpstr>
      <vt:lpstr>Tax</vt:lpstr>
      <vt:lpstr>Brownsville</vt:lpstr>
      <vt:lpstr>Caledonia</vt:lpstr>
      <vt:lpstr>New Albany</vt:lpstr>
      <vt:lpstr>Gleason</vt:lpstr>
      <vt:lpstr>Wheatland</vt:lpstr>
      <vt:lpstr>Wilton</vt:lpstr>
      <vt:lpstr>Allocation</vt:lpstr>
      <vt:lpstr>Gleason!Coso_Distributable_Cash</vt:lpstr>
      <vt:lpstr>'New Albany'!Coso_Distributable_Cash</vt:lpstr>
      <vt:lpstr>Wheatland!Coso_Distributable_Cash</vt:lpstr>
      <vt:lpstr>Gleason!Coso_Net_ATCash</vt:lpstr>
      <vt:lpstr>'New Albany'!Coso_Net_ATCash</vt:lpstr>
      <vt:lpstr>Wheatland!Coso_Net_ATCash</vt:lpstr>
      <vt:lpstr>Gleason!Coso_Net_Income</vt:lpstr>
      <vt:lpstr>'New Albany'!Coso_Net_Income</vt:lpstr>
      <vt:lpstr>Wheatland!Coso_Net_Income</vt:lpstr>
      <vt:lpstr>Gleason!Energy_Credit_Coso</vt:lpstr>
      <vt:lpstr>'New Albany'!Energy_Credit_Coso</vt:lpstr>
      <vt:lpstr>Wheatland!Energy_Credit_Coso</vt:lpstr>
      <vt:lpstr>Gleason!FPOC_Distributable_Cash</vt:lpstr>
      <vt:lpstr>'New Albany'!FPOC_Distributable_Cash</vt:lpstr>
      <vt:lpstr>Wheatland!FPOC_Distributable_Cash</vt:lpstr>
      <vt:lpstr>Gleason!FPOC_Net_ATCash</vt:lpstr>
      <vt:lpstr>'New Albany'!FPOC_Net_ATCash</vt:lpstr>
      <vt:lpstr>Wheatland!FPOC_Net_ATCash</vt:lpstr>
      <vt:lpstr>Gleason!FPOC_Net_Income</vt:lpstr>
      <vt:lpstr>'New Albany'!FPOC_Net_Income</vt:lpstr>
      <vt:lpstr>Wheatland!FPOC_Net_Income</vt:lpstr>
      <vt:lpstr>Gleason!FSGC_ATCash</vt:lpstr>
      <vt:lpstr>'New Albany'!FSGC_ATCash</vt:lpstr>
      <vt:lpstr>Wheatland!FSGC_ATCash</vt:lpstr>
      <vt:lpstr>Gleason!FSGC_Distributable_Cash</vt:lpstr>
      <vt:lpstr>'New Albany'!FSGC_Distributable_Cash</vt:lpstr>
      <vt:lpstr>Wheatland!FSGC_Distributable_Cash</vt:lpstr>
      <vt:lpstr>Gleason!FSGC_Net_Income</vt:lpstr>
      <vt:lpstr>'New Albany'!FSGC_Net_Income</vt:lpstr>
      <vt:lpstr>Wheatland!FSGC_Net_Income</vt:lpstr>
      <vt:lpstr>Gleason!Minerals_Distributable_Cash</vt:lpstr>
      <vt:lpstr>'New Albany'!Minerals_Distributable_Cash</vt:lpstr>
      <vt:lpstr>Wheatland!Minerals_Distributable_Cash</vt:lpstr>
      <vt:lpstr>Gleason!Minerals_Net_ATCash</vt:lpstr>
      <vt:lpstr>'New Albany'!Minerals_Net_ATCash</vt:lpstr>
      <vt:lpstr>Wheatland!Minerals_Net_ATCash</vt:lpstr>
      <vt:lpstr>Gleason!Minerals_Net_Income</vt:lpstr>
      <vt:lpstr>'New Albany'!Minerals_Net_Income</vt:lpstr>
      <vt:lpstr>Wheatland!Minerals_Net_Income</vt:lpstr>
      <vt:lpstr>Gleason!Norcon_Distributable_Cash</vt:lpstr>
      <vt:lpstr>'New Albany'!Norcon_Distributable_Cash</vt:lpstr>
      <vt:lpstr>Wheatland!Norcon_Distributable_Cash</vt:lpstr>
      <vt:lpstr>Gleason!Norcon_Net_ATCash</vt:lpstr>
      <vt:lpstr>'New Albany'!Norcon_Net_ATCash</vt:lpstr>
      <vt:lpstr>Wheatland!Norcon_Net_ATCash</vt:lpstr>
      <vt:lpstr>Gleason!Norcon_Net_Income</vt:lpstr>
      <vt:lpstr>'New Albany'!Norcon_Net_Income</vt:lpstr>
      <vt:lpstr>Wheatland!Norcon_Net_Income</vt:lpstr>
      <vt:lpstr>Gleason!PRI_Cash_Taxes</vt:lpstr>
      <vt:lpstr>'New Albany'!PRI_Cash_Taxes</vt:lpstr>
      <vt:lpstr>Wheatland!PRI_Cash_Taxes</vt:lpstr>
      <vt:lpstr>Gleason!PRI_Net_ATCash</vt:lpstr>
      <vt:lpstr>'New Albany'!PRI_Net_ATCash</vt:lpstr>
      <vt:lpstr>Wheatland!PRI_Net_ATCash</vt:lpstr>
      <vt:lpstr>Gleason!PRI_Net_Income</vt:lpstr>
      <vt:lpstr>'New Albany'!PRI_Net_Income</vt:lpstr>
      <vt:lpstr>Wheatland!PRI_Net_Income</vt:lpstr>
      <vt:lpstr>Allocation!Print_Area</vt:lpstr>
      <vt:lpstr>Assumptions!Print_Area</vt:lpstr>
      <vt:lpstr>Brownsville!Print_Area</vt:lpstr>
      <vt:lpstr>Caledonia!Print_Area</vt:lpstr>
      <vt:lpstr>CF!Print_Area</vt:lpstr>
      <vt:lpstr>'Contract Amortization'!Print_Area</vt:lpstr>
      <vt:lpstr>Debt!Print_Area</vt:lpstr>
      <vt:lpstr>Depreciation!Print_Area</vt:lpstr>
      <vt:lpstr>Gleason!Print_Area</vt:lpstr>
      <vt:lpstr>IS!Print_Area</vt:lpstr>
      <vt:lpstr>'New Albany'!Print_Area</vt:lpstr>
      <vt:lpstr>'Summary Output'!Print_Area</vt:lpstr>
      <vt:lpstr>Tax!Print_Area</vt:lpstr>
      <vt:lpstr>Wheatland!Print_Area</vt:lpstr>
      <vt:lpstr>Wilton!Print_Area</vt:lpstr>
      <vt:lpstr>Gleason!Saranac_Distributable_Cash</vt:lpstr>
      <vt:lpstr>'New Albany'!Saranac_Distributable_Cash</vt:lpstr>
      <vt:lpstr>Wheatland!Saranac_Distributable_Cash</vt:lpstr>
      <vt:lpstr>Gleason!Saranac_Net_ATCash</vt:lpstr>
      <vt:lpstr>'New Albany'!Saranac_Net_ATCash</vt:lpstr>
      <vt:lpstr>Wheatland!Saranac_Net_ATCash</vt:lpstr>
      <vt:lpstr>Gleason!Saranac_Net_Income</vt:lpstr>
      <vt:lpstr>'New Albany'!Saranac_Net_Income</vt:lpstr>
      <vt:lpstr>Wheatland!Saranac_Net_Income</vt:lpstr>
      <vt:lpstr>Gleason!Yuma_Distributable_Cash</vt:lpstr>
      <vt:lpstr>'New Albany'!Yuma_Distributable_Cash</vt:lpstr>
      <vt:lpstr>Wheatland!Yuma_Distributable_Cash</vt:lpstr>
      <vt:lpstr>Gleason!Yuma_Net_ATCash</vt:lpstr>
      <vt:lpstr>'New Albany'!Yuma_Net_ATCash</vt:lpstr>
      <vt:lpstr>Wheatland!Yuma_Net_ATCash</vt:lpstr>
      <vt:lpstr>Gleason!Yuma_Net_Income</vt:lpstr>
      <vt:lpstr>'New Albany'!Yuma_Net_Income</vt:lpstr>
      <vt:lpstr>Wheatland!Yuma_Net_Income</vt:lpstr>
      <vt:lpstr>Gleason!zinc</vt:lpstr>
      <vt:lpstr>'New Albany'!zinc</vt:lpstr>
      <vt:lpstr>Wheatland!zinc</vt:lpstr>
      <vt:lpstr>Gleason!Zinc_Distributable_Cash</vt:lpstr>
      <vt:lpstr>'New Albany'!Zinc_Distributable_Cash</vt:lpstr>
      <vt:lpstr>Wheatland!Zinc_Distributable_Cash</vt:lpstr>
      <vt:lpstr>Gleason!Zinc_Net_ATCash</vt:lpstr>
      <vt:lpstr>'New Albany'!Zinc_Net_ATCash</vt:lpstr>
      <vt:lpstr>Wheatland!Zinc_Net_ATCash</vt:lpstr>
      <vt:lpstr>Gleason!Zinc_Net_Income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2000-05-17T22:17:10Z</cp:lastPrinted>
  <dcterms:created xsi:type="dcterms:W3CDTF">1999-04-02T01:38:38Z</dcterms:created>
  <dcterms:modified xsi:type="dcterms:W3CDTF">2014-09-03T11:00:00Z</dcterms:modified>
</cp:coreProperties>
</file>